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uk.wspgroup.com\central data\Projects\70099xxx\70099468 - Cambs JPSF - Barton Greenway Preliminary Design\03 WIP\OBC\04 Economic Appraisal Model\AMATs\"/>
    </mc:Choice>
  </mc:AlternateContent>
  <xr:revisionPtr revIDLastSave="0" documentId="13_ncr:1_{7E6F243C-5D83-4685-8C90-588370E44472}" xr6:coauthVersionLast="47" xr6:coauthVersionMax="47" xr10:uidLastSave="{00000000-0000-0000-0000-000000000000}"/>
  <bookViews>
    <workbookView xWindow="-28920" yWindow="-120" windowWidth="29040" windowHeight="17640" tabRatio="850"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5" i="19" l="1"/>
  <c r="G20" i="19"/>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<sst xmlns="http://schemas.openxmlformats.org/spreadsheetml/2006/main" count="55865" uniqueCount="16762">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</sst>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56.482347974920529</c:v>
                </c:pt>
                <c:pt idx="1">
                  <c:v>555.32177404640254</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22" zoomScale="80" zoomScaleNormal="80" workbookViewId="0">
      <selection activeCell="F47" sqref="F47"/>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396</v>
      </c>
      <c r="G33" s="41" t="s">
        <v>16311</v>
      </c>
      <c r="H33" s="311" t="s">
        <v>16758</v>
      </c>
    </row>
    <row r="34" spans="1:69">
      <c r="A34" s="41"/>
      <c r="D34" s="146" t="s">
        <v>16312</v>
      </c>
      <c r="F34" s="383">
        <f>ROUND(F33*1.25,0)</f>
        <v>495</v>
      </c>
      <c r="G34" s="41" t="s">
        <v>16311</v>
      </c>
      <c r="H34" s="311" t="s">
        <v>16759</v>
      </c>
    </row>
    <row r="35" spans="1:69" ht="30.75" thickBot="1">
      <c r="A35" s="41"/>
      <c r="D35" s="146" t="s">
        <v>16313</v>
      </c>
      <c r="F35" s="384">
        <f>0.37/5.14</f>
        <v>7.1984435797665378E-2</v>
      </c>
      <c r="G35" s="41" t="s">
        <v>16314</v>
      </c>
      <c r="H35" s="311" t="s">
        <v>16761</v>
      </c>
    </row>
    <row r="36" spans="1:69" ht="15.75" thickBot="1">
      <c r="A36" s="41"/>
    </row>
    <row r="37" spans="1:69">
      <c r="A37" s="41"/>
      <c r="D37" s="146" t="s">
        <v>16315</v>
      </c>
      <c r="F37" s="385" t="s">
        <v>16549</v>
      </c>
      <c r="H37" s="311"/>
    </row>
    <row r="38" spans="1:69" ht="15.75" thickBot="1">
      <c r="A38" s="41"/>
      <c r="D38" s="146" t="s">
        <v>16316</v>
      </c>
      <c r="F38" s="386" t="s">
        <v>16549</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41</v>
      </c>
      <c r="G46" s="41" t="s">
        <v>16311</v>
      </c>
      <c r="H46" s="311"/>
    </row>
    <row r="47" spans="1:69">
      <c r="A47" s="41"/>
      <c r="D47" s="146" t="s">
        <v>16312</v>
      </c>
      <c r="F47" s="536">
        <f>ROUND(F46*1.1,0)</f>
        <v>45</v>
      </c>
      <c r="G47" s="41" t="s">
        <v>16311</v>
      </c>
      <c r="H47" s="311"/>
    </row>
    <row r="48" spans="1:69" ht="15.75" thickBot="1">
      <c r="A48" s="41"/>
      <c r="D48" s="146" t="s">
        <v>16320</v>
      </c>
      <c r="F48" s="537">
        <f>0.37/1.1</f>
        <v>0.33636363636363631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396</v>
      </c>
      <c r="E28" s="108" t="s">
        <v>16311</v>
      </c>
    </row>
    <row r="29" spans="2:8">
      <c r="C29" s="108" t="s">
        <v>16409</v>
      </c>
      <c r="D29" s="367">
        <f>'User Interface Intervention'!F34</f>
        <v>495</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7.1984435797665378E-2</v>
      </c>
    </row>
    <row r="38" spans="2:8">
      <c r="C38" s="108" t="s">
        <v>16419</v>
      </c>
      <c r="D38" s="452">
        <f>'User Interface Intervention'!F85</f>
        <v>0.56399999999999995</v>
      </c>
    </row>
    <row r="39" spans="2:8" ht="15.75">
      <c r="B39" s="241" t="s">
        <v>16420</v>
      </c>
      <c r="D39" s="242"/>
    </row>
    <row r="41" spans="2:8">
      <c r="C41" s="108" t="s">
        <v>16421</v>
      </c>
      <c r="D41" s="367" t="str">
        <f>'User Interface Intervention'!F38</f>
        <v>Wider lane</v>
      </c>
      <c r="E41" s="108">
        <f>IFERROR(VLOOKUP('Input Summary'!D41,JQQQ,2, FALSE), 0)</f>
        <v>1.81</v>
      </c>
    </row>
    <row r="42" spans="2:8">
      <c r="C42" s="108" t="s">
        <v>16422</v>
      </c>
      <c r="D42" s="367" t="str">
        <f>'User Interface Intervention'!F37</f>
        <v>Wider lane</v>
      </c>
      <c r="E42" s="108">
        <f>IFERROR(VLOOKUP('Input Summary'!D42,JQQQ,2, FALSE),0)</f>
        <v>1.81</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41</v>
      </c>
      <c r="E50" s="242" t="s">
        <v>16311</v>
      </c>
    </row>
    <row r="51" spans="2:6">
      <c r="C51" s="108" t="s">
        <v>16409</v>
      </c>
      <c r="D51" s="367">
        <f>'User Interface Intervention'!F47</f>
        <v>45</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0.33636363636363631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8" t="s">
        <v>16513</v>
      </c>
      <c r="D6" s="631" t="s">
        <v>103</v>
      </c>
      <c r="E6" s="632"/>
      <c r="F6" s="633"/>
      <c r="G6" s="631" t="s">
        <v>16514</v>
      </c>
      <c r="H6" s="632"/>
      <c r="I6" s="633"/>
      <c r="J6" s="631" t="s">
        <v>5086</v>
      </c>
      <c r="K6" s="632"/>
      <c r="L6" s="633"/>
      <c r="M6" s="631" t="s">
        <v>5164</v>
      </c>
      <c r="N6" s="632"/>
      <c r="O6" s="633"/>
      <c r="P6" s="634" t="s">
        <v>16515</v>
      </c>
    </row>
    <row r="7" spans="1:16" ht="26.25" thickBot="1">
      <c r="A7" s="344" t="s">
        <v>16516</v>
      </c>
      <c r="B7" s="345"/>
      <c r="C7" s="639"/>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5"/>
    </row>
    <row r="8" spans="1:16" ht="15.75" thickTop="1">
      <c r="A8" s="636"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7"/>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7"/>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7"/>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7"/>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7"/>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8" t="s">
        <v>16513</v>
      </c>
      <c r="D23" s="631" t="s">
        <v>103</v>
      </c>
      <c r="E23" s="632"/>
      <c r="F23" s="633"/>
      <c r="G23" s="631" t="s">
        <v>16524</v>
      </c>
      <c r="H23" s="632"/>
      <c r="I23" s="633" t="s">
        <v>16525</v>
      </c>
      <c r="J23" s="631" t="s">
        <v>5086</v>
      </c>
      <c r="K23" s="632"/>
      <c r="L23" s="633" t="s">
        <v>16526</v>
      </c>
      <c r="M23" s="631" t="s">
        <v>5164</v>
      </c>
      <c r="N23" s="632"/>
      <c r="O23" s="633" t="s">
        <v>16527</v>
      </c>
      <c r="P23" s="640" t="s">
        <v>16515</v>
      </c>
    </row>
    <row r="24" spans="1:16" ht="26.25" thickBot="1">
      <c r="A24" s="344" t="s">
        <v>16516</v>
      </c>
      <c r="B24" s="345"/>
      <c r="C24" s="639"/>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1"/>
    </row>
    <row r="25" spans="1:16" ht="15.75" thickTop="1">
      <c r="A25" s="636"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7"/>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7"/>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7"/>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7"/>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7"/>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8" t="s">
        <v>16513</v>
      </c>
      <c r="D40" s="631" t="s">
        <v>103</v>
      </c>
      <c r="E40" s="632"/>
      <c r="F40" s="633"/>
      <c r="G40" s="551" t="s">
        <v>16524</v>
      </c>
      <c r="H40" s="552"/>
      <c r="I40" s="553" t="s">
        <v>16525</v>
      </c>
      <c r="J40" s="551" t="s">
        <v>5086</v>
      </c>
      <c r="K40" s="552"/>
      <c r="L40" s="553" t="s">
        <v>16526</v>
      </c>
      <c r="M40" s="551" t="s">
        <v>5164</v>
      </c>
      <c r="N40" s="552"/>
      <c r="O40" s="553" t="s">
        <v>16527</v>
      </c>
      <c r="P40" s="640" t="s">
        <v>16515</v>
      </c>
    </row>
    <row r="41" spans="1:16" ht="26.25" thickBot="1">
      <c r="A41" s="344" t="s">
        <v>16516</v>
      </c>
      <c r="B41" s="345"/>
      <c r="C41" s="639"/>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1"/>
    </row>
    <row r="42" spans="1:16" ht="15.75" thickTop="1">
      <c r="A42" s="636"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7"/>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7"/>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7"/>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7"/>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7"/>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8" t="s">
        <v>16513</v>
      </c>
      <c r="D57" s="631" t="s">
        <v>103</v>
      </c>
      <c r="E57" s="632"/>
      <c r="F57" s="633"/>
      <c r="G57" s="551" t="s">
        <v>16524</v>
      </c>
      <c r="H57" s="552"/>
      <c r="I57" s="553" t="s">
        <v>16525</v>
      </c>
      <c r="J57" s="551" t="s">
        <v>5086</v>
      </c>
      <c r="K57" s="552"/>
      <c r="L57" s="553" t="s">
        <v>16526</v>
      </c>
      <c r="M57" s="551" t="s">
        <v>5164</v>
      </c>
      <c r="N57" s="552"/>
      <c r="O57" s="553" t="s">
        <v>16527</v>
      </c>
      <c r="P57" s="640" t="s">
        <v>16515</v>
      </c>
    </row>
    <row r="58" spans="1:16" ht="26.25" thickBot="1">
      <c r="A58" s="344" t="s">
        <v>16516</v>
      </c>
      <c r="B58" s="345"/>
      <c r="C58" s="639"/>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1"/>
    </row>
    <row r="59" spans="1:16" ht="15.75" thickTop="1">
      <c r="A59" s="636"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7"/>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7"/>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7"/>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7"/>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7"/>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8" t="s">
        <v>16513</v>
      </c>
      <c r="D74" s="631" t="s">
        <v>103</v>
      </c>
      <c r="E74" s="632"/>
      <c r="F74" s="633"/>
      <c r="G74" s="631" t="s">
        <v>16524</v>
      </c>
      <c r="H74" s="632"/>
      <c r="I74" s="633" t="s">
        <v>16525</v>
      </c>
      <c r="J74" s="631" t="s">
        <v>5086</v>
      </c>
      <c r="K74" s="632"/>
      <c r="L74" s="633" t="s">
        <v>16526</v>
      </c>
      <c r="M74" s="631" t="s">
        <v>5164</v>
      </c>
      <c r="N74" s="632"/>
      <c r="O74" s="633" t="s">
        <v>16527</v>
      </c>
      <c r="P74" s="640" t="s">
        <v>16515</v>
      </c>
    </row>
    <row r="75" spans="1:16" ht="26.25" thickBot="1">
      <c r="A75" s="344" t="s">
        <v>16516</v>
      </c>
      <c r="B75" s="345"/>
      <c r="C75" s="639"/>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1"/>
    </row>
    <row r="76" spans="1:16" ht="15.75" thickTop="1">
      <c r="A76" s="636"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7"/>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7"/>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7"/>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7"/>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7"/>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8" t="s">
        <v>16513</v>
      </c>
      <c r="D91" s="631" t="s">
        <v>103</v>
      </c>
      <c r="E91" s="632"/>
      <c r="F91" s="633"/>
      <c r="G91" s="551" t="s">
        <v>16524</v>
      </c>
      <c r="H91" s="552"/>
      <c r="I91" s="553" t="s">
        <v>16525</v>
      </c>
      <c r="J91" s="551" t="s">
        <v>5086</v>
      </c>
      <c r="K91" s="552"/>
      <c r="L91" s="553" t="s">
        <v>16526</v>
      </c>
      <c r="M91" s="631" t="s">
        <v>5164</v>
      </c>
      <c r="N91" s="632"/>
      <c r="O91" s="633" t="s">
        <v>16527</v>
      </c>
      <c r="P91" s="640" t="s">
        <v>16515</v>
      </c>
    </row>
    <row r="92" spans="1:16" ht="26.25" thickBot="1">
      <c r="A92" s="344" t="s">
        <v>16516</v>
      </c>
      <c r="B92" s="345"/>
      <c r="C92" s="639"/>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1"/>
    </row>
    <row r="93" spans="1:16" ht="15.75" thickTop="1">
      <c r="A93" s="636"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7"/>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7"/>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7"/>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7"/>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7"/>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8" t="s">
        <v>16513</v>
      </c>
      <c r="D108" s="631" t="s">
        <v>103</v>
      </c>
      <c r="E108" s="632"/>
      <c r="F108" s="633"/>
      <c r="G108" s="631" t="s">
        <v>16524</v>
      </c>
      <c r="H108" s="632"/>
      <c r="I108" s="633" t="s">
        <v>16525</v>
      </c>
      <c r="J108" s="631" t="s">
        <v>5086</v>
      </c>
      <c r="K108" s="632"/>
      <c r="L108" s="633" t="s">
        <v>16526</v>
      </c>
      <c r="M108" s="631" t="s">
        <v>5164</v>
      </c>
      <c r="N108" s="632"/>
      <c r="O108" s="633" t="s">
        <v>16527</v>
      </c>
      <c r="P108" s="640" t="s">
        <v>16515</v>
      </c>
    </row>
    <row r="109" spans="1:16" ht="26.25" thickBot="1">
      <c r="A109" s="344" t="s">
        <v>16516</v>
      </c>
      <c r="B109" s="345"/>
      <c r="C109" s="639"/>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1"/>
    </row>
    <row r="110" spans="1:16" ht="15.75" thickTop="1">
      <c r="A110" s="636"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7"/>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7"/>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7"/>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7"/>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7"/>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8" t="s">
        <v>16513</v>
      </c>
      <c r="D125" s="631" t="s">
        <v>103</v>
      </c>
      <c r="E125" s="632"/>
      <c r="F125" s="633"/>
      <c r="G125" s="631" t="s">
        <v>16524</v>
      </c>
      <c r="H125" s="632"/>
      <c r="I125" s="633" t="s">
        <v>16525</v>
      </c>
      <c r="J125" s="631" t="s">
        <v>5086</v>
      </c>
      <c r="K125" s="632"/>
      <c r="L125" s="633" t="s">
        <v>16526</v>
      </c>
      <c r="M125" s="631" t="s">
        <v>5164</v>
      </c>
      <c r="N125" s="632"/>
      <c r="O125" s="633" t="s">
        <v>16527</v>
      </c>
      <c r="P125" s="640" t="s">
        <v>16515</v>
      </c>
    </row>
    <row r="126" spans="1:16" ht="26.25" thickBot="1">
      <c r="A126" s="344" t="s">
        <v>16516</v>
      </c>
      <c r="B126" s="345"/>
      <c r="C126" s="639"/>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1"/>
    </row>
    <row r="127" spans="1:16" ht="15.75" thickTop="1">
      <c r="A127" s="636"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7"/>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7"/>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7"/>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7"/>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7"/>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57" t="s">
        <v>16323</v>
      </c>
      <c r="C5" s="658"/>
      <c r="D5" s="659"/>
      <c r="E5" s="59">
        <v>3.7310066730958975</v>
      </c>
      <c r="F5" s="65" t="s">
        <v>16540</v>
      </c>
      <c r="I5" s="548" t="s">
        <v>16323</v>
      </c>
      <c r="J5" s="111">
        <v>3.7310066730958975</v>
      </c>
      <c r="K5" s="544"/>
    </row>
    <row r="6" spans="1:11">
      <c r="B6" s="651" t="s">
        <v>16324</v>
      </c>
      <c r="C6" s="652"/>
      <c r="D6" s="653"/>
      <c r="E6" s="60">
        <v>2.6336517692441621</v>
      </c>
      <c r="F6" s="65" t="s">
        <v>16540</v>
      </c>
      <c r="I6" s="546" t="s">
        <v>16324</v>
      </c>
      <c r="J6" s="112">
        <v>2.6336517692441621</v>
      </c>
      <c r="K6" s="544"/>
    </row>
    <row r="7" spans="1:11">
      <c r="B7" s="651" t="s">
        <v>16325</v>
      </c>
      <c r="C7" s="652"/>
      <c r="D7" s="653"/>
      <c r="E7" s="60">
        <v>1.8655033365479488</v>
      </c>
      <c r="F7" s="65" t="s">
        <v>16540</v>
      </c>
      <c r="I7" s="546" t="s">
        <v>16325</v>
      </c>
      <c r="J7" s="112">
        <v>1.8655033365479488</v>
      </c>
      <c r="K7" s="544"/>
    </row>
    <row r="8" spans="1:11">
      <c r="B8" s="651" t="s">
        <v>16326</v>
      </c>
      <c r="C8" s="652"/>
      <c r="D8" s="653"/>
      <c r="E8" s="60">
        <v>0.87788392308138752</v>
      </c>
      <c r="F8" s="65" t="s">
        <v>16540</v>
      </c>
      <c r="I8" s="546" t="s">
        <v>16326</v>
      </c>
      <c r="J8" s="112">
        <v>0.87788392308138752</v>
      </c>
      <c r="K8" s="544"/>
    </row>
    <row r="9" spans="1:11">
      <c r="B9" s="651" t="s">
        <v>16327</v>
      </c>
      <c r="C9" s="652"/>
      <c r="D9" s="653"/>
      <c r="E9" s="60">
        <v>0.87788392308138752</v>
      </c>
      <c r="F9" s="65" t="s">
        <v>16540</v>
      </c>
      <c r="I9" s="546" t="s">
        <v>16327</v>
      </c>
      <c r="J9" s="112">
        <v>0.87788392308138752</v>
      </c>
      <c r="K9" s="544"/>
    </row>
    <row r="10" spans="1:11">
      <c r="B10" s="651" t="s">
        <v>16328</v>
      </c>
      <c r="C10" s="652"/>
      <c r="D10" s="653"/>
      <c r="E10" s="60">
        <v>0.54867745192586725</v>
      </c>
      <c r="F10" s="65" t="s">
        <v>16540</v>
      </c>
      <c r="I10" s="546" t="s">
        <v>16328</v>
      </c>
      <c r="J10" s="112">
        <v>0.54867745192586725</v>
      </c>
      <c r="K10" s="544"/>
    </row>
    <row r="11" spans="1:11" ht="15.75" thickBot="1">
      <c r="B11" s="654" t="s">
        <v>16329</v>
      </c>
      <c r="C11" s="655"/>
      <c r="D11" s="656"/>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2" t="s">
        <v>16544</v>
      </c>
      <c r="C18" s="643"/>
      <c r="D18" s="644"/>
      <c r="E18" s="84">
        <v>7.03</v>
      </c>
      <c r="F18" s="52" t="s">
        <v>16545</v>
      </c>
      <c r="G18" s="56"/>
      <c r="I18" s="102" t="s">
        <v>16544</v>
      </c>
      <c r="J18" s="103">
        <v>7.03</v>
      </c>
    </row>
    <row r="19" spans="2:10">
      <c r="B19" s="645" t="s">
        <v>16546</v>
      </c>
      <c r="C19" s="646"/>
      <c r="D19" s="647"/>
      <c r="E19" s="85">
        <v>2.99</v>
      </c>
      <c r="F19" s="52" t="s">
        <v>16545</v>
      </c>
      <c r="G19" s="56"/>
      <c r="I19" s="102" t="s">
        <v>16546</v>
      </c>
      <c r="J19" s="103">
        <v>2.99</v>
      </c>
    </row>
    <row r="20" spans="2:10" ht="25.5">
      <c r="B20" s="645" t="s">
        <v>16547</v>
      </c>
      <c r="C20" s="646"/>
      <c r="D20" s="647"/>
      <c r="E20" s="85">
        <v>2.97</v>
      </c>
      <c r="F20" s="52" t="s">
        <v>16548</v>
      </c>
      <c r="G20" s="56"/>
      <c r="I20" s="102" t="s">
        <v>16547</v>
      </c>
      <c r="J20" s="103">
        <v>2.97</v>
      </c>
    </row>
    <row r="21" spans="2:10">
      <c r="B21" s="645" t="s">
        <v>16549</v>
      </c>
      <c r="C21" s="646"/>
      <c r="D21" s="647"/>
      <c r="E21" s="85">
        <v>1.81</v>
      </c>
      <c r="F21" s="52" t="s">
        <v>16545</v>
      </c>
      <c r="G21" s="56"/>
      <c r="I21" s="102" t="s">
        <v>16549</v>
      </c>
      <c r="J21" s="103">
        <v>1.81</v>
      </c>
    </row>
    <row r="22" spans="2:10" ht="15.75" thickBot="1">
      <c r="B22" s="648" t="s">
        <v>16550</v>
      </c>
      <c r="C22" s="649"/>
      <c r="D22" s="650"/>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396</v>
      </c>
      <c r="E4" s="120">
        <f>useP</f>
        <v>41</v>
      </c>
      <c r="F4" s="108"/>
    </row>
    <row r="5" spans="1:6">
      <c r="C5" s="120" t="s">
        <v>16598</v>
      </c>
      <c r="D5" s="122">
        <f>use_new</f>
        <v>495</v>
      </c>
      <c r="E5" s="122">
        <f>use_newP</f>
        <v>45</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99</v>
      </c>
      <c r="E12" s="123">
        <f>use_newP-useP</f>
        <v>4</v>
      </c>
    </row>
    <row r="13" spans="1:6">
      <c r="C13" s="123" t="s">
        <v>16603</v>
      </c>
      <c r="D13" s="167">
        <f>D12/(1+return)</f>
        <v>52.10526315789474</v>
      </c>
      <c r="E13" s="167">
        <f>E12/(1+return)</f>
        <v>2.1052631578947367</v>
      </c>
    </row>
    <row r="14" spans="1:6">
      <c r="C14" s="123" t="s">
        <v>16604</v>
      </c>
      <c r="D14" s="123">
        <f>use_new-D12</f>
        <v>396</v>
      </c>
      <c r="E14" s="123">
        <f>use_newP-E12</f>
        <v>41</v>
      </c>
    </row>
    <row r="15" spans="1:6">
      <c r="C15" s="123" t="s">
        <v>16605</v>
      </c>
      <c r="D15" s="123">
        <f>D14/(1+return)</f>
        <v>208.42105263157896</v>
      </c>
      <c r="E15" s="123">
        <f>E14/(1+return)</f>
        <v>21.578947368421055</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121227.48</v>
      </c>
      <c r="E23" s="107">
        <f>E7*E12*scheme_days</f>
        <v>1113.2</v>
      </c>
      <c r="F23" s="41" t="s">
        <v>16611</v>
      </c>
    </row>
    <row r="24" spans="2:6">
      <c r="C24" s="125" t="s">
        <v>16612</v>
      </c>
      <c r="D24" s="107">
        <f>D23*car_share</f>
        <v>29094.5952</v>
      </c>
      <c r="E24" s="107">
        <f>E23*car_shareP</f>
        <v>267.16800000000001</v>
      </c>
    </row>
    <row r="25" spans="2:6">
      <c r="C25" s="125" t="s">
        <v>16613</v>
      </c>
      <c r="D25" s="107">
        <f>D24/'Input Summary'!D86</f>
        <v>18184.121999999999</v>
      </c>
      <c r="E25" s="107">
        <f>E24/'Input Summary'!D86</f>
        <v>166.98</v>
      </c>
    </row>
    <row r="26" spans="2:6" ht="15.75">
      <c r="C26" s="123" t="s">
        <v>16614</v>
      </c>
      <c r="D26" s="167">
        <f>D23*'Input Summary'!D34</f>
        <v>7273.6487999999999</v>
      </c>
      <c r="E26" s="167">
        <f>E23*'Input Summary'!D56</f>
        <v>66.792000000000002</v>
      </c>
      <c r="F26" s="105"/>
    </row>
    <row r="27" spans="2:6">
      <c r="C27" s="123" t="s">
        <v>16615</v>
      </c>
      <c r="D27" s="167">
        <f>D26/'Input Summary'!D87</f>
        <v>3030.6869999999999</v>
      </c>
      <c r="E27" s="167">
        <f>E26/'Input Summary'!D87</f>
        <v>27.830000000000002</v>
      </c>
    </row>
    <row r="28" spans="2:6" ht="15.75">
      <c r="B28" s="105" t="s">
        <v>16616</v>
      </c>
      <c r="C28" s="125" t="s">
        <v>16617</v>
      </c>
      <c r="D28" s="126"/>
      <c r="E28" s="127">
        <f>SUM(D25:E25,D27:E27)</f>
        <v>21409.618999999999</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Wider lane</v>
      </c>
      <c r="D44" s="496">
        <f>'Input Summary'!E41</f>
        <v>1.81</v>
      </c>
      <c r="E44" s="496">
        <v>0</v>
      </c>
      <c r="F44" s="495">
        <v>1</v>
      </c>
      <c r="G44" s="492"/>
    </row>
    <row r="45" spans="1:8">
      <c r="C45" s="493" t="str">
        <f>'Input Summary'!D42</f>
        <v>Wider lane</v>
      </c>
      <c r="D45" s="496">
        <f>'Input Summary'!E42</f>
        <v>1.81</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52.10526315789474</v>
      </c>
      <c r="E4" s="124">
        <f>'General Calculations'!E13</f>
        <v>2.1052631578947367</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37.589154182136973</v>
      </c>
      <c r="E19" s="446">
        <f>E18*E4</f>
        <v>1.0355138893150684</v>
      </c>
      <c r="G19" s="301"/>
      <c r="H19" s="42"/>
    </row>
    <row r="20" spans="2:8">
      <c r="C20" s="134" t="s">
        <v>16638</v>
      </c>
      <c r="D20" s="140">
        <f>'TAG VoT'!F21*D10</f>
        <v>144.50209275358495</v>
      </c>
      <c r="E20" s="140">
        <f>'TAG VoT'!$F$21*E10</f>
        <v>144.50209275358495</v>
      </c>
    </row>
    <row r="21" spans="2:8">
      <c r="C21" s="134" t="s">
        <v>16639</v>
      </c>
      <c r="D21" s="141">
        <f>D19*D20</f>
        <v>5431.7114441559625</v>
      </c>
      <c r="E21" s="142">
        <f>E19*E20</f>
        <v>149.6339240814315</v>
      </c>
    </row>
    <row r="22" spans="2:8">
      <c r="C22" s="138"/>
      <c r="D22" s="149"/>
      <c r="E22" s="143"/>
    </row>
    <row r="23" spans="2:8" ht="15.75">
      <c r="C23" s="144" t="s">
        <v>16523</v>
      </c>
      <c r="D23" s="145">
        <f>D21+E21</f>
        <v>5581.3453682373938</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52.10526315789474</v>
      </c>
      <c r="E7" s="500">
        <f>'General Calculations'!E13</f>
        <v>2.1052631578947367</v>
      </c>
      <c r="F7" s="492"/>
    </row>
    <row r="8" spans="1:6">
      <c r="A8" s="492"/>
      <c r="B8" s="492"/>
      <c r="C8" s="109" t="s">
        <v>16644</v>
      </c>
      <c r="D8" s="499">
        <f>'General Calculations'!D15</f>
        <v>208.42105263157896</v>
      </c>
      <c r="E8" s="500">
        <f>'General Calculations'!E15</f>
        <v>21.578947368421055</v>
      </c>
      <c r="F8" s="492"/>
    </row>
    <row r="9" spans="1:6">
      <c r="A9" s="492"/>
      <c r="B9" s="492"/>
      <c r="C9" s="109" t="s">
        <v>16645</v>
      </c>
      <c r="D9" s="499">
        <f>'General Calculations'!D12</f>
        <v>99</v>
      </c>
      <c r="E9" s="500">
        <f>'General Calculations'!E12</f>
        <v>4</v>
      </c>
      <c r="F9" s="492"/>
    </row>
    <row r="10" spans="1:6">
      <c r="A10" s="492"/>
      <c r="B10" s="492"/>
      <c r="C10" s="151" t="s">
        <v>16646</v>
      </c>
      <c r="D10" s="502">
        <f>'General Calculations'!D14</f>
        <v>396</v>
      </c>
      <c r="E10" s="527">
        <f>'General Calculations'!E14</f>
        <v>41</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7.1984435797665378E-2</v>
      </c>
      <c r="E13" s="503">
        <f>'Input Summary'!D58</f>
        <v>0.33636363636363631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1.8100000000000002E-2</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1.8100000000000002E-2</v>
      </c>
      <c r="E20" s="506">
        <f>SUMPRODUCT('General Calculations'!D35:D41,'General Calculations'!F35:F41)/100</f>
        <v>3.5115356923255493E-2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0.34840466926070041</v>
      </c>
      <c r="E25" s="508">
        <f>E5*E13</f>
        <v>0.37</v>
      </c>
      <c r="F25" s="131" t="s">
        <v>16641</v>
      </c>
      <c r="G25" s="131"/>
      <c r="H25" s="131"/>
    </row>
    <row r="26" spans="1:8">
      <c r="A26" s="492"/>
      <c r="B26" s="492"/>
      <c r="C26" s="109" t="s">
        <v>16657</v>
      </c>
      <c r="D26" s="499">
        <f>60*D25/speed</f>
        <v>1.3936186770428016</v>
      </c>
      <c r="E26" s="499">
        <f>60*E25/speedP</f>
        <v>4.4399999999999995</v>
      </c>
      <c r="F26" s="492" t="s">
        <v>16658</v>
      </c>
      <c r="G26" s="131"/>
      <c r="H26" s="131"/>
    </row>
    <row r="27" spans="1:8">
      <c r="A27" s="492"/>
      <c r="B27" s="492"/>
      <c r="C27" s="151" t="s">
        <v>16659</v>
      </c>
      <c r="D27" s="502">
        <f>D26*scheme_days</f>
        <v>352.58552529182879</v>
      </c>
      <c r="E27" s="502">
        <f>E26*scheme_days</f>
        <v>1123.32</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52.10526315789474</v>
      </c>
      <c r="E3" s="94"/>
      <c r="F3" s="167">
        <f>'General Calculations'!E13</f>
        <v>2.1052631578947367</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8.3368421052631589</v>
      </c>
      <c r="E9" s="299">
        <f>'General Calculations'!$D$13*'Health Assumptions'!E25</f>
        <v>2.0842105263157897</v>
      </c>
      <c r="F9" s="300">
        <f>'General Calculations'!$E$13*'Health Assumptions'!F25</f>
        <v>0.31578947368421051</v>
      </c>
      <c r="G9" s="167">
        <f>'General Calculations'!$E$13*'Health Assumptions'!G25</f>
        <v>0.31578947368421051</v>
      </c>
    </row>
    <row r="10" spans="1:7">
      <c r="B10" s="179"/>
      <c r="C10" s="125" t="s">
        <v>16583</v>
      </c>
      <c r="D10" s="167">
        <f>'General Calculations'!$D$13*'Health Assumptions'!D26</f>
        <v>20.321052631578951</v>
      </c>
      <c r="E10" s="299">
        <f>'General Calculations'!$D$13*'Health Assumptions'!E26</f>
        <v>8.3368421052631589</v>
      </c>
      <c r="F10" s="300">
        <f>'General Calculations'!$E$13*'Health Assumptions'!F26</f>
        <v>0.35789473684210527</v>
      </c>
      <c r="G10" s="167">
        <f>'General Calculations'!$E$13*'Health Assumptions'!G26</f>
        <v>0.50526315789473675</v>
      </c>
    </row>
    <row r="11" spans="1:7">
      <c r="C11" s="125" t="s">
        <v>16584</v>
      </c>
      <c r="D11" s="167">
        <f>'General Calculations'!$D$13*'Health Assumptions'!D27</f>
        <v>6.7736842105263166</v>
      </c>
      <c r="E11" s="299">
        <f>'General Calculations'!$D$13*'Health Assumptions'!E27</f>
        <v>2.6052631578947372</v>
      </c>
      <c r="F11" s="300">
        <f>'General Calculations'!$E$13*'Health Assumptions'!F27</f>
        <v>0.14736842105263159</v>
      </c>
      <c r="G11" s="167">
        <f>'General Calculations'!$E$13*'Health Assumptions'!G27</f>
        <v>0.18947368421052629</v>
      </c>
    </row>
    <row r="12" spans="1:7">
      <c r="C12" s="125" t="s">
        <v>16585</v>
      </c>
      <c r="D12" s="167">
        <f>'General Calculations'!$D$13*'Health Assumptions'!D28</f>
        <v>2.6052631578947372</v>
      </c>
      <c r="E12" s="299">
        <f>'General Calculations'!$D$13*'Health Assumptions'!E28</f>
        <v>0.52105263157894743</v>
      </c>
      <c r="F12" s="300">
        <f>'General Calculations'!$E$13*'Health Assumptions'!F28</f>
        <v>0.10526315789473684</v>
      </c>
      <c r="G12" s="167">
        <f>'General Calculations'!$E$13*'Health Assumptions'!G28</f>
        <v>0.10526315789473684</v>
      </c>
    </row>
    <row r="13" spans="1:7">
      <c r="C13" s="125" t="s">
        <v>16586</v>
      </c>
      <c r="D13" s="167">
        <f>'General Calculations'!$D$13*'Health Assumptions'!D29</f>
        <v>0.52105263157894743</v>
      </c>
      <c r="E13" s="299">
        <f>'General Calculations'!$D$13*'Health Assumptions'!E29</f>
        <v>0</v>
      </c>
      <c r="F13" s="300">
        <f>'General Calculations'!$E$13*'Health Assumptions'!F29</f>
        <v>2.1052631578947368E-2</v>
      </c>
      <c r="G13" s="167">
        <f>'General Calculations'!$E$13*'Health Assumptions'!G29</f>
        <v>2.1052631578947368E-2</v>
      </c>
    </row>
    <row r="14" spans="1:7">
      <c r="C14" s="125" t="s">
        <v>16523</v>
      </c>
      <c r="D14" s="167">
        <f>SUM(D9:D13)</f>
        <v>38.557894736842115</v>
      </c>
      <c r="E14" s="299">
        <f>SUM(E9:E13)</f>
        <v>13.547368421052632</v>
      </c>
      <c r="F14" s="300">
        <f>SUM(F9:F13)</f>
        <v>0.94736842105263153</v>
      </c>
      <c r="G14" s="167">
        <f>SUM(G9:G13)</f>
        <v>1.1368421052631579</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5.1331736003042243E-3</v>
      </c>
      <c r="E72" s="124">
        <f>E64*'Health Assumptions'!E60*E10</f>
        <v>1.0874567098178762E-3</v>
      </c>
      <c r="F72" s="162">
        <f>SUM(D72:E72)</f>
        <v>6.2206303101221003E-3</v>
      </c>
      <c r="G72" s="124">
        <f>F64*'Health Assumptions'!D60*F10</f>
        <v>3.1366330430137981E-5</v>
      </c>
      <c r="H72" s="124">
        <f>G64*'Health Assumptions'!E60*G10</f>
        <v>2.5453790346449116E-5</v>
      </c>
      <c r="I72" s="124">
        <f>SUM(G72:H72)</f>
        <v>5.6820120776587097E-5</v>
      </c>
    </row>
    <row r="73" spans="2:12">
      <c r="C73" s="125" t="s">
        <v>16584</v>
      </c>
      <c r="D73" s="124">
        <f>D65*'Health Assumptions'!D61*D11</f>
        <v>9.6631637221468707E-3</v>
      </c>
      <c r="E73" s="124">
        <f>E65*'Health Assumptions'!E61*E11</f>
        <v>1.919750822295416E-3</v>
      </c>
      <c r="F73" s="162">
        <f>SUM(D73:E73)</f>
        <v>1.1582914544442286E-2</v>
      </c>
      <c r="G73" s="124">
        <f>F65*'Health Assumptions'!D61*F11</f>
        <v>7.3259987273845099E-5</v>
      </c>
      <c r="H73" s="124">
        <f>G65*'Health Assumptions'!E61*G11</f>
        <v>6.3600411259900363E-5</v>
      </c>
      <c r="I73" s="124">
        <f>SUM(G73:H73)</f>
        <v>1.3686039853374546E-4</v>
      </c>
    </row>
    <row r="74" spans="2:12">
      <c r="C74" s="125" t="s">
        <v>16585</v>
      </c>
      <c r="D74" s="124">
        <f>D66*'Health Assumptions'!D62*D12</f>
        <v>1.2599895452492373E-2</v>
      </c>
      <c r="E74" s="124">
        <f>E66*'Health Assumptions'!E62*E12</f>
        <v>1.3416436162517309E-3</v>
      </c>
      <c r="F74" s="162">
        <f>SUM(D74:E74)</f>
        <v>1.3941539068744103E-2</v>
      </c>
      <c r="G74" s="124">
        <f>F66*'Health Assumptions'!D62*F12</f>
        <v>2.0743899110579992E-4</v>
      </c>
      <c r="H74" s="124">
        <f>G66*'Health Assumptions'!E62*G12</f>
        <v>1.3900027295092921E-4</v>
      </c>
      <c r="I74" s="124">
        <f>SUM(G74:H74)</f>
        <v>3.464392640567291E-4</v>
      </c>
    </row>
    <row r="75" spans="2:12">
      <c r="C75" s="125" t="s">
        <v>16586</v>
      </c>
      <c r="D75" s="124">
        <f>D67*'Health Assumptions'!D63*D13</f>
        <v>8.3200063393769948E-3</v>
      </c>
      <c r="E75" s="124">
        <f>E67*'Health Assumptions'!E63*E13</f>
        <v>0</v>
      </c>
      <c r="F75" s="162">
        <f>SUM(D75:E75)</f>
        <v>8.3200063393769948E-3</v>
      </c>
      <c r="G75" s="124">
        <f>F67*'Health Assumptions'!D63*F13</f>
        <v>1.8793518135869114E-4</v>
      </c>
      <c r="H75" s="124">
        <f>G67*'Health Assumptions'!E63*G13</f>
        <v>1.4943436003008197E-4</v>
      </c>
      <c r="I75" s="124">
        <f>SUM(G75:H75)</f>
        <v>3.3736954138877313E-4</v>
      </c>
    </row>
    <row r="76" spans="2:12">
      <c r="C76" s="125" t="s">
        <v>16683</v>
      </c>
      <c r="D76" s="124">
        <f t="shared" ref="D76:I76" si="2">SUM(D71:D75)</f>
        <v>3.5716239114320467E-2</v>
      </c>
      <c r="E76" s="124">
        <f t="shared" si="2"/>
        <v>4.3488511483650233E-3</v>
      </c>
      <c r="F76" s="162">
        <f t="shared" si="2"/>
        <v>4.0065090262685489E-2</v>
      </c>
      <c r="G76" s="124">
        <f t="shared" si="2"/>
        <v>5.0000049016847418E-4</v>
      </c>
      <c r="H76" s="124">
        <f t="shared" si="2"/>
        <v>3.7748883458736063E-4</v>
      </c>
      <c r="I76" s="124">
        <f t="shared" si="2"/>
        <v>8.7748932475583481E-4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0.1788497227147427</v>
      </c>
      <c r="E82" s="124">
        <f>E72*'Health Assumptions'!E93</f>
        <v>3.7286055636754974E-2</v>
      </c>
      <c r="F82" s="162">
        <f>SUM(D82:E82)</f>
        <v>0.21613577835149766</v>
      </c>
      <c r="G82" s="124">
        <f>G72*'Health Assumptions'!D68</f>
        <v>1.0928637791787711E-3</v>
      </c>
      <c r="H82" s="124">
        <f>H72*'Health Assumptions'!E68</f>
        <v>8.7274411427646248E-4</v>
      </c>
      <c r="I82" s="124">
        <f>SUM(G82:H82)</f>
        <v>1.9656078934552337E-3</v>
      </c>
    </row>
    <row r="83" spans="3:11">
      <c r="C83" s="125" t="s">
        <v>16584</v>
      </c>
      <c r="D83" s="124">
        <f>D73*'Health Assumptions'!D94</f>
        <v>0.22927514815746272</v>
      </c>
      <c r="E83" s="124">
        <f>E73*'Health Assumptions'!E94</f>
        <v>4.55493839143402E-2</v>
      </c>
      <c r="F83" s="162">
        <f>SUM(D83:E83)</f>
        <v>0.27482453207180291</v>
      </c>
      <c r="G83" s="124">
        <f>G73*'Health Assumptions'!D69</f>
        <v>1.7382189642227172E-3</v>
      </c>
      <c r="H83" s="124">
        <f>H73*'Health Assumptions'!E69</f>
        <v>1.5090289406014044E-3</v>
      </c>
      <c r="I83" s="124">
        <f>SUM(G83:H83)</f>
        <v>3.2472479048241219E-3</v>
      </c>
    </row>
    <row r="84" spans="3:11">
      <c r="C84" s="125" t="s">
        <v>16585</v>
      </c>
      <c r="D84" s="124">
        <f>D74*'Health Assumptions'!D95</f>
        <v>0.19065234503524831</v>
      </c>
      <c r="E84" s="124">
        <f>E74*'Health Assumptions'!E95</f>
        <v>1.9243506998927989E-2</v>
      </c>
      <c r="F84" s="162">
        <f>SUM(D84:E84)</f>
        <v>0.20989585203417629</v>
      </c>
      <c r="G84" s="124">
        <f>G74*'Health Assumptions'!D70</f>
        <v>3.1388141477192715E-3</v>
      </c>
      <c r="H84" s="124">
        <f>H74*'Health Assumptions'!E70</f>
        <v>1.9937133028345346E-3</v>
      </c>
      <c r="I84" s="124">
        <f>SUM(G84:H84)</f>
        <v>5.1325274505538056E-3</v>
      </c>
    </row>
    <row r="85" spans="3:11">
      <c r="C85" s="125" t="s">
        <v>16586</v>
      </c>
      <c r="D85" s="124">
        <f>D75*'Health Assumptions'!D96</f>
        <v>4.8111642833371888E-2</v>
      </c>
      <c r="E85" s="124">
        <f>E75*'Health Assumptions'!E96</f>
        <v>0</v>
      </c>
      <c r="F85" s="162">
        <f>SUM(D85:E85)</f>
        <v>4.8111642833371888E-2</v>
      </c>
      <c r="G85" s="124">
        <f>G75*'Health Assumptions'!D71</f>
        <v>1.0867624317256683E-3</v>
      </c>
      <c r="H85" s="124">
        <f>H75*'Health Assumptions'!E71</f>
        <v>8.641258508150563E-4</v>
      </c>
      <c r="I85" s="124">
        <f>SUM(G85:H85)</f>
        <v>1.9508882825407246E-3</v>
      </c>
    </row>
    <row r="86" spans="3:11">
      <c r="C86" s="125" t="s">
        <v>16683</v>
      </c>
      <c r="D86" s="124">
        <f t="shared" ref="D86:I86" si="3">SUM(D81:D85)</f>
        <v>0.64688885874082558</v>
      </c>
      <c r="E86" s="124">
        <f t="shared" si="3"/>
        <v>0.10207894655002317</v>
      </c>
      <c r="F86" s="162">
        <f t="shared" si="3"/>
        <v>0.74896780529084872</v>
      </c>
      <c r="G86" s="124">
        <f t="shared" si="3"/>
        <v>7.0566593228464274E-3</v>
      </c>
      <c r="H86" s="124">
        <f t="shared" si="3"/>
        <v>5.2396122085274568E-3</v>
      </c>
      <c r="I86" s="124">
        <f t="shared" si="3"/>
        <v>1.2296271531373887E-2</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21.409618999999999</v>
      </c>
      <c r="H18" s="94">
        <f>IF(H4&lt;opening,0,'General Calculations'!$E$28/1000)</f>
        <v>21.409618999999999</v>
      </c>
      <c r="I18" s="94">
        <f>IF(I4&lt;opening,0,'General Calculations'!$E$28/1000)</f>
        <v>21.409618999999999</v>
      </c>
      <c r="J18" s="94">
        <f>IF(J4&lt;opening,0,'General Calculations'!$E$28/1000)</f>
        <v>21.409618999999999</v>
      </c>
      <c r="K18" s="94">
        <f>IF(K4&lt;opening,0,'General Calculations'!$E$28/1000)</f>
        <v>21.409618999999999</v>
      </c>
      <c r="L18" s="94">
        <f>IF(L4&lt;opening,0,'General Calculations'!$E$28/1000)</f>
        <v>21.409618999999999</v>
      </c>
      <c r="M18" s="94">
        <f>IF(M4&lt;opening,0,'General Calculations'!$E$28/1000)</f>
        <v>21.409618999999999</v>
      </c>
      <c r="N18" s="94">
        <f>IF(N4&lt;opening,0,'General Calculations'!$E$28/1000)</f>
        <v>21.409618999999999</v>
      </c>
      <c r="O18" s="94">
        <f>IF(O4&lt;opening,0,'General Calculations'!$E$28/1000)</f>
        <v>21.409618999999999</v>
      </c>
      <c r="P18" s="94">
        <f>IF(P4&lt;opening,0,'General Calculations'!$E$28/1000)</f>
        <v>21.409618999999999</v>
      </c>
      <c r="Q18" s="94">
        <f>IF(Q4&lt;opening,0,'General Calculations'!$E$28/1000)</f>
        <v>21.409618999999999</v>
      </c>
      <c r="R18" s="94">
        <f>IF(R4&lt;opening,0,'General Calculations'!$E$28/1000)</f>
        <v>21.409618999999999</v>
      </c>
      <c r="S18" s="94">
        <f>IF(S4&lt;opening,0,'General Calculations'!$E$28/1000)</f>
        <v>21.409618999999999</v>
      </c>
      <c r="T18" s="94">
        <f>IF(T4&lt;opening,0,'General Calculations'!$E$28/1000)</f>
        <v>21.409618999999999</v>
      </c>
      <c r="U18" s="94">
        <f>IF(U4&lt;opening,0,'General Calculations'!$E$28/1000)</f>
        <v>21.409618999999999</v>
      </c>
      <c r="V18" s="94">
        <f>IF(V4&lt;opening,0,'General Calculations'!$E$28/1000)</f>
        <v>21.409618999999999</v>
      </c>
      <c r="W18" s="94">
        <f>IF(W4&lt;opening,0,'General Calculations'!$E$28/1000)</f>
        <v>21.409618999999999</v>
      </c>
      <c r="X18" s="94">
        <f>IF(X4&lt;opening,0,'General Calculations'!$E$28/1000)</f>
        <v>21.409618999999999</v>
      </c>
      <c r="Y18" s="94">
        <f>IF(Y4&lt;opening,0,'General Calculations'!$E$28/1000)</f>
        <v>21.409618999999999</v>
      </c>
      <c r="Z18" s="94">
        <f>IF(Z4&lt;opening,0,'General Calculations'!$E$28/1000)</f>
        <v>21.409618999999999</v>
      </c>
      <c r="AA18" s="94">
        <f>IF(AA4&lt;opening,0,'General Calculations'!$E$28/1000)</f>
        <v>21.409618999999999</v>
      </c>
      <c r="AB18" s="94">
        <f>IF(AB4&lt;opening,0,'General Calculations'!$E$28/1000)</f>
        <v>21.409618999999999</v>
      </c>
      <c r="AC18" s="94">
        <f>IF(AC4&lt;opening,0,'General Calculations'!$E$28/1000)</f>
        <v>21.409618999999999</v>
      </c>
      <c r="AD18" s="94">
        <f>IF(AD4&lt;opening,0,'General Calculations'!$E$28/1000)</f>
        <v>21.409618999999999</v>
      </c>
      <c r="AE18" s="94">
        <f>IF(AE4&lt;opening,0,'General Calculations'!$E$28/1000)</f>
        <v>21.409618999999999</v>
      </c>
      <c r="AF18" s="94">
        <f>IF(AF4&lt;opening,0,'General Calculations'!$E$28/1000)</f>
        <v>21.409618999999999</v>
      </c>
      <c r="AG18" s="94">
        <f>IF(AG4&lt;opening,0,'General Calculations'!$E$28/1000)</f>
        <v>21.409618999999999</v>
      </c>
      <c r="AH18" s="94">
        <f>IF(AH4&lt;opening,0,'General Calculations'!$E$28/1000)</f>
        <v>21.409618999999999</v>
      </c>
      <c r="AI18" s="94">
        <f>IF(AI4&lt;opening,0,'General Calculations'!$E$28/1000)</f>
        <v>21.409618999999999</v>
      </c>
      <c r="AJ18" s="94">
        <f>IF(AJ4&lt;opening,0,'General Calculations'!$E$28/1000)</f>
        <v>21.409618999999999</v>
      </c>
      <c r="AK18" s="94">
        <f>IF(AK4&lt;opening,0,'General Calculations'!$E$28/1000)</f>
        <v>21.409618999999999</v>
      </c>
      <c r="AL18" s="94">
        <f>IF(AL4&lt;opening,0,'General Calculations'!$E$28/1000)</f>
        <v>21.409618999999999</v>
      </c>
      <c r="AM18" s="94">
        <f>IF(AM4&lt;opening,0,'General Calculations'!$E$28/1000)</f>
        <v>21.409618999999999</v>
      </c>
      <c r="AN18" s="94">
        <f>IF(AN4&lt;opening,0,'General Calculations'!$E$28/1000)</f>
        <v>21.409618999999999</v>
      </c>
      <c r="AO18" s="94">
        <f>IF(AO4&lt;opening,0,'General Calculations'!$E$28/1000)</f>
        <v>21.409618999999999</v>
      </c>
      <c r="AP18" s="94">
        <f>IF(AP4&lt;opening,0,'General Calculations'!$E$28/1000)</f>
        <v>21.409618999999999</v>
      </c>
      <c r="AQ18" s="94">
        <f>IF(AQ4&lt;opening,0,'General Calculations'!$E$28/1000)</f>
        <v>21.409618999999999</v>
      </c>
      <c r="AR18" s="94">
        <f>IF(AR4&lt;opening,0,'General Calculations'!$E$28/1000)</f>
        <v>21.409618999999999</v>
      </c>
      <c r="AS18" s="94">
        <f>IF(AS4&lt;opening,0,'General Calculations'!$E$28/1000)</f>
        <v>21.409618999999999</v>
      </c>
      <c r="AT18" s="94">
        <f>IF(AT4&lt;opening,0,'General Calculations'!$E$28/1000)</f>
        <v>21.409618999999999</v>
      </c>
      <c r="AU18" s="94">
        <f>IF(AU4&lt;opening,0,'General Calculations'!$E$28/1000)</f>
        <v>21.409618999999999</v>
      </c>
      <c r="AV18" s="94">
        <f>IF(AV4&lt;opening,0,'General Calculations'!$E$28/1000)</f>
        <v>21.409618999999999</v>
      </c>
      <c r="AW18" s="94">
        <f>IF(AW4&lt;opening,0,'General Calculations'!$E$28/1000)</f>
        <v>21.409618999999999</v>
      </c>
      <c r="AX18" s="94">
        <f>IF(AX4&lt;opening,0,'General Calculations'!$E$28/1000)</f>
        <v>21.409618999999999</v>
      </c>
      <c r="AY18" s="94">
        <f>IF(AY4&lt;opening,0,'General Calculations'!$E$28/1000)</f>
        <v>21.409618999999999</v>
      </c>
      <c r="AZ18" s="94">
        <f>IF(AZ4&lt;opening,0,'General Calculations'!$E$28/1000)</f>
        <v>21.409618999999999</v>
      </c>
      <c r="BA18" s="94">
        <f>IF(BA4&lt;opening,0,'General Calculations'!$E$28/1000)</f>
        <v>21.409618999999999</v>
      </c>
      <c r="BB18" s="94">
        <f>IF(BB4&lt;opening,0,'General Calculations'!$E$28/1000)</f>
        <v>21.409618999999999</v>
      </c>
      <c r="BC18" s="94">
        <f>IF(BC4&lt;opening,0,'General Calculations'!$E$28/1000)</f>
        <v>21.409618999999999</v>
      </c>
      <c r="BD18" s="94">
        <f>IF(BD4&lt;opening,0,'General Calculations'!$E$28/1000)</f>
        <v>21.409618999999999</v>
      </c>
      <c r="BE18" s="94">
        <f>IF(BE4&lt;opening,0,'General Calculations'!$E$28/1000)</f>
        <v>21.409618999999999</v>
      </c>
      <c r="BF18" s="94">
        <f>IF(BF4&lt;opening,0,'General Calculations'!$E$28/1000)</f>
        <v>21.409618999999999</v>
      </c>
      <c r="BG18" s="94">
        <f>IF(BG4&lt;opening,0,'General Calculations'!$E$28/1000)</f>
        <v>21.409618999999999</v>
      </c>
      <c r="BH18" s="94">
        <f>IF(BH4&lt;opening,0,'General Calculations'!$E$28/1000)</f>
        <v>21.409618999999999</v>
      </c>
      <c r="BI18" s="94">
        <f>IF(BI4&lt;opening,0,'General Calculations'!$E$28/1000)</f>
        <v>21.409618999999999</v>
      </c>
      <c r="BJ18" s="94">
        <f>IF(BJ4&lt;opening,0,'General Calculations'!$E$28/1000)</f>
        <v>21.409618999999999</v>
      </c>
      <c r="BK18" s="94">
        <f>IF(BK4&lt;opening,0,'General Calculations'!$E$28/1000)</f>
        <v>21.409618999999999</v>
      </c>
      <c r="BL18" s="94">
        <f>IF(BL4&lt;opening,0,'General Calculations'!$E$28/1000)</f>
        <v>21.409618999999999</v>
      </c>
      <c r="BM18" s="94">
        <f>IF(BM4&lt;opening,0,'General Calculations'!$E$28/1000)</f>
        <v>21.409618999999999</v>
      </c>
      <c r="BN18" s="376">
        <f>IF(BN4&lt;opening,0,'General Calculations'!$E$28/1000)</f>
        <v>21.409618999999999</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47.19437086924178</v>
      </c>
      <c r="C19" s="42">
        <f>IFERROR(C$18*HLOOKUP(C$4,mecc2,2)/100*C$7*C$9*C$11*C$12,0)</f>
        <v>0</v>
      </c>
      <c r="D19" s="42">
        <f t="shared" ref="D19:AH19" si="19">IFERROR(D$18*HLOOKUP(D$4,mecc2,2)/100*D$7*D$9*D$11*D$12,0)</f>
        <v>0</v>
      </c>
      <c r="E19" s="42">
        <f t="shared" si="19"/>
        <v>0</v>
      </c>
      <c r="F19" s="42">
        <f t="shared" si="19"/>
        <v>0</v>
      </c>
      <c r="G19" s="42">
        <f t="shared" si="19"/>
        <v>2.3920836466401227</v>
      </c>
      <c r="H19" s="42">
        <f t="shared" si="19"/>
        <v>2.3847033771963715</v>
      </c>
      <c r="I19" s="42">
        <f t="shared" si="19"/>
        <v>2.377345878017004</v>
      </c>
      <c r="J19" s="42">
        <f t="shared" si="19"/>
        <v>2.3700110788491742</v>
      </c>
      <c r="K19" s="42">
        <f t="shared" si="19"/>
        <v>2.3626989096567832</v>
      </c>
      <c r="L19" s="42">
        <f t="shared" si="19"/>
        <v>2.3924801854767952</v>
      </c>
      <c r="M19" s="42">
        <f t="shared" si="19"/>
        <v>2.4226368474223281</v>
      </c>
      <c r="N19" s="42">
        <f t="shared" si="19"/>
        <v>2.4531736271490736</v>
      </c>
      <c r="O19" s="42">
        <f t="shared" si="19"/>
        <v>2.4840953159541512</v>
      </c>
      <c r="P19" s="42">
        <f t="shared" si="19"/>
        <v>2.5154067655278838</v>
      </c>
      <c r="Q19" s="42">
        <f t="shared" si="19"/>
        <v>2.4664052811262294</v>
      </c>
      <c r="R19" s="42">
        <f t="shared" si="19"/>
        <v>2.4183583721461215</v>
      </c>
      <c r="S19" s="42">
        <f t="shared" si="19"/>
        <v>2.3712474429420092</v>
      </c>
      <c r="T19" s="42">
        <f t="shared" si="19"/>
        <v>2.3250542601215742</v>
      </c>
      <c r="U19" s="42">
        <f t="shared" si="19"/>
        <v>2.2797609454888454</v>
      </c>
      <c r="V19" s="42">
        <f t="shared" si="19"/>
        <v>2.2649739648040104</v>
      </c>
      <c r="W19" s="42">
        <f t="shared" si="19"/>
        <v>2.2502828954024201</v>
      </c>
      <c r="X19" s="42">
        <f t="shared" si="19"/>
        <v>2.2356871151845099</v>
      </c>
      <c r="Y19" s="42">
        <f t="shared" si="19"/>
        <v>2.2211860060857749</v>
      </c>
      <c r="Z19" s="42">
        <f t="shared" si="19"/>
        <v>2.2067789540505998</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0.25895348541835295</v>
      </c>
      <c r="C20" s="42">
        <f t="shared" ref="C20:AH20" si="22">IFERROR(C$18*HLOOKUP(C$4,mecc2,3)/100*C$7*C$9*C$11*C$12,0)</f>
        <v>0</v>
      </c>
      <c r="D20" s="42">
        <f t="shared" si="22"/>
        <v>0</v>
      </c>
      <c r="E20" s="42">
        <f t="shared" si="22"/>
        <v>0</v>
      </c>
      <c r="F20" s="42">
        <f t="shared" si="22"/>
        <v>0</v>
      </c>
      <c r="G20" s="42">
        <f t="shared" si="22"/>
        <v>1.4311419295320649E-2</v>
      </c>
      <c r="H20" s="42">
        <f t="shared" si="22"/>
        <v>1.413071620627409E-2</v>
      </c>
      <c r="I20" s="42">
        <f t="shared" si="22"/>
        <v>1.3952294764191901E-2</v>
      </c>
      <c r="J20" s="42">
        <f t="shared" si="22"/>
        <v>1.3776126159866127E-2</v>
      </c>
      <c r="K20" s="42">
        <f t="shared" si="22"/>
        <v>1.3602181947848175E-2</v>
      </c>
      <c r="L20" s="42">
        <f t="shared" si="22"/>
        <v>1.3624001418405276E-2</v>
      </c>
      <c r="M20" s="42">
        <f t="shared" si="22"/>
        <v>1.364585588991276E-2</v>
      </c>
      <c r="N20" s="42">
        <f t="shared" si="22"/>
        <v>1.3667745418516187E-2</v>
      </c>
      <c r="O20" s="42">
        <f t="shared" si="22"/>
        <v>1.3689670060451185E-2</v>
      </c>
      <c r="P20" s="42">
        <f t="shared" si="22"/>
        <v>1.3711629872043597E-2</v>
      </c>
      <c r="Q20" s="42">
        <f t="shared" si="22"/>
        <v>1.3347311203945821E-2</v>
      </c>
      <c r="R20" s="42">
        <f t="shared" si="22"/>
        <v>1.2992672500459341E-2</v>
      </c>
      <c r="S20" s="42">
        <f t="shared" si="22"/>
        <v>1.2647456564456802E-2</v>
      </c>
      <c r="T20" s="42">
        <f t="shared" si="22"/>
        <v>1.2311413032550943E-2</v>
      </c>
      <c r="U20" s="42">
        <f t="shared" si="22"/>
        <v>1.1984298193521821E-2</v>
      </c>
      <c r="V20" s="42">
        <f t="shared" si="22"/>
        <v>1.1823946157864208E-2</v>
      </c>
      <c r="W20" s="42">
        <f t="shared" si="22"/>
        <v>1.166573966088765E-2</v>
      </c>
      <c r="X20" s="42">
        <f t="shared" si="22"/>
        <v>1.1509649994904017E-2</v>
      </c>
      <c r="Y20" s="42">
        <f t="shared" si="22"/>
        <v>1.1355648836339124E-2</v>
      </c>
      <c r="Z20" s="42">
        <f t="shared" si="22"/>
        <v>1.1203708240593245E-2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7.9565715219075841</v>
      </c>
      <c r="C21" s="42">
        <f t="shared" ref="C21:AH21" si="24">IFERROR(C$18*HLOOKUP(C$4,mecc2,4)/100*C$7*C$9*C$11*C$12,0)</f>
        <v>0</v>
      </c>
      <c r="D21" s="42">
        <f t="shared" si="24"/>
        <v>0</v>
      </c>
      <c r="E21" s="42">
        <f t="shared" si="24"/>
        <v>0</v>
      </c>
      <c r="F21" s="42">
        <f t="shared" si="24"/>
        <v>0</v>
      </c>
      <c r="G21" s="42">
        <f t="shared" si="24"/>
        <v>0.4336914609824461</v>
      </c>
      <c r="H21" s="42">
        <f t="shared" si="24"/>
        <v>0.4292944334685187</v>
      </c>
      <c r="I21" s="42">
        <f t="shared" si="24"/>
        <v>0.42494198569087321</v>
      </c>
      <c r="J21" s="42">
        <f t="shared" si="24"/>
        <v>0.42063366567305921</v>
      </c>
      <c r="K21" s="42">
        <f t="shared" si="24"/>
        <v>0.41636902602103848</v>
      </c>
      <c r="L21" s="42">
        <f t="shared" si="24"/>
        <v>0.41766214271674684</v>
      </c>
      <c r="M21" s="42">
        <f t="shared" si="24"/>
        <v>0.41895927544314993</v>
      </c>
      <c r="N21" s="42">
        <f t="shared" si="24"/>
        <v>0.42026043667282825</v>
      </c>
      <c r="O21" s="42">
        <f t="shared" si="24"/>
        <v>0.42156563891709858</v>
      </c>
      <c r="P21" s="42">
        <f t="shared" si="24"/>
        <v>0.42287489472613465</v>
      </c>
      <c r="Q21" s="42">
        <f t="shared" si="24"/>
        <v>0.41163908834452251</v>
      </c>
      <c r="R21" s="42">
        <f t="shared" si="24"/>
        <v>0.40070181788126236</v>
      </c>
      <c r="S21" s="42">
        <f t="shared" si="24"/>
        <v>0.39005515122258155</v>
      </c>
      <c r="T21" s="42">
        <f t="shared" si="24"/>
        <v>0.37969136701135342</v>
      </c>
      <c r="U21" s="42">
        <f t="shared" si="24"/>
        <v>0.36960294904728386</v>
      </c>
      <c r="V21" s="42">
        <f t="shared" si="24"/>
        <v>0.36489808285817532</v>
      </c>
      <c r="W21" s="42">
        <f t="shared" si="24"/>
        <v>0.36025310733258681</v>
      </c>
      <c r="X21" s="42">
        <f t="shared" si="24"/>
        <v>0.35566726009143412</v>
      </c>
      <c r="Y21" s="42">
        <f t="shared" si="24"/>
        <v>0.35113978846034888</v>
      </c>
      <c r="Z21" s="42">
        <f t="shared" si="24"/>
        <v>0.34666994934614198</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1.0527342220255953</v>
      </c>
      <c r="C22" s="42">
        <f t="shared" ref="C22:AH22" si="26">IFERROR(C$18*HLOOKUP(C$4,mecc2,5)/100*C$7*C$9*C$11*C$12,0)</f>
        <v>0</v>
      </c>
      <c r="D22" s="42">
        <f t="shared" si="26"/>
        <v>0</v>
      </c>
      <c r="E22" s="42">
        <f t="shared" si="26"/>
        <v>0</v>
      </c>
      <c r="F22" s="42">
        <f t="shared" si="26"/>
        <v>0</v>
      </c>
      <c r="G22" s="42">
        <f t="shared" si="26"/>
        <v>7.0738628762940139E-2</v>
      </c>
      <c r="H22" s="42">
        <f t="shared" si="26"/>
        <v>6.5731162510603791E-2</v>
      </c>
      <c r="I22" s="42">
        <f t="shared" si="26"/>
        <v>6.107816620922335E-2</v>
      </c>
      <c r="J22" s="42">
        <f t="shared" si="26"/>
        <v>5.6754547538691413E-2</v>
      </c>
      <c r="K22" s="42">
        <f t="shared" si="26"/>
        <v>5.2736990421221423E-2</v>
      </c>
      <c r="L22" s="42">
        <f t="shared" si="26"/>
        <v>5.3069479369656523E-2</v>
      </c>
      <c r="M22" s="42">
        <f t="shared" si="26"/>
        <v>5.3404064548838746E-2</v>
      </c>
      <c r="N22" s="42">
        <f t="shared" si="26"/>
        <v>5.3740759174796364E-2</v>
      </c>
      <c r="O22" s="42">
        <f t="shared" si="26"/>
        <v>5.4079576546880233E-2</v>
      </c>
      <c r="P22" s="42">
        <f t="shared" si="26"/>
        <v>5.4420530048289201E-2</v>
      </c>
      <c r="Q22" s="42">
        <f t="shared" si="26"/>
        <v>5.2975013707370233E-2</v>
      </c>
      <c r="R22" s="42">
        <f t="shared" si="26"/>
        <v>5.1567893124265629E-2</v>
      </c>
      <c r="S22" s="42">
        <f t="shared" si="26"/>
        <v>5.0198148432110949E-2</v>
      </c>
      <c r="T22" s="42">
        <f t="shared" si="26"/>
        <v>4.8864786853712018E-2</v>
      </c>
      <c r="U22" s="42">
        <f t="shared" si="26"/>
        <v>4.7566841981990182E-2</v>
      </c>
      <c r="V22" s="42">
        <f t="shared" si="26"/>
        <v>4.6746446486935857E-2</v>
      </c>
      <c r="W22" s="42">
        <f t="shared" si="26"/>
        <v>4.5940200528412869E-2</v>
      </c>
      <c r="X22" s="42">
        <f t="shared" si="26"/>
        <v>4.5147860066339043E-2</v>
      </c>
      <c r="Y22" s="42">
        <f t="shared" si="26"/>
        <v>4.4369185269643653E-2</v>
      </c>
      <c r="Z22" s="42">
        <f t="shared" si="26"/>
        <v>4.360394044367373E-2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0.53043810146050574</v>
      </c>
      <c r="C23" s="42">
        <f t="shared" ref="C23:AH23" si="28">IFERROR(C$18*HLOOKUP(C$4,mecc2,6)/100*C$7*C$9*C$11*C$12,0)</f>
        <v>0</v>
      </c>
      <c r="D23" s="42">
        <f t="shared" si="28"/>
        <v>0</v>
      </c>
      <c r="E23" s="42">
        <f t="shared" si="28"/>
        <v>0</v>
      </c>
      <c r="F23" s="42">
        <f t="shared" si="28"/>
        <v>0</v>
      </c>
      <c r="G23" s="42">
        <f t="shared" si="28"/>
        <v>2.8912764065496397E-2</v>
      </c>
      <c r="H23" s="42">
        <f t="shared" si="28"/>
        <v>2.8619628897901248E-2</v>
      </c>
      <c r="I23" s="42">
        <f t="shared" si="28"/>
        <v>2.8329465712724877E-2</v>
      </c>
      <c r="J23" s="42">
        <f t="shared" si="28"/>
        <v>2.8042244378203941E-2</v>
      </c>
      <c r="K23" s="42">
        <f t="shared" si="28"/>
        <v>2.7757935068069228E-2</v>
      </c>
      <c r="L23" s="42">
        <f t="shared" si="28"/>
        <v>2.7844142847783127E-2</v>
      </c>
      <c r="M23" s="42">
        <f t="shared" si="28"/>
        <v>2.7930618362876664E-2</v>
      </c>
      <c r="N23" s="42">
        <f t="shared" si="28"/>
        <v>2.8017362444855216E-2</v>
      </c>
      <c r="O23" s="42">
        <f t="shared" si="28"/>
        <v>2.8104375927806572E-2</v>
      </c>
      <c r="P23" s="42">
        <f t="shared" si="28"/>
        <v>2.8191659648408984E-2</v>
      </c>
      <c r="Q23" s="42">
        <f t="shared" si="28"/>
        <v>2.7442605889634836E-2</v>
      </c>
      <c r="R23" s="42">
        <f t="shared" si="28"/>
        <v>2.6713454525417492E-2</v>
      </c>
      <c r="S23" s="42">
        <f t="shared" si="28"/>
        <v>2.6003676748172104E-2</v>
      </c>
      <c r="T23" s="42">
        <f t="shared" si="28"/>
        <v>2.53127578007569E-2</v>
      </c>
      <c r="U23" s="42">
        <f t="shared" si="28"/>
        <v>2.4640196603152257E-2</v>
      </c>
      <c r="V23" s="42">
        <f t="shared" si="28"/>
        <v>2.4326538857211692E-2</v>
      </c>
      <c r="W23" s="42">
        <f t="shared" si="28"/>
        <v>2.4016873822172463E-2</v>
      </c>
      <c r="X23" s="42">
        <f t="shared" si="28"/>
        <v>2.3711150672762291E-2</v>
      </c>
      <c r="Y23" s="42">
        <f t="shared" si="28"/>
        <v>2.3409319230689944E-2</v>
      </c>
      <c r="Z23" s="42">
        <f t="shared" si="28"/>
        <v>2.3111329956409472E-2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3.3277339532141847</v>
      </c>
      <c r="C24" s="42">
        <f t="shared" ref="C24:AH24" si="30">IFERROR(C$18*HLOOKUP(C$4,mecc2,7)/100*C$7*C$9*C$11*C$12,0)</f>
        <v>0</v>
      </c>
      <c r="D24" s="42">
        <f t="shared" si="30"/>
        <v>0</v>
      </c>
      <c r="E24" s="42">
        <f t="shared" si="30"/>
        <v>0</v>
      </c>
      <c r="F24" s="42">
        <f t="shared" si="30"/>
        <v>0</v>
      </c>
      <c r="G24" s="42">
        <f t="shared" si="30"/>
        <v>0.25410988621296404</v>
      </c>
      <c r="H24" s="42">
        <f t="shared" si="30"/>
        <v>0.19297032122641419</v>
      </c>
      <c r="I24" s="42">
        <f t="shared" si="30"/>
        <v>0.14654111034081327</v>
      </c>
      <c r="J24" s="42">
        <f t="shared" si="30"/>
        <v>0.11128290031046993</v>
      </c>
      <c r="K24" s="42">
        <f t="shared" si="30"/>
        <v>8.4507916397716404E-2</v>
      </c>
      <c r="L24" s="42">
        <f t="shared" si="30"/>
        <v>0.10125804728639834</v>
      </c>
      <c r="M24" s="42">
        <f t="shared" si="30"/>
        <v>0.12132818530278602</v>
      </c>
      <c r="N24" s="42">
        <f t="shared" si="30"/>
        <v>0.1453763818615979</v>
      </c>
      <c r="O24" s="42">
        <f t="shared" si="30"/>
        <v>0.17419111932175102</v>
      </c>
      <c r="P24" s="42">
        <f t="shared" si="30"/>
        <v>0.20871716342102536</v>
      </c>
      <c r="Q24" s="42">
        <f t="shared" si="30"/>
        <v>0.20317571699171613</v>
      </c>
      <c r="R24" s="42">
        <f t="shared" si="30"/>
        <v>0.19778139611751497</v>
      </c>
      <c r="S24" s="42">
        <f t="shared" si="30"/>
        <v>0.19253029461088728</v>
      </c>
      <c r="T24" s="42">
        <f t="shared" si="30"/>
        <v>0.18741860999368484</v>
      </c>
      <c r="U24" s="42">
        <f t="shared" si="30"/>
        <v>0.18244264074365918</v>
      </c>
      <c r="V24" s="42">
        <f t="shared" si="30"/>
        <v>0.17629966453667698</v>
      </c>
      <c r="W24" s="42">
        <f t="shared" si="30"/>
        <v>0.17036352679972416</v>
      </c>
      <c r="X24" s="42">
        <f t="shared" si="30"/>
        <v>0.1646272631313051</v>
      </c>
      <c r="Y24" s="42">
        <f t="shared" si="30"/>
        <v>0.15908414362638007</v>
      </c>
      <c r="Z24" s="42">
        <f t="shared" si="30"/>
        <v>0.15372766498069945</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-3.8384541783474715</v>
      </c>
      <c r="C25" s="532">
        <f t="shared" ref="C25:AH25" si="32">IFERROR(C$18*HLOOKUP(C$4,mecc2,8)/100*C$7*C$9*C$11*C$12,0)</f>
        <v>0</v>
      </c>
      <c r="D25" s="532">
        <f t="shared" si="32"/>
        <v>0</v>
      </c>
      <c r="E25" s="532">
        <f t="shared" si="32"/>
        <v>0</v>
      </c>
      <c r="F25" s="532">
        <f t="shared" si="32"/>
        <v>0</v>
      </c>
      <c r="G25" s="532">
        <f t="shared" si="32"/>
        <v>-0.39482258378032231</v>
      </c>
      <c r="H25" s="532">
        <f t="shared" si="32"/>
        <v>-0.36161203079113802</v>
      </c>
      <c r="I25" s="532">
        <f t="shared" si="32"/>
        <v>-0.33119498778632944</v>
      </c>
      <c r="J25" s="532">
        <f t="shared" si="32"/>
        <v>-0.30333647831020977</v>
      </c>
      <c r="K25" s="532">
        <f t="shared" si="32"/>
        <v>-0.27782129098222502</v>
      </c>
      <c r="L25" s="532">
        <f t="shared" si="32"/>
        <v>-0.24415808510458695</v>
      </c>
      <c r="M25" s="532">
        <f t="shared" si="32"/>
        <v>-0.21457380142169435</v>
      </c>
      <c r="N25" s="532">
        <f t="shared" si="32"/>
        <v>-0.18857420280321385</v>
      </c>
      <c r="O25" s="532">
        <f t="shared" si="32"/>
        <v>-0.16572493812039216</v>
      </c>
      <c r="P25" s="532">
        <f t="shared" si="32"/>
        <v>-0.14564428594545664</v>
      </c>
      <c r="Q25" s="532">
        <f t="shared" si="32"/>
        <v>-0.14177836316360298</v>
      </c>
      <c r="R25" s="532">
        <f t="shared" si="32"/>
        <v>-0.13801505586616905</v>
      </c>
      <c r="S25" s="532">
        <f t="shared" si="32"/>
        <v>-0.13435164026940716</v>
      </c>
      <c r="T25" s="532">
        <f t="shared" si="32"/>
        <v>-0.13078546488857945</v>
      </c>
      <c r="U25" s="532">
        <f t="shared" si="32"/>
        <v>-0.12731394861888226</v>
      </c>
      <c r="V25" s="532">
        <f t="shared" si="32"/>
        <v>-0.12029772912323929</v>
      </c>
      <c r="W25" s="532">
        <f t="shared" si="32"/>
        <v>-0.11366817060657824</v>
      </c>
      <c r="X25" s="532">
        <f t="shared" si="32"/>
        <v>-0.1074039643409212</v>
      </c>
      <c r="Y25" s="532">
        <f t="shared" si="32"/>
        <v>-0.10148497591354984</v>
      </c>
      <c r="Z25" s="532">
        <f t="shared" si="32"/>
        <v>-9.5892180510973632E-2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68.893269414614267</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3.8528173796563254</v>
      </c>
      <c r="H29" s="42">
        <f>IF(H4&lt;opening,0,1)*Absenteeism!$D$23*H7*H9*H11*H12*H10/1000</f>
        <v>3.8067045532886996</v>
      </c>
      <c r="I29" s="42">
        <f>IF(I4&lt;opening,0,1)*Absenteeism!$D$23*I7*I9*I11*I12*I10/1000</f>
        <v>3.7611436328501844</v>
      </c>
      <c r="J29" s="42">
        <f>IF(J4&lt;opening,0,1)*Absenteeism!$D$23*J7*J9*J11*J12*J10/1000</f>
        <v>3.7161280128000098</v>
      </c>
      <c r="K29" s="42">
        <f>IF(K4&lt;opening,0,1)*Absenteeism!$D$23*K7*K9*K11*K12*K10/1000</f>
        <v>3.6716511666564724</v>
      </c>
      <c r="L29" s="42">
        <f>IF(L4&lt;opening,0,1)*Absenteeism!$D$23*L7*L9*L11*L12*L10/1000</f>
        <v>3.6277066460507168</v>
      </c>
      <c r="M29" s="42">
        <f>IF(M4&lt;opening,0,1)*Absenteeism!$D$23*M7*M9*M11*M12*M10/1000</f>
        <v>3.5842880797918251</v>
      </c>
      <c r="N29" s="42">
        <f>IF(N4&lt;opening,0,1)*Absenteeism!$D$23*N7*N9*N11*N12*N10/1000</f>
        <v>3.5413891729431093</v>
      </c>
      <c r="O29" s="42">
        <f>IF(O4&lt;opening,0,1)*Absenteeism!$D$23*O7*O9*O11*O12*O10/1000</f>
        <v>3.4990037059094532</v>
      </c>
      <c r="P29" s="42">
        <f>IF(P4&lt;opening,0,1)*Absenteeism!$D$23*P7*P9*P11*P12*P10/1000</f>
        <v>3.4571255335355864</v>
      </c>
      <c r="Q29" s="42">
        <f>IF(Q4&lt;opening,0,1)*Absenteeism!$D$23*Q7*Q9*Q11*Q12*Q10/1000</f>
        <v>3.4157485842151298</v>
      </c>
      <c r="R29" s="42">
        <f>IF(R4&lt;opening,0,1)*Absenteeism!$D$23*R7*R9*R11*R12*R10/1000</f>
        <v>3.3748668590103335</v>
      </c>
      <c r="S29" s="42">
        <f>IF(S4&lt;opening,0,1)*Absenteeism!$D$23*S7*S9*S11*S12*S10/1000</f>
        <v>3.3344744307823238</v>
      </c>
      <c r="T29" s="42">
        <f>IF(T4&lt;opening,0,1)*Absenteeism!$D$23*T7*T9*T11*T12*T10/1000</f>
        <v>3.2945654433317766</v>
      </c>
      <c r="U29" s="42">
        <f>IF(U4&lt;opening,0,1)*Absenteeism!$D$23*U7*U9*U11*U12*U10/1000</f>
        <v>3.2551341105498719</v>
      </c>
      <c r="V29" s="42">
        <f>IF(V4&lt;opening,0,1)*Absenteeism!$D$23*V7*V9*V11*V12*V10/1000</f>
        <v>3.2161747155794025</v>
      </c>
      <c r="W29" s="42">
        <f>IF(W4&lt;opening,0,1)*Absenteeism!$D$23*W7*W9*W11*W12*W10/1000</f>
        <v>3.1776816099859335</v>
      </c>
      <c r="X29" s="42">
        <f>IF(X4&lt;opening,0,1)*Absenteeism!$D$23*X7*X9*X11*X12*X10/1000</f>
        <v>3.1396492129388802</v>
      </c>
      <c r="Y29" s="42">
        <f>IF(Y4&lt;opening,0,1)*Absenteeism!$D$23*Y7*Y9*Y11*Y12*Y10/1000</f>
        <v>3.1020720104023773</v>
      </c>
      <c r="Z29" s="42">
        <f>IF(Z4&lt;opening,0,1)*Absenteeism!$D$23*Z7*Z9*Z11*Z12*Z10/1000</f>
        <v>3.0649445543358467</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486.42850463178831</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5.8355837381792384</v>
      </c>
      <c r="H30" s="532">
        <f t="shared" si="34"/>
        <v>11.58492732259228</v>
      </c>
      <c r="I30" s="532">
        <f t="shared" si="34"/>
        <v>17.248986617012399</v>
      </c>
      <c r="J30" s="532">
        <f t="shared" si="34"/>
        <v>22.828708067835795</v>
      </c>
      <c r="K30" s="532">
        <f t="shared" si="34"/>
        <v>28.325028791064735</v>
      </c>
      <c r="L30" s="532">
        <f t="shared" si="34"/>
        <v>28.115730548766226</v>
      </c>
      <c r="M30" s="532">
        <f t="shared" si="34"/>
        <v>27.907978845203932</v>
      </c>
      <c r="N30" s="532">
        <f t="shared" si="34"/>
        <v>27.701762252751696</v>
      </c>
      <c r="O30" s="532">
        <f t="shared" si="34"/>
        <v>27.497069428223973</v>
      </c>
      <c r="P30" s="532">
        <f t="shared" si="34"/>
        <v>27.293889112251875</v>
      </c>
      <c r="Q30" s="532">
        <f t="shared" si="34"/>
        <v>27.092210128663815</v>
      </c>
      <c r="R30" s="532">
        <f t="shared" si="34"/>
        <v>26.892021383870738</v>
      </c>
      <c r="S30" s="532">
        <f t="shared" si="34"/>
        <v>26.693311866255939</v>
      </c>
      <c r="T30" s="532">
        <f>IF(T4&lt;opening,0,1)*T8*T9*T11*T12*T13*(VoL*YLLsC + VoL*YLLsP)/1000</f>
        <v>26.496070645569315</v>
      </c>
      <c r="U30" s="532">
        <f t="shared" si="34"/>
        <v>26.300286872326204</v>
      </c>
      <c r="V30" s="532">
        <f t="shared" si="34"/>
        <v>26.105949777210501</v>
      </c>
      <c r="W30" s="532">
        <f t="shared" si="34"/>
        <v>25.913048670482343</v>
      </c>
      <c r="X30" s="532">
        <f t="shared" si="34"/>
        <v>25.721572941390114</v>
      </c>
      <c r="Y30" s="532">
        <f t="shared" si="34"/>
        <v>25.531512057586752</v>
      </c>
      <c r="Z30" s="532">
        <f t="shared" si="34"/>
        <v>25.342855564550394</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6" t="s">
        <v>16702</v>
      </c>
      <c r="C4" s="677"/>
      <c r="D4" s="677"/>
      <c r="E4" s="192">
        <f>Discounting!B19</f>
        <v>47.19437086924178</v>
      </c>
      <c r="F4" s="41"/>
      <c r="G4" s="104"/>
      <c r="H4" s="435" t="s">
        <v>16711</v>
      </c>
      <c r="I4" s="192">
        <f>SUM(E4:E9,E14)</f>
        <v>56.482347974920529</v>
      </c>
      <c r="J4" s="436">
        <f>IFERROR(I4/SUM($I$4:$I$6),0)</f>
        <v>9.232096669814846E-2</v>
      </c>
      <c r="K4" s="41"/>
      <c r="L4" s="41"/>
      <c r="M4" s="41"/>
      <c r="N4" s="41"/>
      <c r="O4" s="41"/>
    </row>
    <row r="5" spans="1:15">
      <c r="A5" s="41"/>
      <c r="B5" s="674" t="s">
        <v>16712</v>
      </c>
      <c r="C5" s="675"/>
      <c r="D5" s="675"/>
      <c r="E5" s="124">
        <f>Discounting!B20</f>
        <v>0.25895348541835295</v>
      </c>
      <c r="F5" s="41"/>
      <c r="G5" s="104"/>
      <c r="H5" s="107" t="s">
        <v>16713</v>
      </c>
      <c r="I5" s="124">
        <f>E10+E11</f>
        <v>555.32177404640254</v>
      </c>
      <c r="J5" s="430">
        <f>IFERROR(I5/SUM($I$4:$I$6),0)</f>
        <v>0.90767903330185151</v>
      </c>
      <c r="K5" s="41"/>
      <c r="L5" s="41"/>
      <c r="M5" s="41"/>
      <c r="N5" s="41"/>
      <c r="O5" s="41"/>
    </row>
    <row r="6" spans="1:15">
      <c r="A6" s="41"/>
      <c r="B6" s="674" t="s">
        <v>16441</v>
      </c>
      <c r="C6" s="675"/>
      <c r="D6" s="675"/>
      <c r="E6" s="124">
        <f>Discounting!B21</f>
        <v>7.9565715219075841</v>
      </c>
      <c r="F6" s="41"/>
      <c r="G6" s="104"/>
      <c r="H6" s="107" t="s">
        <v>16714</v>
      </c>
      <c r="I6" s="124">
        <f>E12</f>
        <v>0</v>
      </c>
      <c r="J6" s="430">
        <f>IFERROR(I6/SUM($I$4:$I$6),0)</f>
        <v>0</v>
      </c>
      <c r="K6" s="41"/>
      <c r="L6" s="41"/>
      <c r="M6" s="41"/>
      <c r="N6" s="41"/>
      <c r="O6" s="41"/>
    </row>
    <row r="7" spans="1:15">
      <c r="A7" s="41"/>
      <c r="B7" s="674" t="s">
        <v>16715</v>
      </c>
      <c r="C7" s="675"/>
      <c r="D7" s="675"/>
      <c r="E7" s="124">
        <f>Discounting!B22</f>
        <v>1.0527342220255953</v>
      </c>
      <c r="F7" s="41"/>
      <c r="G7" s="104"/>
      <c r="H7" s="41"/>
      <c r="I7" s="41"/>
      <c r="J7" s="413"/>
      <c r="K7" s="41"/>
      <c r="L7" s="41"/>
      <c r="M7" s="41"/>
      <c r="N7" s="41"/>
      <c r="O7" s="41"/>
    </row>
    <row r="8" spans="1:15">
      <c r="A8" s="41"/>
      <c r="B8" s="674" t="s">
        <v>16443</v>
      </c>
      <c r="C8" s="675"/>
      <c r="D8" s="675"/>
      <c r="E8" s="124">
        <f>Discounting!B23</f>
        <v>0.53043810146050574</v>
      </c>
      <c r="F8" s="41"/>
      <c r="G8" s="104"/>
      <c r="H8" s="41"/>
      <c r="I8" s="41"/>
      <c r="J8" s="413"/>
      <c r="K8" s="41"/>
      <c r="L8" s="41"/>
      <c r="M8" s="41"/>
      <c r="N8" s="41"/>
      <c r="O8" s="41"/>
    </row>
    <row r="9" spans="1:15">
      <c r="A9" s="41"/>
      <c r="B9" s="674" t="s">
        <v>16716</v>
      </c>
      <c r="C9" s="675"/>
      <c r="D9" s="675"/>
      <c r="E9" s="124">
        <f>Discounting!B24</f>
        <v>3.3277339532141847</v>
      </c>
      <c r="F9" s="41"/>
      <c r="G9" s="104"/>
      <c r="H9" s="41"/>
      <c r="I9" s="41"/>
      <c r="J9" s="413"/>
      <c r="K9" s="41"/>
      <c r="L9" s="41"/>
      <c r="M9" s="41"/>
      <c r="N9" s="41"/>
      <c r="O9" s="41"/>
    </row>
    <row r="10" spans="1:15">
      <c r="A10" s="41"/>
      <c r="B10" s="680" t="s">
        <v>16704</v>
      </c>
      <c r="C10" s="681"/>
      <c r="D10" s="681"/>
      <c r="E10" s="124">
        <f>Discounting!B30</f>
        <v>486.42850463178831</v>
      </c>
      <c r="F10" s="41"/>
      <c r="G10" s="104"/>
      <c r="H10" s="41"/>
      <c r="I10" s="41"/>
      <c r="J10" s="413"/>
      <c r="K10" s="41"/>
      <c r="L10" s="41"/>
      <c r="M10" s="41"/>
      <c r="N10" s="41"/>
      <c r="O10" s="41"/>
    </row>
    <row r="11" spans="1:15">
      <c r="A11" s="41"/>
      <c r="B11" s="680" t="s">
        <v>75</v>
      </c>
      <c r="C11" s="681"/>
      <c r="D11" s="681"/>
      <c r="E11" s="124">
        <f>_xlfn.IFNA(Discounting!B29, 0)</f>
        <v>68.893269414614267</v>
      </c>
      <c r="F11" s="41"/>
      <c r="G11" s="104"/>
      <c r="H11" s="41"/>
      <c r="I11" s="41"/>
      <c r="J11" s="413"/>
      <c r="K11" s="41"/>
      <c r="L11" s="41"/>
      <c r="M11" s="41"/>
      <c r="N11" s="41"/>
      <c r="O11" s="41"/>
    </row>
    <row r="12" spans="1:15">
      <c r="A12" s="41"/>
      <c r="B12" s="680" t="s">
        <v>16423</v>
      </c>
      <c r="C12" s="681"/>
      <c r="D12" s="681"/>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-3.8384541783474715</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611.54516853590474</v>
      </c>
      <c r="F19" s="41"/>
      <c r="G19" s="104"/>
      <c r="H19" s="41"/>
      <c r="I19" s="41"/>
      <c r="J19" s="413"/>
      <c r="K19" s="41"/>
      <c r="L19" s="41"/>
      <c r="M19" s="41"/>
      <c r="N19" s="41"/>
      <c r="O19" s="41"/>
    </row>
    <row r="20" spans="1:15">
      <c r="A20" s="41"/>
      <c r="B20" s="674" t="s">
        <v>16719</v>
      </c>
      <c r="C20" s="675"/>
      <c r="D20" s="675"/>
      <c r="E20" s="124">
        <f>IFERROR((E15+E16)-E5,0)</f>
        <v>-0.25895348541835295</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8" t="s">
        <v>16720</v>
      </c>
      <c r="C22" s="679"/>
      <c r="D22" s="679"/>
      <c r="E22" s="433">
        <f>IFERROR(E19/E20, 0)</f>
        <v>-2361.6023841035444</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514E785-F8EB-4FB4-84E5-1B395CF0328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2023-01-13T16:45:57Z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