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1B9DDA9D-0FA5-4B76-9789-2AAA9FA6C40B}" xr6:coauthVersionLast="47" xr6:coauthVersionMax="47" xr10:uidLastSave="{00000000-0000-0000-0000-000000000000}"/>
  <bookViews>
    <workbookView xWindow="-28920" yWindow="-120" windowWidth="29040" windowHeight="17640"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<sst xmlns="http://schemas.openxmlformats.org/spreadsheetml/2006/main" count="55865" uniqueCount="16762">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</sst>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0.82230897870675934</c:v>
                </c:pt>
                <c:pt idx="1">
                  <c:v>10.363296168181975</c:v>
                </c:pt>
                <c:pt idx="2">
                  <c:v>6.8496858545935293</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10" zoomScale="80" zoomScaleNormal="80" workbookViewId="0">
      <selection activeCell="F47" sqref="F4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3</v>
      </c>
      <c r="G33" s="41" t="s">
        <v>16311</v>
      </c>
      <c r="H33" s="311" t="s">
        <v>16758</v>
      </c>
    </row>
    <row r="34" spans="1:69">
      <c r="A34" s="41"/>
      <c r="D34" s="146" t="s">
        <v>16312</v>
      </c>
      <c r="F34" s="383">
        <f>ROUND(F33*1.25,0)</f>
        <v>4</v>
      </c>
      <c r="G34" s="41" t="s">
        <v>16311</v>
      </c>
      <c r="H34" s="311" t="s">
        <v>16759</v>
      </c>
    </row>
    <row r="35" spans="1:69" ht="30.75" thickBot="1">
      <c r="A35" s="41"/>
      <c r="D35" s="146" t="s">
        <v>16313</v>
      </c>
      <c r="F35" s="384">
        <f>2.2/5.14</f>
        <v>0.42801556420233466</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15</v>
      </c>
      <c r="G46" s="41" t="s">
        <v>16311</v>
      </c>
      <c r="H46" s="311"/>
    </row>
    <row r="47" spans="1:69">
      <c r="A47" s="41"/>
      <c r="D47" s="146" t="s">
        <v>16312</v>
      </c>
      <c r="F47" s="536">
        <f>ROUND(F46*1.1,0)</f>
        <v>17</v>
      </c>
      <c r="G47" s="41" t="s">
        <v>16311</v>
      </c>
      <c r="H47" s="311"/>
    </row>
    <row r="48" spans="1:69" ht="15.75" thickBot="1">
      <c r="A48" s="41"/>
      <c r="D48" s="146" t="s">
        <v>16320</v>
      </c>
      <c r="F48" s="537">
        <f>1.1/1.1</f>
        <v>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54</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48</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48</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3</v>
      </c>
      <c r="E28" s="108" t="s">
        <v>16311</v>
      </c>
    </row>
    <row r="29" spans="2:8">
      <c r="C29" s="108" t="s">
        <v>16409</v>
      </c>
      <c r="D29" s="367">
        <f>'User Interface Intervention'!F34</f>
        <v>4</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0.42801556420233466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15</v>
      </c>
      <c r="E50" s="242" t="s">
        <v>16311</v>
      </c>
    </row>
    <row r="51" spans="2:6">
      <c r="C51" s="108" t="s">
        <v>16409</v>
      </c>
      <c r="D51" s="367">
        <f>'User Interface Intervention'!F47</f>
        <v>17</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0</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1</v>
      </c>
      <c r="E68" s="120">
        <f>IF('User Interface Intervention'!F66="Yes",1,0)</f>
        <v>1</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3</v>
      </c>
      <c r="E4" s="120">
        <f>useP</f>
        <v>15</v>
      </c>
      <c r="F4" s="108"/>
    </row>
    <row r="5" spans="1:6">
      <c r="C5" s="120" t="s">
        <v>16598</v>
      </c>
      <c r="D5" s="122">
        <f>use_new</f>
        <v>4</v>
      </c>
      <c r="E5" s="122">
        <f>use_newP</f>
        <v>17</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1</v>
      </c>
      <c r="E12" s="123">
        <f>use_newP-useP</f>
        <v>2</v>
      </c>
    </row>
    <row r="13" spans="1:6">
      <c r="C13" s="123" t="s">
        <v>16603</v>
      </c>
      <c r="D13" s="167">
        <f>D12/(1+return)</f>
        <v>0.52631578947368418</v>
      </c>
      <c r="E13" s="167">
        <f>E12/(1+return)</f>
        <v>1.0526315789473684</v>
      </c>
    </row>
    <row r="14" spans="1:6">
      <c r="C14" s="123" t="s">
        <v>16604</v>
      </c>
      <c r="D14" s="123">
        <f>use_new-D12</f>
        <v>3</v>
      </c>
      <c r="E14" s="123">
        <f>use_newP-E12</f>
        <v>15</v>
      </c>
    </row>
    <row r="15" spans="1:6">
      <c r="C15" s="123" t="s">
        <v>16605</v>
      </c>
      <c r="D15" s="123">
        <f>D14/(1+return)</f>
        <v>1.5789473684210527</v>
      </c>
      <c r="E15" s="123">
        <f>E14/(1+return)</f>
        <v>7.8947368421052637</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1224.52</v>
      </c>
      <c r="E23" s="107">
        <f>E7*E12*scheme_days</f>
        <v>556.6</v>
      </c>
      <c r="F23" s="41" t="s">
        <v>16611</v>
      </c>
    </row>
    <row r="24" spans="2:6">
      <c r="C24" s="125" t="s">
        <v>16612</v>
      </c>
      <c r="D24" s="107">
        <f>D23*car_share</f>
        <v>293.88479999999998</v>
      </c>
      <c r="E24" s="107">
        <f>E23*car_shareP</f>
        <v>133.584</v>
      </c>
    </row>
    <row r="25" spans="2:6">
      <c r="C25" s="125" t="s">
        <v>16613</v>
      </c>
      <c r="D25" s="107">
        <f>D24/'Input Summary'!D86</f>
        <v>183.67799999999997</v>
      </c>
      <c r="E25" s="107">
        <f>E24/'Input Summary'!D86</f>
        <v>83.49</v>
      </c>
    </row>
    <row r="26" spans="2:6" ht="15.75">
      <c r="C26" s="123" t="s">
        <v>16614</v>
      </c>
      <c r="D26" s="167">
        <f>D23*'Input Summary'!D34</f>
        <v>73.471199999999996</v>
      </c>
      <c r="E26" s="167">
        <f>E23*'Input Summary'!D56</f>
        <v>33.396000000000001</v>
      </c>
      <c r="F26" s="105"/>
    </row>
    <row r="27" spans="2:6">
      <c r="C27" s="123" t="s">
        <v>16615</v>
      </c>
      <c r="D27" s="167">
        <f>D26/'Input Summary'!D87</f>
        <v>30.613</v>
      </c>
      <c r="E27" s="167">
        <f>E26/'Input Summary'!D87</f>
        <v>13.915000000000001</v>
      </c>
    </row>
    <row r="28" spans="2:6" ht="15.75">
      <c r="B28" s="105" t="s">
        <v>16616</v>
      </c>
      <c r="C28" s="125" t="s">
        <v>16617</v>
      </c>
      <c r="D28" s="126"/>
      <c r="E28" s="127">
        <f>SUM(D25:E25,D27:E27)</f>
        <v>311.69599999999997</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0</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1</v>
      </c>
      <c r="F41" s="130">
        <f>'Input Summary'!$E$68</f>
        <v>1</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0.52631578947368418</v>
      </c>
      <c r="E4" s="124">
        <f>'General Calculations'!E13</f>
        <v>1.0526315789473684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0.37968842608219161</v>
      </c>
      <c r="E19" s="446">
        <f>E18*E4</f>
        <v>0.51775694465753419</v>
      </c>
      <c r="G19" s="301"/>
      <c r="H19" s="42"/>
    </row>
    <row r="20" spans="2:8">
      <c r="C20" s="134" t="s">
        <v>16638</v>
      </c>
      <c r="D20" s="140">
        <f>'TAG VoT'!F21*D10</f>
        <v>144.50209275358495</v>
      </c>
      <c r="E20" s="140">
        <f>'TAG VoT'!$F$21*E10</f>
        <v>144.50209275358495</v>
      </c>
    </row>
    <row r="21" spans="2:8">
      <c r="C21" s="134" t="s">
        <v>16639</v>
      </c>
      <c r="D21" s="141">
        <f>D19*D20</f>
        <v>54.865772163191536</v>
      </c>
      <c r="E21" s="142">
        <f>E19*E20</f>
        <v>74.816962040715751</v>
      </c>
    </row>
    <row r="22" spans="2:8">
      <c r="C22" s="138"/>
      <c r="D22" s="149"/>
      <c r="E22" s="143"/>
    </row>
    <row r="23" spans="2:8" ht="15.75">
      <c r="C23" s="144" t="s">
        <v>16523</v>
      </c>
      <c r="D23" s="145">
        <f>D21+E21</f>
        <v>129.68273420390727</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0.52631578947368418</v>
      </c>
      <c r="E7" s="500">
        <f>'General Calculations'!E13</f>
        <v>1.0526315789473684</v>
      </c>
      <c r="F7" s="492"/>
    </row>
    <row r="8" spans="1:6">
      <c r="A8" s="492"/>
      <c r="B8" s="492"/>
      <c r="C8" s="109" t="s">
        <v>16644</v>
      </c>
      <c r="D8" s="499">
        <f>'General Calculations'!D15</f>
        <v>1.5789473684210527</v>
      </c>
      <c r="E8" s="500">
        <f>'General Calculations'!E15</f>
        <v>7.8947368421052637</v>
      </c>
      <c r="F8" s="492"/>
    </row>
    <row r="9" spans="1:6">
      <c r="A9" s="492"/>
      <c r="B9" s="492"/>
      <c r="C9" s="109" t="s">
        <v>16645</v>
      </c>
      <c r="D9" s="499">
        <f>'General Calculations'!D12</f>
        <v>1</v>
      </c>
      <c r="E9" s="500">
        <f>'General Calculations'!E12</f>
        <v>2</v>
      </c>
      <c r="F9" s="492"/>
    </row>
    <row r="10" spans="1:6">
      <c r="A10" s="492"/>
      <c r="B10" s="492"/>
      <c r="C10" s="151" t="s">
        <v>16646</v>
      </c>
      <c r="D10" s="502">
        <f>'General Calculations'!D14</f>
        <v>3</v>
      </c>
      <c r="E10" s="527">
        <f>'General Calculations'!E14</f>
        <v>15</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0.42801556420233466</v>
      </c>
      <c r="E13" s="503">
        <f>'Input Summary'!D58</f>
        <v>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3.1823292211700292E-2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4.0602131442514171E-2</v>
      </c>
      <c r="F20" s="492"/>
      <c r="G20" s="492"/>
      <c r="H20" s="492"/>
    </row>
    <row r="21" spans="1:8">
      <c r="A21" s="492"/>
      <c r="B21" s="492"/>
      <c r="C21" s="505" t="s">
        <v>16652</v>
      </c>
      <c r="D21" s="499">
        <f>(D20-D19)</f>
        <v>7.0300000000000001E-2</v>
      </c>
      <c r="E21" s="506">
        <f>(E20-E19)</f>
        <v>8.7788392308138785E-3</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2.0715953307392998</v>
      </c>
      <c r="E25" s="508">
        <f>E5*E13</f>
        <v>1.1000000000000001</v>
      </c>
      <c r="F25" s="131" t="s">
        <v>16641</v>
      </c>
      <c r="G25" s="131"/>
      <c r="H25" s="131"/>
    </row>
    <row r="26" spans="1:8">
      <c r="A26" s="492"/>
      <c r="B26" s="492"/>
      <c r="C26" s="109" t="s">
        <v>16657</v>
      </c>
      <c r="D26" s="499">
        <f>60*D25/speed</f>
        <v>8.2863813229571992</v>
      </c>
      <c r="E26" s="499">
        <f>60*E25/speedP</f>
        <v>13.2</v>
      </c>
      <c r="F26" s="492" t="s">
        <v>16658</v>
      </c>
      <c r="G26" s="131"/>
      <c r="H26" s="131"/>
    </row>
    <row r="27" spans="1:8">
      <c r="A27" s="492"/>
      <c r="B27" s="492"/>
      <c r="C27" s="151" t="s">
        <v>16659</v>
      </c>
      <c r="D27" s="502">
        <f>D26*scheme_days</f>
        <v>2096.4544747081713</v>
      </c>
      <c r="E27" s="502">
        <f>E26*scheme_days</f>
        <v>3339.6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147.38074957198444</v>
      </c>
      <c r="E30" s="510">
        <f>E21*E25*scheme_days</f>
        <v>2.4431509579355026</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73.690374785992219</v>
      </c>
      <c r="E35" s="514">
        <f>E9*E30/2</f>
        <v>2.4431509579355026</v>
      </c>
      <c r="F35" s="492"/>
      <c r="G35" s="511"/>
    </row>
    <row r="36" spans="2:7">
      <c r="B36" s="492"/>
      <c r="C36" s="515" t="s">
        <v>16665</v>
      </c>
      <c r="D36" s="516">
        <f>D34+D35</f>
        <v>73.690374785992219</v>
      </c>
      <c r="E36" s="531">
        <f>E35</f>
        <v>2.4431509579355026</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442.14224871595331</v>
      </c>
      <c r="E41" s="514">
        <f>E30*E10</f>
        <v>36.647264369032541</v>
      </c>
      <c r="F41" s="492"/>
      <c r="G41" s="492"/>
    </row>
    <row r="42" spans="2:7">
      <c r="B42" s="492"/>
      <c r="C42" s="515" t="s">
        <v>16669</v>
      </c>
      <c r="D42" s="516">
        <f>D40+D41</f>
        <v>442.14224871595331</v>
      </c>
      <c r="E42" s="531">
        <f>E41</f>
        <v>36.647264369032541</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76.13352574392772</v>
      </c>
      <c r="F45" s="492"/>
      <c r="G45" s="492"/>
    </row>
    <row r="46" spans="2:7" ht="15">
      <c r="B46" s="492"/>
      <c r="C46" s="499" t="s">
        <v>16671</v>
      </c>
      <c r="D46" s="492"/>
      <c r="E46" s="239">
        <f>D42+E42</f>
        <v>478.78951308498586</v>
      </c>
      <c r="F46" s="492"/>
      <c r="G46" s="492"/>
    </row>
    <row r="47" spans="2:7" ht="15">
      <c r="B47" s="492"/>
      <c r="C47" s="499" t="s">
        <v>16672</v>
      </c>
      <c r="D47" s="154">
        <f>D36+D42</f>
        <v>515.83262350194559</v>
      </c>
      <c r="E47" s="239">
        <f>E36+E42</f>
        <v>39.090415326968042</v>
      </c>
      <c r="F47" s="492"/>
      <c r="G47" s="492"/>
    </row>
    <row r="48" spans="2:7" ht="15">
      <c r="B48" s="492"/>
      <c r="C48" s="155" t="s">
        <v>16673</v>
      </c>
      <c r="D48" s="117"/>
      <c r="E48" s="237">
        <f>D47+E47</f>
        <v>554.9230388289136</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0.52631578947368418</v>
      </c>
      <c r="E3" s="94"/>
      <c r="F3" s="167">
        <f>'General Calculations'!E13</f>
        <v>1.0526315789473684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8.4210526315789472E-2</v>
      </c>
      <c r="E9" s="299">
        <f>'General Calculations'!$D$13*'Health Assumptions'!E25</f>
        <v>2.1052631578947368E-2</v>
      </c>
      <c r="F9" s="300">
        <f>'General Calculations'!$E$13*'Health Assumptions'!F25</f>
        <v>0.15789473684210525</v>
      </c>
      <c r="G9" s="167">
        <f>'General Calculations'!$E$13*'Health Assumptions'!G25</f>
        <v>0.15789473684210525</v>
      </c>
    </row>
    <row r="10" spans="1:7">
      <c r="B10" s="179"/>
      <c r="C10" s="125" t="s">
        <v>16583</v>
      </c>
      <c r="D10" s="167">
        <f>'General Calculations'!$D$13*'Health Assumptions'!D26</f>
        <v>0.20526315789473684</v>
      </c>
      <c r="E10" s="299">
        <f>'General Calculations'!$D$13*'Health Assumptions'!E26</f>
        <v>8.4210526315789472E-2</v>
      </c>
      <c r="F10" s="300">
        <f>'General Calculations'!$E$13*'Health Assumptions'!F26</f>
        <v>0.17894736842105263</v>
      </c>
      <c r="G10" s="167">
        <f>'General Calculations'!$E$13*'Health Assumptions'!G26</f>
        <v>0.25263157894736837</v>
      </c>
    </row>
    <row r="11" spans="1:7">
      <c r="C11" s="125" t="s">
        <v>16584</v>
      </c>
      <c r="D11" s="167">
        <f>'General Calculations'!$D$13*'Health Assumptions'!D27</f>
        <v>6.8421052631578952E-2</v>
      </c>
      <c r="E11" s="299">
        <f>'General Calculations'!$D$13*'Health Assumptions'!E27</f>
        <v>2.6315789473684209E-2</v>
      </c>
      <c r="F11" s="300">
        <f>'General Calculations'!$E$13*'Health Assumptions'!F27</f>
        <v>7.3684210526315796E-2</v>
      </c>
      <c r="G11" s="167">
        <f>'General Calculations'!$E$13*'Health Assumptions'!G27</f>
        <v>9.4736842105263147E-2</v>
      </c>
    </row>
    <row r="12" spans="1:7">
      <c r="C12" s="125" t="s">
        <v>16585</v>
      </c>
      <c r="D12" s="167">
        <f>'General Calculations'!$D$13*'Health Assumptions'!D28</f>
        <v>2.6315789473684209E-2</v>
      </c>
      <c r="E12" s="299">
        <f>'General Calculations'!$D$13*'Health Assumptions'!E28</f>
        <v>5.263157894736842E-3</v>
      </c>
      <c r="F12" s="300">
        <f>'General Calculations'!$E$13*'Health Assumptions'!F28</f>
        <v>5.2631578947368418E-2</v>
      </c>
      <c r="G12" s="167">
        <f>'General Calculations'!$E$13*'Health Assumptions'!G28</f>
        <v>5.2631578947368418E-2</v>
      </c>
    </row>
    <row r="13" spans="1:7">
      <c r="C13" s="125" t="s">
        <v>16586</v>
      </c>
      <c r="D13" s="167">
        <f>'General Calculations'!$D$13*'Health Assumptions'!D29</f>
        <v>5.263157894736842E-3</v>
      </c>
      <c r="E13" s="299">
        <f>'General Calculations'!$D$13*'Health Assumptions'!E29</f>
        <v>0</v>
      </c>
      <c r="F13" s="300">
        <f>'General Calculations'!$E$13*'Health Assumptions'!F29</f>
        <v>1.0526315789473684E-2</v>
      </c>
      <c r="G13" s="167">
        <f>'General Calculations'!$E$13*'Health Assumptions'!G29</f>
        <v>1.0526315789473684E-2</v>
      </c>
    </row>
    <row r="14" spans="1:7">
      <c r="C14" s="125" t="s">
        <v>16523</v>
      </c>
      <c r="D14" s="167">
        <f>SUM(D9:D13)</f>
        <v>0.38947368421052631</v>
      </c>
      <c r="E14" s="299">
        <f>SUM(E9:E13)</f>
        <v>0.13684210526315788</v>
      </c>
      <c r="F14" s="300">
        <f>SUM(F9:F13)</f>
        <v>0.47368421052631576</v>
      </c>
      <c r="G14" s="167">
        <f>SUM(G9:G13)</f>
        <v>0.56842105263157894</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5.1850238386911353E-5</v>
      </c>
      <c r="E72" s="124">
        <f>E64*'Health Assumptions'!E60*E10</f>
        <v>1.0984411210281577E-5</v>
      </c>
      <c r="F72" s="162">
        <f>SUM(D72:E72)</f>
        <v>6.2834649597192933E-5</v>
      </c>
      <c r="G72" s="124">
        <f>F64*'Health Assumptions'!D60*F10</f>
        <v>1.5683165215068991E-5</v>
      </c>
      <c r="H72" s="124">
        <f>G64*'Health Assumptions'!E60*G10</f>
        <v>1.2726895173224558E-5</v>
      </c>
      <c r="I72" s="124">
        <f>SUM(G72:H72)</f>
        <v>2.8410060388293549E-5</v>
      </c>
    </row>
    <row r="73" spans="2:12">
      <c r="C73" s="125" t="s">
        <v>16584</v>
      </c>
      <c r="D73" s="124">
        <f>D65*'Health Assumptions'!D61*D11</f>
        <v>9.760771436511989E-5</v>
      </c>
      <c r="E73" s="124">
        <f>E65*'Health Assumptions'!E61*E11</f>
        <v>1.9391422447428443E-5</v>
      </c>
      <c r="F73" s="162">
        <f>SUM(D73:E73)</f>
        <v>1.1699913681254833E-4</v>
      </c>
      <c r="G73" s="124">
        <f>F65*'Health Assumptions'!D61*F11</f>
        <v>3.6629993636922549E-5</v>
      </c>
      <c r="H73" s="124">
        <f>G65*'Health Assumptions'!E61*G11</f>
        <v>3.1800205629950181E-5</v>
      </c>
      <c r="I73" s="124">
        <f>SUM(G73:H73)</f>
        <v>6.8430199266872731E-5</v>
      </c>
    </row>
    <row r="74" spans="2:12">
      <c r="C74" s="125" t="s">
        <v>16585</v>
      </c>
      <c r="D74" s="124">
        <f>D66*'Health Assumptions'!D62*D12</f>
        <v>1.2727167123729666E-4</v>
      </c>
      <c r="E74" s="124">
        <f>E66*'Health Assumptions'!E62*E12</f>
        <v>1.3551955719714449E-5</v>
      </c>
      <c r="F74" s="162">
        <f>SUM(D74:E74)</f>
        <v>1.4082362695701112E-4</v>
      </c>
      <c r="G74" s="124">
        <f>F66*'Health Assumptions'!D62*F12</f>
        <v>1.0371949555289996E-4</v>
      </c>
      <c r="H74" s="124">
        <f>G66*'Health Assumptions'!E62*G12</f>
        <v>6.9500136475464605E-5</v>
      </c>
      <c r="I74" s="124">
        <f>SUM(G74:H74)</f>
        <v>1.7321963202836455E-4</v>
      </c>
    </row>
    <row r="75" spans="2:12">
      <c r="C75" s="125" t="s">
        <v>16586</v>
      </c>
      <c r="D75" s="124">
        <f>D67*'Health Assumptions'!D63*D13</f>
        <v>8.404046807451509E-5</v>
      </c>
      <c r="E75" s="124">
        <f>E67*'Health Assumptions'!E63*E13</f>
        <v>0</v>
      </c>
      <c r="F75" s="162">
        <f>SUM(D75:E75)</f>
        <v>8.404046807451509E-5</v>
      </c>
      <c r="G75" s="124">
        <f>F67*'Health Assumptions'!D63*F13</f>
        <v>9.3967590679345568E-5</v>
      </c>
      <c r="H75" s="124">
        <f>G67*'Health Assumptions'!E63*G13</f>
        <v>7.4717180015040983E-5</v>
      </c>
      <c r="I75" s="124">
        <f>SUM(G75:H75)</f>
        <v>1.6868477069438656E-4</v>
      </c>
    </row>
    <row r="76" spans="2:12">
      <c r="C76" s="125" t="s">
        <v>16683</v>
      </c>
      <c r="D76" s="124">
        <f t="shared" ref="D76:I76" si="2">SUM(D71:D75)</f>
        <v>3.6077009206384299E-4</v>
      </c>
      <c r="E76" s="124">
        <f t="shared" si="2"/>
        <v>4.3927789377424471E-5</v>
      </c>
      <c r="F76" s="162">
        <f t="shared" si="2"/>
        <v>4.046978814412675E-4</v>
      </c>
      <c r="G76" s="124">
        <f t="shared" si="2"/>
        <v>2.5000024508423709E-4</v>
      </c>
      <c r="H76" s="124">
        <f t="shared" si="2"/>
        <v>1.8874441729368032E-4</v>
      </c>
      <c r="I76" s="124">
        <f t="shared" si="2"/>
        <v>4.3874466237791741E-4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1.8065628557044715E-3</v>
      </c>
      <c r="E82" s="124">
        <f>E72*'Health Assumptions'!E93</f>
        <v>3.7662682461368655E-4</v>
      </c>
      <c r="F82" s="162">
        <f>SUM(D82:E82)</f>
        <v>2.183189680318158E-3</v>
      </c>
      <c r="G82" s="124">
        <f>G72*'Health Assumptions'!D68</f>
        <v>5.4643188958938555E-4</v>
      </c>
      <c r="H82" s="124">
        <f>H72*'Health Assumptions'!E68</f>
        <v>4.3637205713823124E-4</v>
      </c>
      <c r="I82" s="124">
        <f>SUM(G82:H82)</f>
        <v>9.8280394672761685E-4</v>
      </c>
    </row>
    <row r="83" spans="3:11">
      <c r="C83" s="125" t="s">
        <v>16584</v>
      </c>
      <c r="D83" s="124">
        <f>D73*'Health Assumptions'!D94</f>
        <v>2.315910587449118E-3</v>
      </c>
      <c r="E83" s="124">
        <f>E73*'Health Assumptions'!E94</f>
        <v>4.6009478701353732E-4</v>
      </c>
      <c r="F83" s="162">
        <f>SUM(D83:E83)</f>
        <v>2.7760053744626551E-3</v>
      </c>
      <c r="G83" s="124">
        <f>G73*'Health Assumptions'!D69</f>
        <v>8.6910948211135861E-4</v>
      </c>
      <c r="H83" s="124">
        <f>H73*'Health Assumptions'!E69</f>
        <v>7.5451447030070221E-4</v>
      </c>
      <c r="I83" s="124">
        <f>SUM(G83:H83)</f>
        <v>1.6236239524120609E-3</v>
      </c>
    </row>
    <row r="84" spans="3:11">
      <c r="C84" s="125" t="s">
        <v>16585</v>
      </c>
      <c r="D84" s="124">
        <f>D74*'Health Assumptions'!D95</f>
        <v>1.9257812629823055E-3</v>
      </c>
      <c r="E84" s="124">
        <f>E74*'Health Assumptions'!E95</f>
        <v>1.9437885857503015E-4</v>
      </c>
      <c r="F84" s="162">
        <f>SUM(D84:E84)</f>
        <v>2.1201601215573357E-3</v>
      </c>
      <c r="G84" s="124">
        <f>G74*'Health Assumptions'!D70</f>
        <v>1.5694070738596357E-3</v>
      </c>
      <c r="H84" s="124">
        <f>H74*'Health Assumptions'!E70</f>
        <v>9.9685665141726731E-4</v>
      </c>
      <c r="I84" s="124">
        <f>SUM(G84:H84)</f>
        <v>2.5662637252769028E-3</v>
      </c>
    </row>
    <row r="85" spans="3:11">
      <c r="C85" s="125" t="s">
        <v>16586</v>
      </c>
      <c r="D85" s="124">
        <f>D75*'Health Assumptions'!D96</f>
        <v>4.8597619023607965E-4</v>
      </c>
      <c r="E85" s="124">
        <f>E75*'Health Assumptions'!E96</f>
        <v>0</v>
      </c>
      <c r="F85" s="162">
        <f>SUM(D85:E85)</f>
        <v>4.8597619023607965E-4</v>
      </c>
      <c r="G85" s="124">
        <f>G75*'Health Assumptions'!D71</f>
        <v>5.4338121586283413E-4</v>
      </c>
      <c r="H85" s="124">
        <f>H75*'Health Assumptions'!E71</f>
        <v>4.3206292540752815E-4</v>
      </c>
      <c r="I85" s="124">
        <f>SUM(G85:H85)</f>
        <v>9.7544414127036228E-4</v>
      </c>
    </row>
    <row r="86" spans="3:11">
      <c r="C86" s="125" t="s">
        <v>16683</v>
      </c>
      <c r="D86" s="124">
        <f t="shared" ref="D86:I86" si="3">SUM(D81:D85)</f>
        <v>6.5342308963719752E-3</v>
      </c>
      <c r="E86" s="124">
        <f t="shared" si="3"/>
        <v>1.0311004702022539E-3</v>
      </c>
      <c r="F86" s="162">
        <f t="shared" si="3"/>
        <v>7.5653313665742282E-3</v>
      </c>
      <c r="G86" s="124">
        <f t="shared" si="3"/>
        <v>3.5283296614232137E-3</v>
      </c>
      <c r="H86" s="124">
        <f t="shared" si="3"/>
        <v>2.6198061042637284E-3</v>
      </c>
      <c r="I86" s="124">
        <f t="shared" si="3"/>
        <v>6.1481357656869434E-3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0.31169599999999997</v>
      </c>
      <c r="H18" s="94">
        <f>IF(H4&lt;opening,0,'General Calculations'!$E$28/1000)</f>
        <v>0.31169599999999997</v>
      </c>
      <c r="I18" s="94">
        <f>IF(I4&lt;opening,0,'General Calculations'!$E$28/1000)</f>
        <v>0.31169599999999997</v>
      </c>
      <c r="J18" s="94">
        <f>IF(J4&lt;opening,0,'General Calculations'!$E$28/1000)</f>
        <v>0.31169599999999997</v>
      </c>
      <c r="K18" s="94">
        <f>IF(K4&lt;opening,0,'General Calculations'!$E$28/1000)</f>
        <v>0.31169599999999997</v>
      </c>
      <c r="L18" s="94">
        <f>IF(L4&lt;opening,0,'General Calculations'!$E$28/1000)</f>
        <v>0.31169599999999997</v>
      </c>
      <c r="M18" s="94">
        <f>IF(M4&lt;opening,0,'General Calculations'!$E$28/1000)</f>
        <v>0.31169599999999997</v>
      </c>
      <c r="N18" s="94">
        <f>IF(N4&lt;opening,0,'General Calculations'!$E$28/1000)</f>
        <v>0.31169599999999997</v>
      </c>
      <c r="O18" s="94">
        <f>IF(O4&lt;opening,0,'General Calculations'!$E$28/1000)</f>
        <v>0.31169599999999997</v>
      </c>
      <c r="P18" s="94">
        <f>IF(P4&lt;opening,0,'General Calculations'!$E$28/1000)</f>
        <v>0.31169599999999997</v>
      </c>
      <c r="Q18" s="94">
        <f>IF(Q4&lt;opening,0,'General Calculations'!$E$28/1000)</f>
        <v>0.31169599999999997</v>
      </c>
      <c r="R18" s="94">
        <f>IF(R4&lt;opening,0,'General Calculations'!$E$28/1000)</f>
        <v>0.31169599999999997</v>
      </c>
      <c r="S18" s="94">
        <f>IF(S4&lt;opening,0,'General Calculations'!$E$28/1000)</f>
        <v>0.31169599999999997</v>
      </c>
      <c r="T18" s="94">
        <f>IF(T4&lt;opening,0,'General Calculations'!$E$28/1000)</f>
        <v>0.31169599999999997</v>
      </c>
      <c r="U18" s="94">
        <f>IF(U4&lt;opening,0,'General Calculations'!$E$28/1000)</f>
        <v>0.31169599999999997</v>
      </c>
      <c r="V18" s="94">
        <f>IF(V4&lt;opening,0,'General Calculations'!$E$28/1000)</f>
        <v>0.31169599999999997</v>
      </c>
      <c r="W18" s="94">
        <f>IF(W4&lt;opening,0,'General Calculations'!$E$28/1000)</f>
        <v>0.31169599999999997</v>
      </c>
      <c r="X18" s="94">
        <f>IF(X4&lt;opening,0,'General Calculations'!$E$28/1000)</f>
        <v>0.31169599999999997</v>
      </c>
      <c r="Y18" s="94">
        <f>IF(Y4&lt;opening,0,'General Calculations'!$E$28/1000)</f>
        <v>0.31169599999999997</v>
      </c>
      <c r="Z18" s="94">
        <f>IF(Z4&lt;opening,0,'General Calculations'!$E$28/1000)</f>
        <v>0.31169599999999997</v>
      </c>
      <c r="AA18" s="94">
        <f>IF(AA4&lt;opening,0,'General Calculations'!$E$28/1000)</f>
        <v>0.31169599999999997</v>
      </c>
      <c r="AB18" s="94">
        <f>IF(AB4&lt;opening,0,'General Calculations'!$E$28/1000)</f>
        <v>0.31169599999999997</v>
      </c>
      <c r="AC18" s="94">
        <f>IF(AC4&lt;opening,0,'General Calculations'!$E$28/1000)</f>
        <v>0.31169599999999997</v>
      </c>
      <c r="AD18" s="94">
        <f>IF(AD4&lt;opening,0,'General Calculations'!$E$28/1000)</f>
        <v>0.31169599999999997</v>
      </c>
      <c r="AE18" s="94">
        <f>IF(AE4&lt;opening,0,'General Calculations'!$E$28/1000)</f>
        <v>0.31169599999999997</v>
      </c>
      <c r="AF18" s="94">
        <f>IF(AF4&lt;opening,0,'General Calculations'!$E$28/1000)</f>
        <v>0.31169599999999997</v>
      </c>
      <c r="AG18" s="94">
        <f>IF(AG4&lt;opening,0,'General Calculations'!$E$28/1000)</f>
        <v>0.31169599999999997</v>
      </c>
      <c r="AH18" s="94">
        <f>IF(AH4&lt;opening,0,'General Calculations'!$E$28/1000)</f>
        <v>0.31169599999999997</v>
      </c>
      <c r="AI18" s="94">
        <f>IF(AI4&lt;opening,0,'General Calculations'!$E$28/1000)</f>
        <v>0.31169599999999997</v>
      </c>
      <c r="AJ18" s="94">
        <f>IF(AJ4&lt;opening,0,'General Calculations'!$E$28/1000)</f>
        <v>0.31169599999999997</v>
      </c>
      <c r="AK18" s="94">
        <f>IF(AK4&lt;opening,0,'General Calculations'!$E$28/1000)</f>
        <v>0.31169599999999997</v>
      </c>
      <c r="AL18" s="94">
        <f>IF(AL4&lt;opening,0,'General Calculations'!$E$28/1000)</f>
        <v>0.31169599999999997</v>
      </c>
      <c r="AM18" s="94">
        <f>IF(AM4&lt;opening,0,'General Calculations'!$E$28/1000)</f>
        <v>0.31169599999999997</v>
      </c>
      <c r="AN18" s="94">
        <f>IF(AN4&lt;opening,0,'General Calculations'!$E$28/1000)</f>
        <v>0.31169599999999997</v>
      </c>
      <c r="AO18" s="94">
        <f>IF(AO4&lt;opening,0,'General Calculations'!$E$28/1000)</f>
        <v>0.31169599999999997</v>
      </c>
      <c r="AP18" s="94">
        <f>IF(AP4&lt;opening,0,'General Calculations'!$E$28/1000)</f>
        <v>0.31169599999999997</v>
      </c>
      <c r="AQ18" s="94">
        <f>IF(AQ4&lt;opening,0,'General Calculations'!$E$28/1000)</f>
        <v>0.31169599999999997</v>
      </c>
      <c r="AR18" s="94">
        <f>IF(AR4&lt;opening,0,'General Calculations'!$E$28/1000)</f>
        <v>0.31169599999999997</v>
      </c>
      <c r="AS18" s="94">
        <f>IF(AS4&lt;opening,0,'General Calculations'!$E$28/1000)</f>
        <v>0.31169599999999997</v>
      </c>
      <c r="AT18" s="94">
        <f>IF(AT4&lt;opening,0,'General Calculations'!$E$28/1000)</f>
        <v>0.31169599999999997</v>
      </c>
      <c r="AU18" s="94">
        <f>IF(AU4&lt;opening,0,'General Calculations'!$E$28/1000)</f>
        <v>0.31169599999999997</v>
      </c>
      <c r="AV18" s="94">
        <f>IF(AV4&lt;opening,0,'General Calculations'!$E$28/1000)</f>
        <v>0.31169599999999997</v>
      </c>
      <c r="AW18" s="94">
        <f>IF(AW4&lt;opening,0,'General Calculations'!$E$28/1000)</f>
        <v>0.31169599999999997</v>
      </c>
      <c r="AX18" s="94">
        <f>IF(AX4&lt;opening,0,'General Calculations'!$E$28/1000)</f>
        <v>0.31169599999999997</v>
      </c>
      <c r="AY18" s="94">
        <f>IF(AY4&lt;opening,0,'General Calculations'!$E$28/1000)</f>
        <v>0.31169599999999997</v>
      </c>
      <c r="AZ18" s="94">
        <f>IF(AZ4&lt;opening,0,'General Calculations'!$E$28/1000)</f>
        <v>0.31169599999999997</v>
      </c>
      <c r="BA18" s="94">
        <f>IF(BA4&lt;opening,0,'General Calculations'!$E$28/1000)</f>
        <v>0.31169599999999997</v>
      </c>
      <c r="BB18" s="94">
        <f>IF(BB4&lt;opening,0,'General Calculations'!$E$28/1000)</f>
        <v>0.31169599999999997</v>
      </c>
      <c r="BC18" s="94">
        <f>IF(BC4&lt;opening,0,'General Calculations'!$E$28/1000)</f>
        <v>0.31169599999999997</v>
      </c>
      <c r="BD18" s="94">
        <f>IF(BD4&lt;opening,0,'General Calculations'!$E$28/1000)</f>
        <v>0.31169599999999997</v>
      </c>
      <c r="BE18" s="94">
        <f>IF(BE4&lt;opening,0,'General Calculations'!$E$28/1000)</f>
        <v>0.31169599999999997</v>
      </c>
      <c r="BF18" s="94">
        <f>IF(BF4&lt;opening,0,'General Calculations'!$E$28/1000)</f>
        <v>0.31169599999999997</v>
      </c>
      <c r="BG18" s="94">
        <f>IF(BG4&lt;opening,0,'General Calculations'!$E$28/1000)</f>
        <v>0.31169599999999997</v>
      </c>
      <c r="BH18" s="94">
        <f>IF(BH4&lt;opening,0,'General Calculations'!$E$28/1000)</f>
        <v>0.31169599999999997</v>
      </c>
      <c r="BI18" s="94">
        <f>IF(BI4&lt;opening,0,'General Calculations'!$E$28/1000)</f>
        <v>0.31169599999999997</v>
      </c>
      <c r="BJ18" s="94">
        <f>IF(BJ4&lt;opening,0,'General Calculations'!$E$28/1000)</f>
        <v>0.31169599999999997</v>
      </c>
      <c r="BK18" s="94">
        <f>IF(BK4&lt;opening,0,'General Calculations'!$E$28/1000)</f>
        <v>0.31169599999999997</v>
      </c>
      <c r="BL18" s="94">
        <f>IF(BL4&lt;opening,0,'General Calculations'!$E$28/1000)</f>
        <v>0.31169599999999997</v>
      </c>
      <c r="BM18" s="94">
        <f>IF(BM4&lt;opening,0,'General Calculations'!$E$28/1000)</f>
        <v>0.31169599999999997</v>
      </c>
      <c r="BN18" s="376">
        <f>IF(BN4&lt;opening,0,'General Calculations'!$E$28/1000)</f>
        <v>0.31169599999999997</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0.6870882019179877</v>
      </c>
      <c r="C19" s="42">
        <f>IFERROR(C$18*HLOOKUP(C$4,mecc2,2)/100*C$7*C$9*C$11*C$12,0)</f>
        <v>0</v>
      </c>
      <c r="D19" s="42">
        <f t="shared" ref="D19:AH19" si="19">IFERROR(D$18*HLOOKUP(D$4,mecc2,2)/100*D$7*D$9*D$11*D$12,0)</f>
        <v>0</v>
      </c>
      <c r="E19" s="42">
        <f t="shared" si="19"/>
        <v>0</v>
      </c>
      <c r="F19" s="42">
        <f t="shared" si="19"/>
        <v>0</v>
      </c>
      <c r="G19" s="42">
        <f t="shared" si="19"/>
        <v>3.4825603590757009E-2</v>
      </c>
      <c r="H19" s="42">
        <f t="shared" si="19"/>
        <v>3.471815653789076E-2</v>
      </c>
      <c r="I19" s="42">
        <f t="shared" si="19"/>
        <v>3.4611040990238456E-2</v>
      </c>
      <c r="J19" s="42">
        <f t="shared" si="19"/>
        <v>3.4504255925010718E-2</v>
      </c>
      <c r="K19" s="42">
        <f t="shared" si="19"/>
        <v>3.4397800322573724E-2</v>
      </c>
      <c r="L19" s="42">
        <f t="shared" si="19"/>
        <v>3.4831376676641233E-2</v>
      </c>
      <c r="M19" s="42">
        <f t="shared" si="19"/>
        <v>3.5270418160834628E-2</v>
      </c>
      <c r="N19" s="42">
        <f t="shared" si="19"/>
        <v>3.5714993661860941E-2</v>
      </c>
      <c r="O19" s="42">
        <f t="shared" si="19"/>
        <v>3.6165172934728318E-2</v>
      </c>
      <c r="P19" s="42">
        <f t="shared" si="19"/>
        <v>3.6621026613690759E-2</v>
      </c>
      <c r="Q19" s="42">
        <f t="shared" si="19"/>
        <v>3.59076292065693E-2</v>
      </c>
      <c r="R19" s="42">
        <f t="shared" si="19"/>
        <v>3.5208129166822512E-2</v>
      </c>
      <c r="S19" s="42">
        <f t="shared" si="19"/>
        <v>3.4522255766216696E-2</v>
      </c>
      <c r="T19" s="42">
        <f t="shared" si="19"/>
        <v>3.3849743550450583E-2</v>
      </c>
      <c r="U19" s="42">
        <f t="shared" si="19"/>
        <v>3.3190332236416313E-2</v>
      </c>
      <c r="V19" s="42">
        <f t="shared" si="19"/>
        <v>3.2975053172760845E-2</v>
      </c>
      <c r="W19" s="42">
        <f t="shared" si="19"/>
        <v>3.2761170451718578E-2</v>
      </c>
      <c r="X19" s="42">
        <f t="shared" si="19"/>
        <v>3.2548675016334995E-2</v>
      </c>
      <c r="Y19" s="42">
        <f t="shared" si="19"/>
        <v>3.2337557868400722E-2</v>
      </c>
      <c r="Z19" s="42">
        <f t="shared" si="19"/>
        <v>3.2127810068070604E-2</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3.7700234455811162E-3</v>
      </c>
      <c r="C20" s="42">
        <f t="shared" ref="C20:AH20" si="22">IFERROR(C$18*HLOOKUP(C$4,mecc2,3)/100*C$7*C$9*C$11*C$12,0)</f>
        <v>0</v>
      </c>
      <c r="D20" s="42">
        <f t="shared" si="22"/>
        <v>0</v>
      </c>
      <c r="E20" s="42">
        <f t="shared" si="22"/>
        <v>0</v>
      </c>
      <c r="F20" s="42">
        <f t="shared" si="22"/>
        <v>0</v>
      </c>
      <c r="G20" s="42">
        <f t="shared" si="22"/>
        <v>2.083555129437037E-4</v>
      </c>
      <c r="H20" s="42">
        <f t="shared" si="22"/>
        <v>2.057247127392042E-4</v>
      </c>
      <c r="I20" s="42">
        <f t="shared" si="22"/>
        <v>2.0312713032490481E-4</v>
      </c>
      <c r="J20" s="42">
        <f t="shared" si="22"/>
        <v>2.0056234627648591E-4</v>
      </c>
      <c r="K20" s="42">
        <f t="shared" si="22"/>
        <v>1.9802994646548754E-4</v>
      </c>
      <c r="L20" s="42">
        <f t="shared" si="22"/>
        <v>1.9834760936713781E-4</v>
      </c>
      <c r="M20" s="42">
        <f t="shared" si="22"/>
        <v>1.9866578183676449E-4</v>
      </c>
      <c r="N20" s="42">
        <f t="shared" si="22"/>
        <v>1.9898446469177345E-4</v>
      </c>
      <c r="O20" s="42">
        <f t="shared" si="22"/>
        <v>1.9930365875088163E-4</v>
      </c>
      <c r="P20" s="42">
        <f t="shared" si="22"/>
        <v>1.9962336483411968E-4</v>
      </c>
      <c r="Q20" s="42">
        <f t="shared" si="22"/>
        <v>1.9431936238683631E-4</v>
      </c>
      <c r="R20" s="42">
        <f t="shared" si="22"/>
        <v>1.8915628754080931E-4</v>
      </c>
      <c r="S20" s="42">
        <f t="shared" si="22"/>
        <v>1.8413039584286517E-4</v>
      </c>
      <c r="T20" s="42">
        <f t="shared" si="22"/>
        <v>1.7923804233013199E-4</v>
      </c>
      <c r="U20" s="42">
        <f t="shared" si="22"/>
        <v>1.7447567888657792E-4</v>
      </c>
      <c r="V20" s="42">
        <f t="shared" si="22"/>
        <v>1.72141163353801E-4</v>
      </c>
      <c r="W20" s="42">
        <f t="shared" si="22"/>
        <v>1.6983788405295941E-4</v>
      </c>
      <c r="X20" s="42">
        <f t="shared" si="22"/>
        <v>1.6756542303772909E-4</v>
      </c>
      <c r="Y20" s="42">
        <f t="shared" si="22"/>
        <v>1.6532336795398178E-4</v>
      </c>
      <c r="Z20" s="42">
        <f t="shared" si="22"/>
        <v>1.6311131196496077E-4</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0.11583725600593389</v>
      </c>
      <c r="C21" s="42">
        <f t="shared" ref="C21:AH21" si="24">IFERROR(C$18*HLOOKUP(C$4,mecc2,4)/100*C$7*C$9*C$11*C$12,0)</f>
        <v>0</v>
      </c>
      <c r="D21" s="42">
        <f t="shared" si="24"/>
        <v>0</v>
      </c>
      <c r="E21" s="42">
        <f t="shared" si="24"/>
        <v>0</v>
      </c>
      <c r="F21" s="42">
        <f t="shared" si="24"/>
        <v>0</v>
      </c>
      <c r="G21" s="42">
        <f t="shared" si="24"/>
        <v>6.3139794137571769E-3</v>
      </c>
      <c r="H21" s="42">
        <f t="shared" si="24"/>
        <v>6.2499644545007281E-3</v>
      </c>
      <c r="I21" s="42">
        <f t="shared" si="24"/>
        <v>6.1865985177925117E-3</v>
      </c>
      <c r="J21" s="42">
        <f t="shared" si="24"/>
        <v>6.123875023447631E-3</v>
      </c>
      <c r="K21" s="42">
        <f t="shared" si="24"/>
        <v>6.0617874579951001E-3</v>
      </c>
      <c r="L21" s="42">
        <f t="shared" si="24"/>
        <v>6.0806135427369876E-3</v>
      </c>
      <c r="M21" s="42">
        <f t="shared" si="24"/>
        <v>6.0994980956236558E-3</v>
      </c>
      <c r="N21" s="42">
        <f t="shared" si="24"/>
        <v>6.118441298239536E-3</v>
      </c>
      <c r="O21" s="42">
        <f t="shared" si="24"/>
        <v>6.1374433327330089E-3</v>
      </c>
      <c r="P21" s="42">
        <f t="shared" si="24"/>
        <v>6.156504381818158E-3</v>
      </c>
      <c r="Q21" s="42">
        <f t="shared" si="24"/>
        <v>5.9929257629775801E-3</v>
      </c>
      <c r="R21" s="42">
        <f t="shared" si="24"/>
        <v>5.833693435941944E-3</v>
      </c>
      <c r="S21" s="42">
        <f t="shared" si="24"/>
        <v>5.6786919195280297E-3</v>
      </c>
      <c r="T21" s="42">
        <f t="shared" si="24"/>
        <v>5.5278088008932254E-3</v>
      </c>
      <c r="U21" s="42">
        <f t="shared" si="24"/>
        <v>5.3809346540095926E-3</v>
      </c>
      <c r="V21" s="42">
        <f t="shared" si="24"/>
        <v>5.3124379669980031E-3</v>
      </c>
      <c r="W21" s="42">
        <f t="shared" si="24"/>
        <v>5.2448132095736016E-3</v>
      </c>
      <c r="X21" s="42">
        <f t="shared" si="24"/>
        <v>5.1780492824958571E-3</v>
      </c>
      <c r="Y21" s="42">
        <f t="shared" si="24"/>
        <v>5.1121352278121765E-3</v>
      </c>
      <c r="Z21" s="42">
        <f t="shared" si="24"/>
        <v>5.047060227059392E-3</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1.5326430893912212E-2</v>
      </c>
      <c r="C22" s="42">
        <f t="shared" ref="C22:AH22" si="26">IFERROR(C$18*HLOOKUP(C$4,mecc2,5)/100*C$7*C$9*C$11*C$12,0)</f>
        <v>0</v>
      </c>
      <c r="D22" s="42">
        <f t="shared" si="26"/>
        <v>0</v>
      </c>
      <c r="E22" s="42">
        <f t="shared" si="26"/>
        <v>0</v>
      </c>
      <c r="F22" s="42">
        <f t="shared" si="26"/>
        <v>0</v>
      </c>
      <c r="G22" s="42">
        <f t="shared" si="26"/>
        <v>1.0298617472311573E-3</v>
      </c>
      <c r="H22" s="42">
        <f t="shared" si="26"/>
        <v>9.5695959979041011E-4</v>
      </c>
      <c r="I22" s="42">
        <f t="shared" si="26"/>
        <v>8.8921807037995772E-4</v>
      </c>
      <c r="J22" s="42">
        <f t="shared" si="26"/>
        <v>8.262718476970541E-4</v>
      </c>
      <c r="K22" s="42">
        <f t="shared" si="26"/>
        <v>7.6778148019976606E-4</v>
      </c>
      <c r="L22" s="42">
        <f t="shared" si="26"/>
        <v>7.7262208363467171E-4</v>
      </c>
      <c r="M22" s="42">
        <f t="shared" si="26"/>
        <v>7.7749320544260225E-4</v>
      </c>
      <c r="N22" s="42">
        <f t="shared" si="26"/>
        <v>7.8239503803161211E-4</v>
      </c>
      <c r="O22" s="42">
        <f t="shared" si="26"/>
        <v>7.8732777502282401E-4</v>
      </c>
      <c r="P22" s="42">
        <f t="shared" si="26"/>
        <v>7.9229161125807734E-4</v>
      </c>
      <c r="Q22" s="42">
        <f t="shared" si="26"/>
        <v>7.7124678736844731E-4</v>
      </c>
      <c r="R22" s="42">
        <f t="shared" si="26"/>
        <v>7.5076095540332129E-4</v>
      </c>
      <c r="S22" s="42">
        <f t="shared" si="26"/>
        <v>7.3081926743746601E-4</v>
      </c>
      <c r="T22" s="42">
        <f t="shared" si="26"/>
        <v>7.1140726993575273E-4</v>
      </c>
      <c r="U22" s="42">
        <f t="shared" si="26"/>
        <v>6.9251089327738199E-4</v>
      </c>
      <c r="V22" s="42">
        <f t="shared" si="26"/>
        <v>6.8056700981890229E-4</v>
      </c>
      <c r="W22" s="42">
        <f t="shared" si="26"/>
        <v>6.6882912507243474E-4</v>
      </c>
      <c r="X22" s="42">
        <f t="shared" si="26"/>
        <v>6.5729368613414438E-4</v>
      </c>
      <c r="Y22" s="42">
        <f t="shared" si="26"/>
        <v>6.4595720137788763E-4</v>
      </c>
      <c r="Z22" s="42">
        <f t="shared" si="26"/>
        <v>6.3481623939834367E-4</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7.7224837337289279E-3</v>
      </c>
      <c r="C23" s="42">
        <f t="shared" ref="C23:AH23" si="28">IFERROR(C$18*HLOOKUP(C$4,mecc2,6)/100*C$7*C$9*C$11*C$12,0)</f>
        <v>0</v>
      </c>
      <c r="D23" s="42">
        <f t="shared" si="28"/>
        <v>0</v>
      </c>
      <c r="E23" s="42">
        <f t="shared" si="28"/>
        <v>0</v>
      </c>
      <c r="F23" s="42">
        <f t="shared" si="28"/>
        <v>0</v>
      </c>
      <c r="G23" s="42">
        <f t="shared" si="28"/>
        <v>4.2093196091714505E-4</v>
      </c>
      <c r="H23" s="42">
        <f t="shared" si="28"/>
        <v>4.1666429696671513E-4</v>
      </c>
      <c r="I23" s="42">
        <f t="shared" si="28"/>
        <v>4.1243990118616748E-4</v>
      </c>
      <c r="J23" s="42">
        <f t="shared" si="28"/>
        <v>4.0825833489650874E-4</v>
      </c>
      <c r="K23" s="42">
        <f t="shared" si="28"/>
        <v>4.0411916386634002E-4</v>
      </c>
      <c r="L23" s="42">
        <f t="shared" si="28"/>
        <v>4.0537423618246585E-4</v>
      </c>
      <c r="M23" s="42">
        <f t="shared" si="28"/>
        <v>4.0663320637491043E-4</v>
      </c>
      <c r="N23" s="42">
        <f t="shared" si="28"/>
        <v>4.0789608654930249E-4</v>
      </c>
      <c r="O23" s="42">
        <f t="shared" si="28"/>
        <v>4.0916288884886725E-4</v>
      </c>
      <c r="P23" s="42">
        <f t="shared" si="28"/>
        <v>4.1043362545454382E-4</v>
      </c>
      <c r="Q23" s="42">
        <f t="shared" si="28"/>
        <v>3.9952838419850527E-4</v>
      </c>
      <c r="R23" s="42">
        <f t="shared" si="28"/>
        <v>3.8891289572946293E-4</v>
      </c>
      <c r="S23" s="42">
        <f t="shared" si="28"/>
        <v>3.7857946130186859E-4</v>
      </c>
      <c r="T23" s="42">
        <f t="shared" si="28"/>
        <v>3.6852058672621503E-4</v>
      </c>
      <c r="U23" s="42">
        <f t="shared" si="28"/>
        <v>3.5872897693397279E-4</v>
      </c>
      <c r="V23" s="42">
        <f t="shared" si="28"/>
        <v>3.5416253113320023E-4</v>
      </c>
      <c r="W23" s="42">
        <f t="shared" si="28"/>
        <v>3.4965421397157356E-4</v>
      </c>
      <c r="X23" s="42">
        <f t="shared" si="28"/>
        <v>3.4520328549972405E-4</v>
      </c>
      <c r="Y23" s="42">
        <f t="shared" si="28"/>
        <v>3.4080901518747874E-4</v>
      </c>
      <c r="Z23" s="42">
        <f t="shared" si="28"/>
        <v>3.364706818039596E-4</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4.8447446088650543E-2</v>
      </c>
      <c r="C24" s="42">
        <f t="shared" ref="C24:AH24" si="30">IFERROR(C$18*HLOOKUP(C$4,mecc2,7)/100*C$7*C$9*C$11*C$12,0)</f>
        <v>0</v>
      </c>
      <c r="D24" s="42">
        <f t="shared" si="30"/>
        <v>0</v>
      </c>
      <c r="E24" s="42">
        <f t="shared" si="30"/>
        <v>0</v>
      </c>
      <c r="F24" s="42">
        <f t="shared" si="30"/>
        <v>0</v>
      </c>
      <c r="G24" s="42">
        <f t="shared" si="30"/>
        <v>3.6995069876318695E-3</v>
      </c>
      <c r="H24" s="42">
        <f t="shared" si="30"/>
        <v>2.8093950315037546E-3</v>
      </c>
      <c r="I24" s="42">
        <f t="shared" si="30"/>
        <v>2.1334465563721673E-3</v>
      </c>
      <c r="J24" s="42">
        <f t="shared" si="30"/>
        <v>1.6201332165309546E-3</v>
      </c>
      <c r="K24" s="42">
        <f t="shared" si="30"/>
        <v>1.2303245335427318E-3</v>
      </c>
      <c r="L24" s="42">
        <f t="shared" si="30"/>
        <v>1.4741844918856899E-3</v>
      </c>
      <c r="M24" s="42">
        <f t="shared" si="30"/>
        <v>1.7663794038622169E-3</v>
      </c>
      <c r="N24" s="42">
        <f t="shared" si="30"/>
        <v>2.1164896358376395E-3</v>
      </c>
      <c r="O24" s="42">
        <f t="shared" si="30"/>
        <v>2.5359944578234907E-3</v>
      </c>
      <c r="P24" s="42">
        <f t="shared" si="30"/>
        <v>3.0386484210522344E-3</v>
      </c>
      <c r="Q24" s="42">
        <f t="shared" si="30"/>
        <v>2.9579722218994156E-3</v>
      </c>
      <c r="R24" s="42">
        <f t="shared" si="30"/>
        <v>2.8794379780529926E-3</v>
      </c>
      <c r="S24" s="42">
        <f t="shared" si="30"/>
        <v>2.8029888205406703E-3</v>
      </c>
      <c r="T24" s="42">
        <f t="shared" si="30"/>
        <v>2.728569390262928E-3</v>
      </c>
      <c r="U24" s="42">
        <f t="shared" si="30"/>
        <v>2.6561257979058664E-3</v>
      </c>
      <c r="V24" s="42">
        <f t="shared" si="30"/>
        <v>2.5666921133638142E-3</v>
      </c>
      <c r="W24" s="42">
        <f t="shared" si="30"/>
        <v>2.4802697259286503E-3</v>
      </c>
      <c r="X24" s="42">
        <f t="shared" si="30"/>
        <v>2.3967572430399287E-3</v>
      </c>
      <c r="Y24" s="42">
        <f t="shared" si="30"/>
        <v>2.3160566860983447E-3</v>
      </c>
      <c r="Z24" s="42">
        <f t="shared" si="30"/>
        <v>2.2380733755151877E-3</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-5.5882863379035065E-2</v>
      </c>
      <c r="C25" s="532">
        <f t="shared" ref="C25:AH25" si="32">IFERROR(C$18*HLOOKUP(C$4,mecc2,8)/100*C$7*C$9*C$11*C$12,0)</f>
        <v>0</v>
      </c>
      <c r="D25" s="532">
        <f t="shared" si="32"/>
        <v>0</v>
      </c>
      <c r="E25" s="532">
        <f t="shared" si="32"/>
        <v>0</v>
      </c>
      <c r="F25" s="532">
        <f t="shared" si="32"/>
        <v>0</v>
      </c>
      <c r="G25" s="532">
        <f t="shared" si="32"/>
        <v>-5.748099490887313E-3</v>
      </c>
      <c r="H25" s="532">
        <f t="shared" si="32"/>
        <v>-5.2645973545570584E-3</v>
      </c>
      <c r="I25" s="532">
        <f t="shared" si="32"/>
        <v>-4.8217650633132578E-3</v>
      </c>
      <c r="J25" s="532">
        <f t="shared" si="32"/>
        <v>-4.4161816678465471E-3</v>
      </c>
      <c r="K25" s="532">
        <f t="shared" si="32"/>
        <v>-4.0447139724436761E-3</v>
      </c>
      <c r="L25" s="532">
        <f t="shared" si="32"/>
        <v>-3.5546218031605008E-3</v>
      </c>
      <c r="M25" s="532">
        <f t="shared" si="32"/>
        <v>-3.1239133964941854E-3</v>
      </c>
      <c r="N25" s="532">
        <f t="shared" si="32"/>
        <v>-2.7453933074171261E-3</v>
      </c>
      <c r="O25" s="532">
        <f t="shared" si="32"/>
        <v>-2.4127379526171738E-3</v>
      </c>
      <c r="P25" s="532">
        <f t="shared" si="32"/>
        <v>-2.1203899682687047E-3</v>
      </c>
      <c r="Q25" s="532">
        <f t="shared" si="32"/>
        <v>-2.0641071980142382E-3</v>
      </c>
      <c r="R25" s="532">
        <f t="shared" si="32"/>
        <v>-2.0093183747576927E-3</v>
      </c>
      <c r="S25" s="532">
        <f t="shared" si="32"/>
        <v>-1.9559838437766285E-3</v>
      </c>
      <c r="T25" s="532">
        <f t="shared" si="32"/>
        <v>-1.9040650029274533E-3</v>
      </c>
      <c r="U25" s="532">
        <f t="shared" si="32"/>
        <v>-1.8535242747062021E-3</v>
      </c>
      <c r="V25" s="532">
        <f t="shared" si="32"/>
        <v>-1.7513773120762771E-3</v>
      </c>
      <c r="W25" s="532">
        <f t="shared" si="32"/>
        <v>-1.6548596266653796E-3</v>
      </c>
      <c r="X25" s="532">
        <f t="shared" si="32"/>
        <v>-1.5636609913145941E-3</v>
      </c>
      <c r="Y25" s="532">
        <f t="shared" si="32"/>
        <v>-1.4774882753565033E-3</v>
      </c>
      <c r="Z25" s="532">
        <f t="shared" si="32"/>
        <v>-1.3960645024345567E-3</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1.6007372696871944</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8.9520332324454388E-2</v>
      </c>
      <c r="H29" s="42">
        <f>IF(H4&lt;opening,0,1)*Absenteeism!$D$23*H7*H9*H11*H12*H10/1000</f>
        <v>8.8448899361489017E-2</v>
      </c>
      <c r="I29" s="42">
        <f>IF(I4&lt;opening,0,1)*Absenteeism!$D$23*I7*I9*I11*I12*I10/1000</f>
        <v>8.7390289950048966E-2</v>
      </c>
      <c r="J29" s="42">
        <f>IF(J4&lt;opening,0,1)*Absenteeism!$D$23*J7*J9*J11*J12*J10/1000</f>
        <v>8.6344350610187887E-2</v>
      </c>
      <c r="K29" s="42">
        <f>IF(K4&lt;opening,0,1)*Absenteeism!$D$23*K7*K9*K11*K12*K10/1000</f>
        <v>8.5310929698899279E-2</v>
      </c>
      <c r="L29" s="42">
        <f>IF(L4&lt;opening,0,1)*Absenteeism!$D$23*L7*L9*L11*L12*L10/1000</f>
        <v>8.4289877388131013E-2</v>
      </c>
      <c r="M29" s="42">
        <f>IF(M4&lt;opening,0,1)*Absenteeism!$D$23*M7*M9*M11*M12*M10/1000</f>
        <v>8.3281045643062962E-2</v>
      </c>
      <c r="N29" s="42">
        <f>IF(N4&lt;opening,0,1)*Absenteeism!$D$23*N7*N9*N11*N12*N10/1000</f>
        <v>8.2284288200644179E-2</v>
      </c>
      <c r="O29" s="42">
        <f>IF(O4&lt;opening,0,1)*Absenteeism!$D$23*O7*O9*O11*O12*O10/1000</f>
        <v>8.1299460548387686E-2</v>
      </c>
      <c r="P29" s="42">
        <f>IF(P4&lt;opening,0,1)*Absenteeism!$D$23*P7*P9*P11*P12*P10/1000</f>
        <v>8.0326419903418461E-2</v>
      </c>
      <c r="Q29" s="42">
        <f>IF(Q4&lt;opening,0,1)*Absenteeism!$D$23*Q7*Q9*Q11*Q12*Q10/1000</f>
        <v>7.9365025191772465E-2</v>
      </c>
      <c r="R29" s="42">
        <f>IF(R4&lt;opening,0,1)*Absenteeism!$D$23*R7*R9*R11*R12*R10/1000</f>
        <v>7.8415137027943407E-2</v>
      </c>
      <c r="S29" s="42">
        <f>IF(S4&lt;opening,0,1)*Absenteeism!$D$23*S7*S9*S11*S12*S10/1000</f>
        <v>7.7476617694674205E-2</v>
      </c>
      <c r="T29" s="42">
        <f>IF(T4&lt;opening,0,1)*Absenteeism!$D$23*T7*T9*T11*T12*T10/1000</f>
        <v>7.6549331122990324E-2</v>
      </c>
      <c r="U29" s="42">
        <f>IF(U4&lt;opening,0,1)*Absenteeism!$D$23*U7*U9*U11*U12*U10/1000</f>
        <v>7.5633142872472442E-2</v>
      </c>
      <c r="V29" s="42">
        <f>IF(V4&lt;opening,0,1)*Absenteeism!$D$23*V7*V9*V11*V12*V10/1000</f>
        <v>7.472792011176449E-2</v>
      </c>
      <c r="W29" s="42">
        <f>IF(W4&lt;opening,0,1)*Absenteeism!$D$23*W7*W9*W11*W12*W10/1000</f>
        <v>7.3833531599315702E-2</v>
      </c>
      <c r="X29" s="42">
        <f>IF(X4&lt;opening,0,1)*Absenteeism!$D$23*X7*X9*X11*X12*X10/1000</f>
        <v>7.294984766435289E-2</v>
      </c>
      <c r="Y29" s="42">
        <f>IF(Y4&lt;opening,0,1)*Absenteeism!$D$23*Y7*Y9*Y11*Y12*Y10/1000</f>
        <v>7.2076740188080246E-2</v>
      </c>
      <c r="Z29" s="42">
        <f>IF(Z4&lt;opening,0,1)*Absenteeism!$D$23*Z7*Z9*Z11*Z12*Z10/1000</f>
        <v>7.121408258510456E-2</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8.7625588984947811</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0.10512263513751377</v>
      </c>
      <c r="H30" s="532">
        <f t="shared" si="34"/>
        <v>0.20869173379516284</v>
      </c>
      <c r="I30" s="532">
        <f t="shared" si="34"/>
        <v>0.3107245149733398</v>
      </c>
      <c r="J30" s="532">
        <f t="shared" si="34"/>
        <v>0.41123802802711323</v>
      </c>
      <c r="K30" s="532">
        <f t="shared" si="34"/>
        <v>0.51024915423314854</v>
      </c>
      <c r="L30" s="532">
        <f t="shared" si="34"/>
        <v>0.50647884028561296</v>
      </c>
      <c r="M30" s="532">
        <f t="shared" si="34"/>
        <v>0.50273638580074409</v>
      </c>
      <c r="N30" s="532">
        <f t="shared" si="34"/>
        <v>0.49902158492044324</v>
      </c>
      <c r="O30" s="532">
        <f t="shared" si="34"/>
        <v>0.49533423330773063</v>
      </c>
      <c r="P30" s="532">
        <f t="shared" si="34"/>
        <v>0.49167412813550598</v>
      </c>
      <c r="Q30" s="532">
        <f t="shared" si="34"/>
        <v>0.48804106807539155</v>
      </c>
      <c r="R30" s="532">
        <f t="shared" si="34"/>
        <v>0.48443485328665725</v>
      </c>
      <c r="S30" s="532">
        <f t="shared" si="34"/>
        <v>0.48085528540522893</v>
      </c>
      <c r="T30" s="532">
        <f>IF(T4&lt;opening,0,1)*T8*T9*T11*T12*T13*(VoL*YLLsC + VoL*YLLsP)/1000</f>
        <v>0.47730216753277643</v>
      </c>
      <c r="U30" s="532">
        <f t="shared" si="34"/>
        <v>0.47377530422588421</v>
      </c>
      <c r="V30" s="532">
        <f t="shared" si="34"/>
        <v>0.47027450148529903</v>
      </c>
      <c r="W30" s="532">
        <f t="shared" si="34"/>
        <v>0.4667995667452598</v>
      </c>
      <c r="X30" s="532">
        <f t="shared" si="34"/>
        <v>0.46335030886290574</v>
      </c>
      <c r="Y30" s="532">
        <f t="shared" si="34"/>
        <v>0.4599265381077613</v>
      </c>
      <c r="Z30" s="532">
        <f t="shared" si="34"/>
        <v>0.45652806615130009</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5.9099325953865476</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0.33050965950053385</v>
      </c>
      <c r="H33" s="42">
        <f>IF(H4&lt;opening,0,'Journey Ambience'!$E$46)*H7*H9*H10*H11/1000</f>
        <v>0.32655392190916882</v>
      </c>
      <c r="I33" s="42">
        <f>IF(I4&lt;opening,0,'Journey Ambience'!$E$46)*I7*I9*I10*I11/1000</f>
        <v>0.32264552895491783</v>
      </c>
      <c r="J33" s="42">
        <f>IF(J4&lt;opening,0,'Journey Ambience'!$E$46)*J7*J9*J10*J11/1000</f>
        <v>0.31878391398880285</v>
      </c>
      <c r="K33" s="42">
        <f>IF(K4&lt;opening,0,'Journey Ambience'!$E$46)*K7*K9*K10*K11/1000</f>
        <v>0.31496851714384017</v>
      </c>
      <c r="L33" s="42">
        <f>IF(L4&lt;opening,0,'Journey Ambience'!$E$46)*L7*L9*L10*L11/1000</f>
        <v>0.31119878525386979</v>
      </c>
      <c r="M33" s="42">
        <f>IF(M4&lt;opening,0,'Journey Ambience'!$E$46)*M7*M9*M10*M11/1000</f>
        <v>0.30747417177335556</v>
      </c>
      <c r="N33" s="42">
        <f>IF(N4&lt;opening,0,'Journey Ambience'!$E$46)*N7*N9*N10*N11/1000</f>
        <v>0.30379413669814553</v>
      </c>
      <c r="O33" s="42">
        <f>IF(O4&lt;opening,0,'Journey Ambience'!$E$46)*O7*O9*O10*O11/1000</f>
        <v>0.30015814648718092</v>
      </c>
      <c r="P33" s="42">
        <f>IF(P4&lt;opening,0,'Journey Ambience'!$E$46)*P7*P9*P10*P11/1000</f>
        <v>0.29656567398514239</v>
      </c>
      <c r="Q33" s="42">
        <f>IF(Q4&lt;opening,0,'Journey Ambience'!$E$46)*Q7*Q9*Q10*Q11/1000</f>
        <v>0.29301619834602072</v>
      </c>
      <c r="R33" s="42">
        <f>IF(R4&lt;opening,0,'Journey Ambience'!$E$46)*R7*R9*R10*R11/1000</f>
        <v>0.28950920495760396</v>
      </c>
      <c r="S33" s="42">
        <f>IF(S4&lt;opening,0,'Journey Ambience'!$E$46)*S7*S9*S10*S11/1000</f>
        <v>0.28604418536686743</v>
      </c>
      <c r="T33" s="42">
        <f>IF(T4&lt;opening,0,'Journey Ambience'!$E$46)*T7*T9*T10*T11/1000</f>
        <v>0.28262063720625674</v>
      </c>
      <c r="U33" s="42">
        <f>IF(U4&lt;opening,0,'Journey Ambience'!$E$46)*U7*U9*U10*U11/1000</f>
        <v>0.27923806412085345</v>
      </c>
      <c r="V33" s="42">
        <f>IF(V4&lt;opening,0,'Journey Ambience'!$E$46)*V7*V9*V10*V11/1000</f>
        <v>0.27589597569641189</v>
      </c>
      <c r="W33" s="42">
        <f>IF(W4&lt;opening,0,'Journey Ambience'!$E$46)*W7*W9*W10*W11/1000</f>
        <v>0.27259388738825796</v>
      </c>
      <c r="X33" s="42">
        <f>IF(X4&lt;opening,0,'Journey Ambience'!$E$46)*X7*X9*X10*X11/1000</f>
        <v>0.26933132045103858</v>
      </c>
      <c r="Y33" s="42">
        <f>IF(Y4&lt;opening,0,'Journey Ambience'!$E$46)*Y7*Y9*Y10*Y11/1000</f>
        <v>0.26610780186931177</v>
      </c>
      <c r="Z33" s="42">
        <f>IF(Z4&lt;opening,0,'Journey Ambience'!$E$46)*Z7*Z9*Z10*Z11/1000</f>
        <v>0.26292286428896772</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0.93975325920698194</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5.2555172957044774E-2</v>
      </c>
      <c r="H34" s="532">
        <f>IF(H4&lt;opening,0,'Journey Ambience'!$E$45)*H7*H9*H10*H11*H12/1000</f>
        <v>5.1926161164769044E-2</v>
      </c>
      <c r="I34" s="532">
        <f>IF(I4&lt;opening,0,'Journey Ambience'!$E$45)*I7*I9*I10*I11*I12/1000</f>
        <v>5.1304677762422583E-2</v>
      </c>
      <c r="J34" s="532">
        <f>IF(J4&lt;opening,0,'Journey Ambience'!$E$45)*J7*J9*J10*J11*J12/1000</f>
        <v>5.0690632645725001E-2</v>
      </c>
      <c r="K34" s="532">
        <f>IF(K4&lt;opening,0,'Journey Ambience'!$E$45)*K7*K9*K10*K11*K12/1000</f>
        <v>5.0083936788817833E-2</v>
      </c>
      <c r="L34" s="532">
        <f>IF(L4&lt;opening,0,'Journey Ambience'!$E$45)*L7*L9*L10*L11*L12/1000</f>
        <v>4.9484502231357447E-2</v>
      </c>
      <c r="M34" s="532">
        <f>IF(M4&lt;opening,0,'Journey Ambience'!$E$45)*M7*M9*M10*M11*M12/1000</f>
        <v>4.8892242065762356E-2</v>
      </c>
      <c r="N34" s="532">
        <f>IF(N4&lt;opening,0,'Journey Ambience'!$E$45)*N7*N9*N10*N11*N12/1000</f>
        <v>4.830707042461295E-2</v>
      </c>
      <c r="O34" s="532">
        <f>IF(O4&lt;opening,0,'Journey Ambience'!$E$45)*O7*O9*O10*O11*O12/1000</f>
        <v>4.7728902468202418E-2</v>
      </c>
      <c r="P34" s="532">
        <f>IF(P4&lt;opening,0,'Journey Ambience'!$E$45)*P7*P9*P10*P11*P12/1000</f>
        <v>4.7157654372236381E-2</v>
      </c>
      <c r="Q34" s="532">
        <f>IF(Q4&lt;opening,0,'Journey Ambience'!$E$45)*Q7*Q9*Q10*Q11*Q12/1000</f>
        <v>4.659324331567978E-2</v>
      </c>
      <c r="R34" s="532">
        <f>IF(R4&lt;opening,0,'Journey Ambience'!$E$45)*R7*R9*R10*R11*R12/1000</f>
        <v>4.6035587468749369E-2</v>
      </c>
      <c r="S34" s="532">
        <f>IF(S4&lt;opening,0,'Journey Ambience'!$E$45)*S7*S9*S10*S11*S12/1000</f>
        <v>4.5484605981049732E-2</v>
      </c>
      <c r="T34" s="532">
        <f>IF(T4&lt;opening,0,'Journey Ambience'!$E$45)*T7*T9*T10*T11*T12/1000</f>
        <v>4.4940218969851405E-2</v>
      </c>
      <c r="U34" s="532">
        <f>IF(U4&lt;opening,0,'Journey Ambience'!$E$45)*U7*U9*U10*U11*U12/1000</f>
        <v>4.4402347508509361E-2</v>
      </c>
      <c r="V34" s="532">
        <f>IF(V4&lt;opening,0,'Journey Ambience'!$E$45)*V7*V9*V10*V11*V12/1000</f>
        <v>4.3870913615019845E-2</v>
      </c>
      <c r="W34" s="532">
        <f>IF(W4&lt;opening,0,'Journey Ambience'!$E$45)*W7*W9*W10*W11*W12/1000</f>
        <v>4.3345840240714473E-2</v>
      </c>
      <c r="X34" s="532">
        <f>IF(X4&lt;opening,0,'Journey Ambience'!$E$45)*X7*X9*X10*X11*X12/1000</f>
        <v>4.2827051259089498E-2</v>
      </c>
      <c r="Y34" s="532">
        <f>IF(Y4&lt;opening,0,'Journey Ambience'!$E$45)*Y7*Y9*Y10*Y11*Y12/1000</f>
        <v>4.2314471454768757E-2</v>
      </c>
      <c r="Z34" s="532">
        <f>IF(Z4&lt;opening,0,'Journey Ambience'!$E$45)*Z7*Z9*Z10*Z11*Z12/1000</f>
        <v>4.180802651259876E-2</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1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0.6870882019179877</v>
      </c>
      <c r="F4" s="41"/>
      <c r="G4" s="104"/>
      <c r="H4" s="435" t="s">
        <v>16711</v>
      </c>
      <c r="I4" s="192">
        <f>SUM(E4:E9,E14)</f>
        <v>0.82230897870675934</v>
      </c>
      <c r="J4" s="436">
        <f>IFERROR(I4/SUM($I$4:$I$6),0)</f>
        <v>4.5594439182554708E-2</v>
      </c>
      <c r="K4" s="41"/>
      <c r="L4" s="41"/>
      <c r="M4" s="41"/>
      <c r="N4" s="41"/>
      <c r="O4" s="41"/>
    </row>
    <row r="5" spans="1:15">
      <c r="A5" s="41"/>
      <c r="B5" s="674" t="s">
        <v>16712</v>
      </c>
      <c r="C5" s="675"/>
      <c r="D5" s="675"/>
      <c r="E5" s="124">
        <f>Discounting!B20</f>
        <v>3.7700234455811162E-3</v>
      </c>
      <c r="F5" s="41"/>
      <c r="G5" s="104"/>
      <c r="H5" s="107" t="s">
        <v>16713</v>
      </c>
      <c r="I5" s="124">
        <f>E10+E11</f>
        <v>10.363296168181975</v>
      </c>
      <c r="J5" s="430">
        <f>IFERROR(I5/SUM($I$4:$I$6),0)</f>
        <v>0.57461208512411854</v>
      </c>
      <c r="K5" s="41"/>
      <c r="L5" s="41"/>
      <c r="M5" s="41"/>
      <c r="N5" s="41"/>
      <c r="O5" s="41"/>
    </row>
    <row r="6" spans="1:15">
      <c r="A6" s="41"/>
      <c r="B6" s="674" t="s">
        <v>16441</v>
      </c>
      <c r="C6" s="675"/>
      <c r="D6" s="675"/>
      <c r="E6" s="124">
        <f>Discounting!B21</f>
        <v>0.11583725600593389</v>
      </c>
      <c r="F6" s="41"/>
      <c r="G6" s="104"/>
      <c r="H6" s="107" t="s">
        <v>16714</v>
      </c>
      <c r="I6" s="124">
        <f>E12</f>
        <v>6.8496858545935293</v>
      </c>
      <c r="J6" s="430">
        <f>IFERROR(I6/SUM($I$4:$I$6),0)</f>
        <v>0.37979347569332678</v>
      </c>
      <c r="K6" s="41"/>
      <c r="L6" s="41"/>
      <c r="M6" s="41"/>
      <c r="N6" s="41"/>
      <c r="O6" s="41"/>
    </row>
    <row r="7" spans="1:15">
      <c r="A7" s="41"/>
      <c r="B7" s="674" t="s">
        <v>16715</v>
      </c>
      <c r="C7" s="675"/>
      <c r="D7" s="675"/>
      <c r="E7" s="124">
        <f>Discounting!B22</f>
        <v>1.5326430893912212E-2</v>
      </c>
      <c r="F7" s="41"/>
      <c r="G7" s="104"/>
      <c r="H7" s="41"/>
      <c r="I7" s="41"/>
      <c r="J7" s="413"/>
      <c r="K7" s="41"/>
      <c r="L7" s="41"/>
      <c r="M7" s="41"/>
      <c r="N7" s="41"/>
      <c r="O7" s="41"/>
    </row>
    <row r="8" spans="1:15">
      <c r="A8" s="41"/>
      <c r="B8" s="674" t="s">
        <v>16443</v>
      </c>
      <c r="C8" s="675"/>
      <c r="D8" s="675"/>
      <c r="E8" s="124">
        <f>Discounting!B23</f>
        <v>7.7224837337289279E-3</v>
      </c>
      <c r="F8" s="41"/>
      <c r="G8" s="104"/>
      <c r="H8" s="41"/>
      <c r="I8" s="41"/>
      <c r="J8" s="413"/>
      <c r="K8" s="41"/>
      <c r="L8" s="41"/>
      <c r="M8" s="41"/>
      <c r="N8" s="41"/>
      <c r="O8" s="41"/>
    </row>
    <row r="9" spans="1:15">
      <c r="A9" s="41"/>
      <c r="B9" s="674" t="s">
        <v>16716</v>
      </c>
      <c r="C9" s="675"/>
      <c r="D9" s="675"/>
      <c r="E9" s="124">
        <f>Discounting!B24</f>
        <v>4.8447446088650543E-2</v>
      </c>
      <c r="F9" s="41"/>
      <c r="G9" s="104"/>
      <c r="H9" s="41"/>
      <c r="I9" s="41"/>
      <c r="J9" s="413"/>
      <c r="K9" s="41"/>
      <c r="L9" s="41"/>
      <c r="M9" s="41"/>
      <c r="N9" s="41"/>
      <c r="O9" s="41"/>
    </row>
    <row r="10" spans="1:15">
      <c r="A10" s="41"/>
      <c r="B10" s="680" t="s">
        <v>16704</v>
      </c>
      <c r="C10" s="681"/>
      <c r="D10" s="681"/>
      <c r="E10" s="124">
        <f>Discounting!B30</f>
        <v>8.7625588984947811</v>
      </c>
      <c r="F10" s="41"/>
      <c r="G10" s="104"/>
      <c r="H10" s="41"/>
      <c r="I10" s="41"/>
      <c r="J10" s="413"/>
      <c r="K10" s="41"/>
      <c r="L10" s="41"/>
      <c r="M10" s="41"/>
      <c r="N10" s="41"/>
      <c r="O10" s="41"/>
    </row>
    <row r="11" spans="1:15">
      <c r="A11" s="41"/>
      <c r="B11" s="680" t="s">
        <v>75</v>
      </c>
      <c r="C11" s="681"/>
      <c r="D11" s="681"/>
      <c r="E11" s="124">
        <f>_xlfn.IFNA(Discounting!B29, 0)</f>
        <v>1.6007372696871944</v>
      </c>
      <c r="F11" s="41"/>
      <c r="G11" s="104"/>
      <c r="H11" s="41"/>
      <c r="I11" s="41"/>
      <c r="J11" s="413"/>
      <c r="K11" s="41"/>
      <c r="L11" s="41"/>
      <c r="M11" s="41"/>
      <c r="N11" s="41"/>
      <c r="O11" s="41"/>
    </row>
    <row r="12" spans="1:15">
      <c r="A12" s="41"/>
      <c r="B12" s="680" t="s">
        <v>16423</v>
      </c>
      <c r="C12" s="681"/>
      <c r="D12" s="681"/>
      <c r="E12" s="124">
        <f>IFERROR(Discounting!B33+Discounting!B34,0)</f>
        <v>6.8496858545935293</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-5.5882863379035065E-2</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18.031520978036678</v>
      </c>
      <c r="F19" s="41"/>
      <c r="G19" s="104"/>
      <c r="H19" s="41"/>
      <c r="I19" s="41"/>
      <c r="J19" s="413"/>
      <c r="K19" s="41"/>
      <c r="L19" s="41"/>
      <c r="M19" s="41"/>
      <c r="N19" s="41"/>
      <c r="O19" s="41"/>
    </row>
    <row r="20" spans="1:15">
      <c r="A20" s="41"/>
      <c r="B20" s="674" t="s">
        <v>16719</v>
      </c>
      <c r="C20" s="675"/>
      <c r="D20" s="675"/>
      <c r="E20" s="124">
        <f>IFERROR((E15+E16)-E5,0)</f>
        <v>-3.7700234455811162E-3</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-4782.867066562043</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2023-01-13T16:50:17Z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