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C4DDA1C0-23EA-4598-861C-497065837DFC}" xr6:coauthVersionLast="47" xr6:coauthVersionMax="47" xr10:uidLastSave="{00000000-0000-0000-0000-000000000000}"/>
  <bookViews>
    <workbookView xWindow="-1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I85" i="27" s="1"/>
  <c r="D85" i="27"/>
  <c r="E93" i="24"/>
  <c r="E94" i="24"/>
  <c r="D95" i="24"/>
  <c r="D94" i="24"/>
  <c r="D92" i="24"/>
  <c r="D93" i="24"/>
  <c r="E92" i="24"/>
  <c r="F85" i="27" l="1"/>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<sst xmlns="http://schemas.openxmlformats.org/spreadsheetml/2006/main" count="55865" uniqueCount="16762">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</sst>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49.569813122666837</c:v>
                </c:pt>
                <c:pt idx="1">
                  <c:v>486.76028483174008</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13" zoomScale="80" zoomScaleNormal="80" workbookViewId="0">
      <selection activeCell="F66" sqref="F66"/>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347</v>
      </c>
      <c r="G33" s="41" t="s">
        <v>16311</v>
      </c>
      <c r="H33" s="311" t="s">
        <v>16758</v>
      </c>
    </row>
    <row r="34" spans="1:69">
      <c r="A34" s="41"/>
      <c r="D34" s="146" t="s">
        <v>16312</v>
      </c>
      <c r="F34" s="383">
        <f>ROUND(F33*1.25,0)</f>
        <v>434</v>
      </c>
      <c r="G34" s="41" t="s">
        <v>16311</v>
      </c>
      <c r="H34" s="311" t="s">
        <v>16759</v>
      </c>
    </row>
    <row r="35" spans="1:69" ht="30.75" thickBot="1">
      <c r="A35" s="41"/>
      <c r="D35" s="146" t="s">
        <v>16313</v>
      </c>
      <c r="F35" s="384"/>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29</v>
      </c>
      <c r="G46" s="41" t="s">
        <v>16311</v>
      </c>
      <c r="H46" s="311"/>
    </row>
    <row r="47" spans="1:69">
      <c r="A47" s="41"/>
      <c r="D47" s="146" t="s">
        <v>16312</v>
      </c>
      <c r="F47" s="536">
        <f>ROUND(F46*1.1,0)</f>
        <v>32</v>
      </c>
      <c r="G47" s="41" t="s">
        <v>16311</v>
      </c>
      <c r="H47" s="311"/>
    </row>
    <row r="48" spans="1:69" ht="15.75" thickBot="1">
      <c r="A48" s="41"/>
      <c r="D48" s="146" t="s">
        <v>16320</v>
      </c>
      <c r="F48" s="537"/>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347</v>
      </c>
      <c r="E28" s="108" t="s">
        <v>16311</v>
      </c>
    </row>
    <row r="29" spans="2:8">
      <c r="C29" s="108" t="s">
        <v>16409</v>
      </c>
      <c r="D29" s="367">
        <f>'User Interface Intervention'!F34</f>
        <v>434</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29</v>
      </c>
      <c r="E50" s="242" t="s">
        <v>16311</v>
      </c>
    </row>
    <row r="51" spans="2:6">
      <c r="C51" s="108" t="s">
        <v>16409</v>
      </c>
      <c r="D51" s="367">
        <f>'User Interface Intervention'!F47</f>
        <v>32</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347</v>
      </c>
      <c r="E4" s="120">
        <f>useP</f>
        <v>29</v>
      </c>
      <c r="F4" s="108"/>
    </row>
    <row r="5" spans="1:6">
      <c r="C5" s="120" t="s">
        <v>16598</v>
      </c>
      <c r="D5" s="122">
        <f>use_new</f>
        <v>434</v>
      </c>
      <c r="E5" s="122">
        <f>use_newP</f>
        <v>32</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87</v>
      </c>
      <c r="E12" s="123">
        <f>use_newP-useP</f>
        <v>3</v>
      </c>
    </row>
    <row r="13" spans="1:6">
      <c r="C13" s="123" t="s">
        <v>16603</v>
      </c>
      <c r="D13" s="167">
        <f>D12/(1+return)</f>
        <v>45.789473684210527</v>
      </c>
      <c r="E13" s="167">
        <f>E12/(1+return)</f>
        <v>1.5789473684210527</v>
      </c>
    </row>
    <row r="14" spans="1:6">
      <c r="C14" s="123" t="s">
        <v>16604</v>
      </c>
      <c r="D14" s="123">
        <f>use_new-D12</f>
        <v>347</v>
      </c>
      <c r="E14" s="123">
        <f>use_newP-E12</f>
        <v>29</v>
      </c>
    </row>
    <row r="15" spans="1:6">
      <c r="C15" s="123" t="s">
        <v>16605</v>
      </c>
      <c r="D15" s="123">
        <f>D14/(1+return)</f>
        <v>182.63157894736844</v>
      </c>
      <c r="E15" s="123">
        <f>E14/(1+return)</f>
        <v>15.263157894736842</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106533.23999999999</v>
      </c>
      <c r="E23" s="107">
        <f>E7*E12*scheme_days</f>
        <v>834.90000000000009</v>
      </c>
      <c r="F23" s="41" t="s">
        <v>16611</v>
      </c>
    </row>
    <row r="24" spans="2:6">
      <c r="C24" s="125" t="s">
        <v>16612</v>
      </c>
      <c r="D24" s="107">
        <f>D23*car_share</f>
        <v>25567.977599999998</v>
      </c>
      <c r="E24" s="107">
        <f>E23*car_shareP</f>
        <v>200.376</v>
      </c>
    </row>
    <row r="25" spans="2:6">
      <c r="C25" s="125" t="s">
        <v>16613</v>
      </c>
      <c r="D25" s="107">
        <f>D24/'Input Summary'!D86</f>
        <v>15979.985999999999</v>
      </c>
      <c r="E25" s="107">
        <f>E24/'Input Summary'!D86</f>
        <v>125.235</v>
      </c>
    </row>
    <row r="26" spans="2:6" ht="15.75">
      <c r="C26" s="123" t="s">
        <v>16614</v>
      </c>
      <c r="D26" s="167">
        <f>D23*'Input Summary'!D34</f>
        <v>6391.9943999999996</v>
      </c>
      <c r="E26" s="167">
        <f>E23*'Input Summary'!D56</f>
        <v>50.094000000000001</v>
      </c>
      <c r="F26" s="105"/>
    </row>
    <row r="27" spans="2:6">
      <c r="C27" s="123" t="s">
        <v>16615</v>
      </c>
      <c r="D27" s="167">
        <f>D26/'Input Summary'!D87</f>
        <v>2663.3310000000001</v>
      </c>
      <c r="E27" s="167">
        <f>E26/'Input Summary'!D87</f>
        <v>20.872500000000002</v>
      </c>
    </row>
    <row r="28" spans="2:6" ht="15.75">
      <c r="B28" s="105" t="s">
        <v>16616</v>
      </c>
      <c r="C28" s="125" t="s">
        <v>16617</v>
      </c>
      <c r="D28" s="126"/>
      <c r="E28" s="127">
        <f>SUM(D25:E25,D27:E27)</f>
        <v>18789.424500000001</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45.789473684210527</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33.032893069150674</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4773.3221781976645</v>
      </c>
      <c r="E21" s="142">
        <f>E19*E20</f>
        <v>112.22544306107363</v>
      </c>
    </row>
    <row r="22" spans="2:8">
      <c r="C22" s="138"/>
      <c r="D22" s="149"/>
      <c r="E22" s="143"/>
    </row>
    <row r="23" spans="2:8" ht="15.75">
      <c r="C23" s="144" t="s">
        <v>16523</v>
      </c>
      <c r="D23" s="145">
        <f>D21+E21</f>
        <v>4885.5476212587382</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45.789473684210527</v>
      </c>
      <c r="E7" s="500">
        <f>'General Calculations'!E13</f>
        <v>1.5789473684210527</v>
      </c>
      <c r="F7" s="492"/>
    </row>
    <row r="8" spans="1:6">
      <c r="A8" s="492"/>
      <c r="B8" s="492"/>
      <c r="C8" s="109" t="s">
        <v>16644</v>
      </c>
      <c r="D8" s="499">
        <f>'General Calculations'!D15</f>
        <v>182.63157894736844</v>
      </c>
      <c r="E8" s="500">
        <f>'General Calculations'!E15</f>
        <v>15.263157894736842</v>
      </c>
      <c r="F8" s="492"/>
    </row>
    <row r="9" spans="1:6">
      <c r="A9" s="492"/>
      <c r="B9" s="492"/>
      <c r="C9" s="109" t="s">
        <v>16645</v>
      </c>
      <c r="D9" s="499">
        <f>'General Calculations'!D12</f>
        <v>87</v>
      </c>
      <c r="E9" s="500">
        <f>'General Calculations'!E12</f>
        <v>3</v>
      </c>
      <c r="F9" s="492"/>
    </row>
    <row r="10" spans="1:6">
      <c r="A10" s="492"/>
      <c r="B10" s="492"/>
      <c r="C10" s="151" t="s">
        <v>16646</v>
      </c>
      <c r="D10" s="502">
        <f>'General Calculations'!D14</f>
        <v>347</v>
      </c>
      <c r="E10" s="527">
        <f>'General Calculations'!E14</f>
        <v>29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v>
      </c>
      <c r="E13" s="503">
        <f>'Input Summary'!D58</f>
        <v>0</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v>
      </c>
      <c r="E25" s="508">
        <f>E5*E13</f>
        <v>0</v>
      </c>
      <c r="F25" s="131" t="s">
        <v>16641</v>
      </c>
      <c r="G25" s="131"/>
      <c r="H25" s="131"/>
    </row>
    <row r="26" spans="1:8">
      <c r="A26" s="492"/>
      <c r="B26" s="492"/>
      <c r="C26" s="109" t="s">
        <v>16657</v>
      </c>
      <c r="D26" s="499">
        <f>60*D25/speed</f>
        <v>0</v>
      </c>
      <c r="E26" s="499">
        <f>60*E25/speedP</f>
        <v>0</v>
      </c>
      <c r="F26" s="492" t="s">
        <v>16658</v>
      </c>
      <c r="G26" s="131"/>
      <c r="H26" s="131"/>
    </row>
    <row r="27" spans="1:8">
      <c r="A27" s="492"/>
      <c r="B27" s="492"/>
      <c r="C27" s="151" t="s">
        <v>16659</v>
      </c>
      <c r="D27" s="502">
        <f>D26*scheme_days</f>
        <v>0</v>
      </c>
      <c r="E27" s="502">
        <f>E26*scheme_days</f>
        <v>0</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45.789473684210527</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7.3263157894736848</v>
      </c>
      <c r="E9" s="299">
        <f>'General Calculations'!$D$13*'Health Assumptions'!E25</f>
        <v>1.8315789473684212</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17.857894736842105</v>
      </c>
      <c r="E10" s="299">
        <f>'General Calculations'!$D$13*'Health Assumptions'!E26</f>
        <v>7.3263157894736848</v>
      </c>
      <c r="F10" s="300">
        <f>'General Calculations'!$E$13*'Health Assumptions'!F26</f>
        <v>0.26842105263157895</v>
      </c>
      <c r="G10" s="167">
        <f>'General Calculations'!$E$13*'Health Assumptions'!G26</f>
        <v>0.37894736842105264</v>
      </c>
    </row>
    <row r="11" spans="1:7">
      <c r="C11" s="125" t="s">
        <v>16584</v>
      </c>
      <c r="D11" s="167">
        <f>'General Calculations'!$D$13*'Health Assumptions'!D27</f>
        <v>5.9526315789473685</v>
      </c>
      <c r="E11" s="299">
        <f>'General Calculations'!$D$13*'Health Assumptions'!E27</f>
        <v>2.2894736842105265</v>
      </c>
      <c r="F11" s="300">
        <f>'General Calculations'!$E$13*'Health Assumptions'!F27</f>
        <v>0.11052631578947369</v>
      </c>
      <c r="G11" s="167">
        <f>'General Calculations'!$E$13*'Health Assumptions'!G27</f>
        <v>0.14210526315789473</v>
      </c>
    </row>
    <row r="12" spans="1:7">
      <c r="C12" s="125" t="s">
        <v>16585</v>
      </c>
      <c r="D12" s="167">
        <f>'General Calculations'!$D$13*'Health Assumptions'!D28</f>
        <v>2.2894736842105265</v>
      </c>
      <c r="E12" s="299">
        <f>'General Calculations'!$D$13*'Health Assumptions'!E28</f>
        <v>0.4578947368421053</v>
      </c>
      <c r="F12" s="300">
        <f>'General Calculations'!$E$13*'Health Assumptions'!F28</f>
        <v>7.8947368421052641E-2</v>
      </c>
      <c r="G12" s="167">
        <f>'General Calculations'!$E$13*'Health Assumptions'!G28</f>
        <v>7.8947368421052641E-2</v>
      </c>
    </row>
    <row r="13" spans="1:7">
      <c r="C13" s="125" t="s">
        <v>16586</v>
      </c>
      <c r="D13" s="167">
        <f>'General Calculations'!$D$13*'Health Assumptions'!D29</f>
        <v>0.4578947368421053</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33.88421052631579</v>
      </c>
      <c r="E14" s="299">
        <f>SUM(E9:E13)</f>
        <v>11.905263157894739</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4.5109707396612875E-3</v>
      </c>
      <c r="E72" s="124">
        <f>E64*'Health Assumptions'!E60*E10</f>
        <v>9.5564377529449727E-4</v>
      </c>
      <c r="F72" s="162">
        <f>SUM(D72:E72)</f>
        <v>5.4666145149557845E-3</v>
      </c>
      <c r="G72" s="124">
        <f>F64*'Health Assumptions'!D60*F10</f>
        <v>2.3524747822603488E-5</v>
      </c>
      <c r="H72" s="124">
        <f>G64*'Health Assumptions'!E60*G10</f>
        <v>1.9090342759836842E-5</v>
      </c>
      <c r="I72" s="124">
        <f>SUM(G72:H72)</f>
        <v>4.261509058244033E-5</v>
      </c>
    </row>
    <row r="73" spans="2:12">
      <c r="C73" s="125" t="s">
        <v>16584</v>
      </c>
      <c r="D73" s="124">
        <f>D65*'Health Assumptions'!D61*D11</f>
        <v>8.4918711497654308E-3</v>
      </c>
      <c r="E73" s="124">
        <f>E65*'Health Assumptions'!E61*E11</f>
        <v>1.6870537529262747E-3</v>
      </c>
      <c r="F73" s="162">
        <f>SUM(D73:E73)</f>
        <v>1.0178924902691705E-2</v>
      </c>
      <c r="G73" s="124">
        <f>F65*'Health Assumptions'!D61*F11</f>
        <v>5.4944990455383828E-5</v>
      </c>
      <c r="H73" s="124">
        <f>G65*'Health Assumptions'!E61*G11</f>
        <v>4.7700308444925275E-5</v>
      </c>
      <c r="I73" s="124">
        <f>SUM(G73:H73)</f>
        <v>1.026452989003091E-4</v>
      </c>
    </row>
    <row r="74" spans="2:12">
      <c r="C74" s="125" t="s">
        <v>16585</v>
      </c>
      <c r="D74" s="124">
        <f>D66*'Health Assumptions'!D62*D12</f>
        <v>1.1072635397644812E-2</v>
      </c>
      <c r="E74" s="124">
        <f>E66*'Health Assumptions'!E62*E12</f>
        <v>1.1790201476151573E-3</v>
      </c>
      <c r="F74" s="162">
        <f>SUM(D74:E74)</f>
        <v>1.2251655545259969E-2</v>
      </c>
      <c r="G74" s="124">
        <f>F66*'Health Assumptions'!D62*F12</f>
        <v>1.5557924332934998E-4</v>
      </c>
      <c r="H74" s="124">
        <f>G66*'Health Assumptions'!E62*G12</f>
        <v>1.0425020471319693E-4</v>
      </c>
      <c r="I74" s="124">
        <f>SUM(G74:H74)</f>
        <v>2.5982944804254691E-4</v>
      </c>
    </row>
    <row r="75" spans="2:12">
      <c r="C75" s="125" t="s">
        <v>16586</v>
      </c>
      <c r="D75" s="124">
        <f>D67*'Health Assumptions'!D63*D13</f>
        <v>7.3115207224828133E-3</v>
      </c>
      <c r="E75" s="124">
        <f>E67*'Health Assumptions'!E63*E13</f>
        <v>0</v>
      </c>
      <c r="F75" s="162">
        <f>SUM(D75:E75)</f>
        <v>7.3115207224828133E-3</v>
      </c>
      <c r="G75" s="124">
        <f>F67*'Health Assumptions'!D63*F13</f>
        <v>1.4095138601901837E-4</v>
      </c>
      <c r="H75" s="124">
        <f>G67*'Health Assumptions'!E63*G13</f>
        <v>1.1207577002256147E-4</v>
      </c>
      <c r="I75" s="124">
        <f>SUM(G75:H75)</f>
        <v>2.5302715604157985E-4</v>
      </c>
    </row>
    <row r="76" spans="2:12">
      <c r="C76" s="125" t="s">
        <v>16683</v>
      </c>
      <c r="D76" s="124">
        <f t="shared" ref="D76:I76" si="2">SUM(D71:D75)</f>
        <v>3.1386998009554343E-2</v>
      </c>
      <c r="E76" s="124">
        <f t="shared" si="2"/>
        <v>3.8217176758359294E-3</v>
      </c>
      <c r="F76" s="162">
        <f t="shared" si="2"/>
        <v>3.5208715685390274E-2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0.157170968446289</v>
      </c>
      <c r="E82" s="124">
        <f>E72*'Health Assumptions'!E93</f>
        <v>3.2766533741390734E-2</v>
      </c>
      <c r="F82" s="162">
        <f>SUM(D82:E82)</f>
        <v>0.18993750218767974</v>
      </c>
      <c r="G82" s="124">
        <f>G72*'Health Assumptions'!D68</f>
        <v>8.1964783438407849E-4</v>
      </c>
      <c r="H82" s="124">
        <f>H72*'Health Assumptions'!E68</f>
        <v>6.54558085707347E-4</v>
      </c>
      <c r="I82" s="124">
        <f>SUM(G82:H82)</f>
        <v>1.4742059200914255E-3</v>
      </c>
    </row>
    <row r="83" spans="3:11">
      <c r="C83" s="125" t="s">
        <v>16584</v>
      </c>
      <c r="D83" s="124">
        <f>D73*'Health Assumptions'!D94</f>
        <v>0.20148422110807329</v>
      </c>
      <c r="E83" s="124">
        <f>E73*'Health Assumptions'!E94</f>
        <v>4.0028246470177747E-2</v>
      </c>
      <c r="F83" s="162">
        <f>SUM(D83:E83)</f>
        <v>0.24151246757825104</v>
      </c>
      <c r="G83" s="124">
        <f>G73*'Health Assumptions'!D69</f>
        <v>1.303664223167038E-3</v>
      </c>
      <c r="H83" s="124">
        <f>H73*'Health Assumptions'!E69</f>
        <v>1.1317717054510534E-3</v>
      </c>
      <c r="I83" s="124">
        <f>SUM(G83:H83)</f>
        <v>2.4354359286180914E-3</v>
      </c>
    </row>
    <row r="84" spans="3:11">
      <c r="C84" s="125" t="s">
        <v>16585</v>
      </c>
      <c r="D84" s="124">
        <f>D74*'Health Assumptions'!D95</f>
        <v>0.16754296987946063</v>
      </c>
      <c r="E84" s="124">
        <f>E74*'Health Assumptions'!E95</f>
        <v>1.6910960696027627E-2</v>
      </c>
      <c r="F84" s="162">
        <f>SUM(D84:E84)</f>
        <v>0.18445393057548826</v>
      </c>
      <c r="G84" s="124">
        <f>G74*'Health Assumptions'!D70</f>
        <v>2.3541106107894541E-3</v>
      </c>
      <c r="H84" s="124">
        <f>H74*'Health Assumptions'!E70</f>
        <v>1.4952849771259014E-3</v>
      </c>
      <c r="I84" s="124">
        <f>SUM(G84:H84)</f>
        <v>3.8493955879153555E-3</v>
      </c>
    </row>
    <row r="85" spans="3:11">
      <c r="C85" s="125" t="s">
        <v>16586</v>
      </c>
      <c r="D85" s="124">
        <f>D75*'Health Assumptions'!D96</f>
        <v>4.2279928550538928E-2</v>
      </c>
      <c r="E85" s="124">
        <f>E75*'Health Assumptions'!E96</f>
        <v>0</v>
      </c>
      <c r="F85" s="162">
        <f>SUM(D85:E85)</f>
        <v>4.2279928550538928E-2</v>
      </c>
      <c r="G85" s="124">
        <f>G75*'Health Assumptions'!D71</f>
        <v>8.1507182379425135E-4</v>
      </c>
      <c r="H85" s="124">
        <f>H75*'Health Assumptions'!E71</f>
        <v>6.4809438811129223E-4</v>
      </c>
      <c r="I85" s="124">
        <f>SUM(G85:H85)</f>
        <v>1.4631662119055436E-3</v>
      </c>
    </row>
    <row r="86" spans="3:11">
      <c r="C86" s="125" t="s">
        <v>16683</v>
      </c>
      <c r="D86" s="124">
        <f t="shared" ref="D86:I86" si="3">SUM(D81:D85)</f>
        <v>0.56847808798436184</v>
      </c>
      <c r="E86" s="124">
        <f t="shared" si="3"/>
        <v>8.9705740907596115E-2</v>
      </c>
      <c r="F86" s="162">
        <f t="shared" si="3"/>
        <v>0.65818382889195803</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18.789424500000003</v>
      </c>
      <c r="H18" s="94">
        <f>IF(H4&lt;opening,0,'General Calculations'!$E$28/1000)</f>
        <v>18.789424500000003</v>
      </c>
      <c r="I18" s="94">
        <f>IF(I4&lt;opening,0,'General Calculations'!$E$28/1000)</f>
        <v>18.789424500000003</v>
      </c>
      <c r="J18" s="94">
        <f>IF(J4&lt;opening,0,'General Calculations'!$E$28/1000)</f>
        <v>18.789424500000003</v>
      </c>
      <c r="K18" s="94">
        <f>IF(K4&lt;opening,0,'General Calculations'!$E$28/1000)</f>
        <v>18.789424500000003</v>
      </c>
      <c r="L18" s="94">
        <f>IF(L4&lt;opening,0,'General Calculations'!$E$28/1000)</f>
        <v>18.789424500000003</v>
      </c>
      <c r="M18" s="94">
        <f>IF(M4&lt;opening,0,'General Calculations'!$E$28/1000)</f>
        <v>18.789424500000003</v>
      </c>
      <c r="N18" s="94">
        <f>IF(N4&lt;opening,0,'General Calculations'!$E$28/1000)</f>
        <v>18.789424500000003</v>
      </c>
      <c r="O18" s="94">
        <f>IF(O4&lt;opening,0,'General Calculations'!$E$28/1000)</f>
        <v>18.789424500000003</v>
      </c>
      <c r="P18" s="94">
        <f>IF(P4&lt;opening,0,'General Calculations'!$E$28/1000)</f>
        <v>18.789424500000003</v>
      </c>
      <c r="Q18" s="94">
        <f>IF(Q4&lt;opening,0,'General Calculations'!$E$28/1000)</f>
        <v>18.789424500000003</v>
      </c>
      <c r="R18" s="94">
        <f>IF(R4&lt;opening,0,'General Calculations'!$E$28/1000)</f>
        <v>18.789424500000003</v>
      </c>
      <c r="S18" s="94">
        <f>IF(S4&lt;opening,0,'General Calculations'!$E$28/1000)</f>
        <v>18.789424500000003</v>
      </c>
      <c r="T18" s="94">
        <f>IF(T4&lt;opening,0,'General Calculations'!$E$28/1000)</f>
        <v>18.789424500000003</v>
      </c>
      <c r="U18" s="94">
        <f>IF(U4&lt;opening,0,'General Calculations'!$E$28/1000)</f>
        <v>18.789424500000003</v>
      </c>
      <c r="V18" s="94">
        <f>IF(V4&lt;opening,0,'General Calculations'!$E$28/1000)</f>
        <v>18.789424500000003</v>
      </c>
      <c r="W18" s="94">
        <f>IF(W4&lt;opening,0,'General Calculations'!$E$28/1000)</f>
        <v>18.789424500000003</v>
      </c>
      <c r="X18" s="94">
        <f>IF(X4&lt;opening,0,'General Calculations'!$E$28/1000)</f>
        <v>18.789424500000003</v>
      </c>
      <c r="Y18" s="94">
        <f>IF(Y4&lt;opening,0,'General Calculations'!$E$28/1000)</f>
        <v>18.789424500000003</v>
      </c>
      <c r="Z18" s="94">
        <f>IF(Z4&lt;opening,0,'General Calculations'!$E$28/1000)</f>
        <v>18.789424500000003</v>
      </c>
      <c r="AA18" s="94">
        <f>IF(AA4&lt;opening,0,'General Calculations'!$E$28/1000)</f>
        <v>18.789424500000003</v>
      </c>
      <c r="AB18" s="94">
        <f>IF(AB4&lt;opening,0,'General Calculations'!$E$28/1000)</f>
        <v>18.789424500000003</v>
      </c>
      <c r="AC18" s="94">
        <f>IF(AC4&lt;opening,0,'General Calculations'!$E$28/1000)</f>
        <v>18.789424500000003</v>
      </c>
      <c r="AD18" s="94">
        <f>IF(AD4&lt;opening,0,'General Calculations'!$E$28/1000)</f>
        <v>18.789424500000003</v>
      </c>
      <c r="AE18" s="94">
        <f>IF(AE4&lt;opening,0,'General Calculations'!$E$28/1000)</f>
        <v>18.789424500000003</v>
      </c>
      <c r="AF18" s="94">
        <f>IF(AF4&lt;opening,0,'General Calculations'!$E$28/1000)</f>
        <v>18.789424500000003</v>
      </c>
      <c r="AG18" s="94">
        <f>IF(AG4&lt;opening,0,'General Calculations'!$E$28/1000)</f>
        <v>18.789424500000003</v>
      </c>
      <c r="AH18" s="94">
        <f>IF(AH4&lt;opening,0,'General Calculations'!$E$28/1000)</f>
        <v>18.789424500000003</v>
      </c>
      <c r="AI18" s="94">
        <f>IF(AI4&lt;opening,0,'General Calculations'!$E$28/1000)</f>
        <v>18.789424500000003</v>
      </c>
      <c r="AJ18" s="94">
        <f>IF(AJ4&lt;opening,0,'General Calculations'!$E$28/1000)</f>
        <v>18.789424500000003</v>
      </c>
      <c r="AK18" s="94">
        <f>IF(AK4&lt;opening,0,'General Calculations'!$E$28/1000)</f>
        <v>18.789424500000003</v>
      </c>
      <c r="AL18" s="94">
        <f>IF(AL4&lt;opening,0,'General Calculations'!$E$28/1000)</f>
        <v>18.789424500000003</v>
      </c>
      <c r="AM18" s="94">
        <f>IF(AM4&lt;opening,0,'General Calculations'!$E$28/1000)</f>
        <v>18.789424500000003</v>
      </c>
      <c r="AN18" s="94">
        <f>IF(AN4&lt;opening,0,'General Calculations'!$E$28/1000)</f>
        <v>18.789424500000003</v>
      </c>
      <c r="AO18" s="94">
        <f>IF(AO4&lt;opening,0,'General Calculations'!$E$28/1000)</f>
        <v>18.789424500000003</v>
      </c>
      <c r="AP18" s="94">
        <f>IF(AP4&lt;opening,0,'General Calculations'!$E$28/1000)</f>
        <v>18.789424500000003</v>
      </c>
      <c r="AQ18" s="94">
        <f>IF(AQ4&lt;opening,0,'General Calculations'!$E$28/1000)</f>
        <v>18.789424500000003</v>
      </c>
      <c r="AR18" s="94">
        <f>IF(AR4&lt;opening,0,'General Calculations'!$E$28/1000)</f>
        <v>18.789424500000003</v>
      </c>
      <c r="AS18" s="94">
        <f>IF(AS4&lt;opening,0,'General Calculations'!$E$28/1000)</f>
        <v>18.789424500000003</v>
      </c>
      <c r="AT18" s="94">
        <f>IF(AT4&lt;opening,0,'General Calculations'!$E$28/1000)</f>
        <v>18.789424500000003</v>
      </c>
      <c r="AU18" s="94">
        <f>IF(AU4&lt;opening,0,'General Calculations'!$E$28/1000)</f>
        <v>18.789424500000003</v>
      </c>
      <c r="AV18" s="94">
        <f>IF(AV4&lt;opening,0,'General Calculations'!$E$28/1000)</f>
        <v>18.789424500000003</v>
      </c>
      <c r="AW18" s="94">
        <f>IF(AW4&lt;opening,0,'General Calculations'!$E$28/1000)</f>
        <v>18.789424500000003</v>
      </c>
      <c r="AX18" s="94">
        <f>IF(AX4&lt;opening,0,'General Calculations'!$E$28/1000)</f>
        <v>18.789424500000003</v>
      </c>
      <c r="AY18" s="94">
        <f>IF(AY4&lt;opening,0,'General Calculations'!$E$28/1000)</f>
        <v>18.789424500000003</v>
      </c>
      <c r="AZ18" s="94">
        <f>IF(AZ4&lt;opening,0,'General Calculations'!$E$28/1000)</f>
        <v>18.789424500000003</v>
      </c>
      <c r="BA18" s="94">
        <f>IF(BA4&lt;opening,0,'General Calculations'!$E$28/1000)</f>
        <v>18.789424500000003</v>
      </c>
      <c r="BB18" s="94">
        <f>IF(BB4&lt;opening,0,'General Calculations'!$E$28/1000)</f>
        <v>18.789424500000003</v>
      </c>
      <c r="BC18" s="94">
        <f>IF(BC4&lt;opening,0,'General Calculations'!$E$28/1000)</f>
        <v>18.789424500000003</v>
      </c>
      <c r="BD18" s="94">
        <f>IF(BD4&lt;opening,0,'General Calculations'!$E$28/1000)</f>
        <v>18.789424500000003</v>
      </c>
      <c r="BE18" s="94">
        <f>IF(BE4&lt;opening,0,'General Calculations'!$E$28/1000)</f>
        <v>18.789424500000003</v>
      </c>
      <c r="BF18" s="94">
        <f>IF(BF4&lt;opening,0,'General Calculations'!$E$28/1000)</f>
        <v>18.789424500000003</v>
      </c>
      <c r="BG18" s="94">
        <f>IF(BG4&lt;opening,0,'General Calculations'!$E$28/1000)</f>
        <v>18.789424500000003</v>
      </c>
      <c r="BH18" s="94">
        <f>IF(BH4&lt;opening,0,'General Calculations'!$E$28/1000)</f>
        <v>18.789424500000003</v>
      </c>
      <c r="BI18" s="94">
        <f>IF(BI4&lt;opening,0,'General Calculations'!$E$28/1000)</f>
        <v>18.789424500000003</v>
      </c>
      <c r="BJ18" s="94">
        <f>IF(BJ4&lt;opening,0,'General Calculations'!$E$28/1000)</f>
        <v>18.789424500000003</v>
      </c>
      <c r="BK18" s="94">
        <f>IF(BK4&lt;opening,0,'General Calculations'!$E$28/1000)</f>
        <v>18.789424500000003</v>
      </c>
      <c r="BL18" s="94">
        <f>IF(BL4&lt;opening,0,'General Calculations'!$E$28/1000)</f>
        <v>18.789424500000003</v>
      </c>
      <c r="BM18" s="94">
        <f>IF(BM4&lt;opening,0,'General Calculations'!$E$28/1000)</f>
        <v>18.789424500000003</v>
      </c>
      <c r="BN18" s="376">
        <f>IF(BN4&lt;opening,0,'General Calculations'!$E$28/1000)</f>
        <v>18.789424500000003</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41.418535671868696</v>
      </c>
      <c r="C19" s="42">
        <f>IFERROR(C$18*HLOOKUP(C$4,mecc2,2)/100*C$7*C$9*C$11*C$12,0)</f>
        <v>0</v>
      </c>
      <c r="D19" s="42">
        <f t="shared" ref="D19:AH19" si="19">IFERROR(D$18*HLOOKUP(D$4,mecc2,2)/100*D$7*D$9*D$11*D$12,0)</f>
        <v>0</v>
      </c>
      <c r="E19" s="42">
        <f t="shared" si="19"/>
        <v>0</v>
      </c>
      <c r="F19" s="42">
        <f t="shared" si="19"/>
        <v>0</v>
      </c>
      <c r="G19" s="42">
        <f t="shared" si="19"/>
        <v>2.0993309164553215</v>
      </c>
      <c r="H19" s="42">
        <f t="shared" si="19"/>
        <v>2.0928538737997271</v>
      </c>
      <c r="I19" s="42">
        <f t="shared" si="19"/>
        <v>2.086396814692812</v>
      </c>
      <c r="J19" s="42">
        <f t="shared" si="19"/>
        <v>2.079959677479553</v>
      </c>
      <c r="K19" s="42">
        <f t="shared" si="19"/>
        <v>2.0735424006951479</v>
      </c>
      <c r="L19" s="42">
        <f t="shared" si="19"/>
        <v>2.0996789252887798</v>
      </c>
      <c r="M19" s="42">
        <f t="shared" si="19"/>
        <v>2.1261448947578128</v>
      </c>
      <c r="N19" s="42">
        <f t="shared" si="19"/>
        <v>2.1529444616790547</v>
      </c>
      <c r="O19" s="42">
        <f t="shared" si="19"/>
        <v>2.1800818309715919</v>
      </c>
      <c r="P19" s="42">
        <f t="shared" si="19"/>
        <v>2.2075612605565467</v>
      </c>
      <c r="Q19" s="42">
        <f t="shared" si="19"/>
        <v>2.1645567731085062</v>
      </c>
      <c r="R19" s="42">
        <f t="shared" si="19"/>
        <v>2.1223900363375199</v>
      </c>
      <c r="S19" s="42">
        <f t="shared" si="19"/>
        <v>2.0810447304072506</v>
      </c>
      <c r="T19" s="42">
        <f t="shared" si="19"/>
        <v>2.0405048534005994</v>
      </c>
      <c r="U19" s="42">
        <f t="shared" si="19"/>
        <v>2.0007547151264715</v>
      </c>
      <c r="V19" s="42">
        <f t="shared" si="19"/>
        <v>1.9877774240704904</v>
      </c>
      <c r="W19" s="42">
        <f t="shared" si="19"/>
        <v>1.9748843062926609</v>
      </c>
      <c r="X19" s="42">
        <f t="shared" si="19"/>
        <v>1.9620748158284438</v>
      </c>
      <c r="Y19" s="42">
        <f t="shared" si="19"/>
        <v>1.9493484102545315</v>
      </c>
      <c r="Z19" s="42">
        <f t="shared" si="19"/>
        <v>1.9367045506658813</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0.22726172582893669</v>
      </c>
      <c r="C20" s="42">
        <f t="shared" ref="C20:AH20" si="22">IFERROR(C$18*HLOOKUP(C$4,mecc2,3)/100*C$7*C$9*C$11*C$12,0)</f>
        <v>0</v>
      </c>
      <c r="D20" s="42">
        <f t="shared" si="22"/>
        <v>0</v>
      </c>
      <c r="E20" s="42">
        <f t="shared" si="22"/>
        <v>0</v>
      </c>
      <c r="F20" s="42">
        <f t="shared" si="22"/>
        <v>0</v>
      </c>
      <c r="G20" s="42">
        <f t="shared" si="22"/>
        <v>1.2559930764637644E-2</v>
      </c>
      <c r="H20" s="42">
        <f t="shared" si="22"/>
        <v>1.2401342839810158E-2</v>
      </c>
      <c r="I20" s="42">
        <f t="shared" si="22"/>
        <v>1.2244757324898171E-2</v>
      </c>
      <c r="J20" s="42">
        <f t="shared" si="22"/>
        <v>1.2090148936479419E-2</v>
      </c>
      <c r="K20" s="42">
        <f t="shared" si="22"/>
        <v>1.1937492710372671E-2</v>
      </c>
      <c r="L20" s="42">
        <f t="shared" si="22"/>
        <v>1.1956641827162776E-2</v>
      </c>
      <c r="M20" s="42">
        <f t="shared" si="22"/>
        <v>1.1975821661347462E-2</v>
      </c>
      <c r="N20" s="42">
        <f t="shared" si="22"/>
        <v>1.199503226220097E-2</v>
      </c>
      <c r="O20" s="42">
        <f t="shared" si="22"/>
        <v>1.2014273679076587E-2</v>
      </c>
      <c r="P20" s="42">
        <f t="shared" si="22"/>
        <v>1.2033545961406778E-2</v>
      </c>
      <c r="Q20" s="42">
        <f t="shared" si="22"/>
        <v>1.1713814063881479E-2</v>
      </c>
      <c r="R20" s="42">
        <f t="shared" si="22"/>
        <v>1.1402577458319412E-2</v>
      </c>
      <c r="S20" s="42">
        <f t="shared" si="22"/>
        <v>1.1099610424402717E-2</v>
      </c>
      <c r="T20" s="42">
        <f t="shared" si="22"/>
        <v>1.080469323921327E-2</v>
      </c>
      <c r="U20" s="42">
        <f t="shared" si="22"/>
        <v>1.0517612017881527E-2</v>
      </c>
      <c r="V20" s="42">
        <f t="shared" si="22"/>
        <v>1.037688450342132E-2</v>
      </c>
      <c r="W20" s="42">
        <f t="shared" si="22"/>
        <v>1.0238039948067462E-2</v>
      </c>
      <c r="X20" s="42">
        <f t="shared" si="22"/>
        <v>1.0101053157493109E-2</v>
      </c>
      <c r="Y20" s="42">
        <f t="shared" si="22"/>
        <v>9.9658992744759665E-3</v>
      </c>
      <c r="Z20" s="42">
        <f t="shared" si="22"/>
        <v>9.8325537743877943E-3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6.9828145886077051</v>
      </c>
      <c r="C21" s="42">
        <f t="shared" ref="C21:AH21" si="24">IFERROR(C$18*HLOOKUP(C$4,mecc2,4)/100*C$7*C$9*C$11*C$12,0)</f>
        <v>0</v>
      </c>
      <c r="D21" s="42">
        <f t="shared" si="24"/>
        <v>0</v>
      </c>
      <c r="E21" s="42">
        <f t="shared" si="24"/>
        <v>0</v>
      </c>
      <c r="F21" s="42">
        <f t="shared" si="24"/>
        <v>0</v>
      </c>
      <c r="G21" s="42">
        <f t="shared" si="24"/>
        <v>0.38061457153554989</v>
      </c>
      <c r="H21" s="42">
        <f t="shared" si="24"/>
        <v>0.37675566977287206</v>
      </c>
      <c r="I21" s="42">
        <f t="shared" si="24"/>
        <v>0.37293589190067994</v>
      </c>
      <c r="J21" s="42">
        <f t="shared" si="24"/>
        <v>0.36915484125720266</v>
      </c>
      <c r="K21" s="42">
        <f t="shared" si="24"/>
        <v>0.36541212520226724</v>
      </c>
      <c r="L21" s="42">
        <f t="shared" si="24"/>
        <v>0.36654698512311412</v>
      </c>
      <c r="M21" s="42">
        <f t="shared" si="24"/>
        <v>0.36768536957681369</v>
      </c>
      <c r="N21" s="42">
        <f t="shared" si="24"/>
        <v>0.36882728950950217</v>
      </c>
      <c r="O21" s="42">
        <f t="shared" si="24"/>
        <v>0.36997275590131173</v>
      </c>
      <c r="P21" s="42">
        <f t="shared" si="24"/>
        <v>0.37112177976647587</v>
      </c>
      <c r="Q21" s="42">
        <f t="shared" si="24"/>
        <v>0.36126105614949233</v>
      </c>
      <c r="R21" s="42">
        <f t="shared" si="24"/>
        <v>0.35166233243537548</v>
      </c>
      <c r="S21" s="42">
        <f t="shared" si="24"/>
        <v>0.34231864727404915</v>
      </c>
      <c r="T21" s="42">
        <f t="shared" si="24"/>
        <v>0.33322322427884488</v>
      </c>
      <c r="U21" s="42">
        <f t="shared" si="24"/>
        <v>0.32436946711201581</v>
      </c>
      <c r="V21" s="42">
        <f t="shared" si="24"/>
        <v>0.32024040119809843</v>
      </c>
      <c r="W21" s="42">
        <f t="shared" si="24"/>
        <v>0.31616389628960878</v>
      </c>
      <c r="X21" s="42">
        <f t="shared" si="24"/>
        <v>0.31213928331045343</v>
      </c>
      <c r="Y21" s="42">
        <f t="shared" si="24"/>
        <v>0.30816590170155278</v>
      </c>
      <c r="Z21" s="42">
        <f t="shared" si="24"/>
        <v>0.30424309931242405</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0.92389641232364605</v>
      </c>
      <c r="C22" s="42">
        <f t="shared" ref="C22:AH22" si="26">IFERROR(C$18*HLOOKUP(C$4,mecc2,5)/100*C$7*C$9*C$11*C$12,0)</f>
        <v>0</v>
      </c>
      <c r="D22" s="42">
        <f t="shared" si="26"/>
        <v>0</v>
      </c>
      <c r="E22" s="42">
        <f t="shared" si="26"/>
        <v>0</v>
      </c>
      <c r="F22" s="42">
        <f t="shared" si="26"/>
        <v>0</v>
      </c>
      <c r="G22" s="42">
        <f t="shared" si="26"/>
        <v>6.2081353450278216E-2</v>
      </c>
      <c r="H22" s="42">
        <f t="shared" si="26"/>
        <v>5.7686720874865656E-2</v>
      </c>
      <c r="I22" s="42">
        <f t="shared" si="26"/>
        <v>5.3603176805091843E-2</v>
      </c>
      <c r="J22" s="42">
        <f t="shared" si="26"/>
        <v>4.9808699818988063E-2</v>
      </c>
      <c r="K22" s="42">
        <f t="shared" si="26"/>
        <v>4.6282827353292158E-2</v>
      </c>
      <c r="L22" s="42">
        <f t="shared" si="26"/>
        <v>4.6574624979102565E-2</v>
      </c>
      <c r="M22" s="42">
        <f t="shared" si="26"/>
        <v>4.6868262290586868E-2</v>
      </c>
      <c r="N22" s="42">
        <f t="shared" si="26"/>
        <v>4.7163750886343128E-2</v>
      </c>
      <c r="O22" s="42">
        <f t="shared" si="26"/>
        <v>4.7461102438094628E-2</v>
      </c>
      <c r="P22" s="42">
        <f t="shared" si="26"/>
        <v>4.7760328691150995E-2</v>
      </c>
      <c r="Q22" s="42">
        <f t="shared" si="26"/>
        <v>4.6491720401054232E-2</v>
      </c>
      <c r="R22" s="42">
        <f t="shared" si="26"/>
        <v>4.5256808842906469E-2</v>
      </c>
      <c r="S22" s="42">
        <f t="shared" si="26"/>
        <v>4.4054698965214759E-2</v>
      </c>
      <c r="T22" s="42">
        <f t="shared" si="26"/>
        <v>4.28845194908146E-2</v>
      </c>
      <c r="U22" s="42">
        <f t="shared" si="26"/>
        <v>4.1745422285377198E-2</v>
      </c>
      <c r="V22" s="42">
        <f t="shared" si="26"/>
        <v>4.1025430060645719E-2</v>
      </c>
      <c r="W22" s="42">
        <f t="shared" si="26"/>
        <v>4.0317855695772717E-2</v>
      </c>
      <c r="X22" s="42">
        <f t="shared" si="26"/>
        <v>3.9622485017273903E-2</v>
      </c>
      <c r="Y22" s="42">
        <f t="shared" si="26"/>
        <v>3.8939107545560799E-2</v>
      </c>
      <c r="Z22" s="42">
        <f t="shared" si="26"/>
        <v>3.8267516431231413E-2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0.46552097257384689</v>
      </c>
      <c r="C23" s="42">
        <f t="shared" ref="C23:AH23" si="28">IFERROR(C$18*HLOOKUP(C$4,mecc2,6)/100*C$7*C$9*C$11*C$12,0)</f>
        <v>0</v>
      </c>
      <c r="D23" s="42">
        <f t="shared" si="28"/>
        <v>0</v>
      </c>
      <c r="E23" s="42">
        <f t="shared" si="28"/>
        <v>0</v>
      </c>
      <c r="F23" s="42">
        <f t="shared" si="28"/>
        <v>0</v>
      </c>
      <c r="G23" s="42">
        <f t="shared" si="28"/>
        <v>2.5374304769036654E-2</v>
      </c>
      <c r="H23" s="42">
        <f t="shared" si="28"/>
        <v>2.5117044651524801E-2</v>
      </c>
      <c r="I23" s="42">
        <f t="shared" si="28"/>
        <v>2.4862392793378662E-2</v>
      </c>
      <c r="J23" s="42">
        <f t="shared" si="28"/>
        <v>2.4610322750480172E-2</v>
      </c>
      <c r="K23" s="42">
        <f t="shared" si="28"/>
        <v>2.4360808346817815E-2</v>
      </c>
      <c r="L23" s="42">
        <f t="shared" si="28"/>
        <v>2.4436465674874272E-2</v>
      </c>
      <c r="M23" s="42">
        <f t="shared" si="28"/>
        <v>2.4512357971787576E-2</v>
      </c>
      <c r="N23" s="42">
        <f t="shared" si="28"/>
        <v>2.4588485967300146E-2</v>
      </c>
      <c r="O23" s="42">
        <f t="shared" si="28"/>
        <v>2.4664850393420781E-2</v>
      </c>
      <c r="P23" s="42">
        <f t="shared" si="28"/>
        <v>2.4741451984431725E-2</v>
      </c>
      <c r="Q23" s="42">
        <f t="shared" si="28"/>
        <v>2.4084070409966154E-2</v>
      </c>
      <c r="R23" s="42">
        <f t="shared" si="28"/>
        <v>2.3444155495691694E-2</v>
      </c>
      <c r="S23" s="42">
        <f t="shared" si="28"/>
        <v>2.2821243151603273E-2</v>
      </c>
      <c r="T23" s="42">
        <f t="shared" si="28"/>
        <v>2.2214881618589654E-2</v>
      </c>
      <c r="U23" s="42">
        <f t="shared" si="28"/>
        <v>2.1624631140801053E-2</v>
      </c>
      <c r="V23" s="42">
        <f t="shared" si="28"/>
        <v>2.1349360079873231E-2</v>
      </c>
      <c r="W23" s="42">
        <f t="shared" si="28"/>
        <v>2.1077593085973928E-2</v>
      </c>
      <c r="X23" s="42">
        <f t="shared" si="28"/>
        <v>2.0809285554030242E-2</v>
      </c>
      <c r="Y23" s="42">
        <f t="shared" si="28"/>
        <v>2.0544393446770205E-2</v>
      </c>
      <c r="Z23" s="42">
        <f t="shared" si="28"/>
        <v>2.0282873287494944E-2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2.9204726095314664</v>
      </c>
      <c r="C24" s="42">
        <f t="shared" ref="C24:AH24" si="30">IFERROR(C$18*HLOOKUP(C$4,mecc2,7)/100*C$7*C$9*C$11*C$12,0)</f>
        <v>0</v>
      </c>
      <c r="D24" s="42">
        <f t="shared" si="30"/>
        <v>0</v>
      </c>
      <c r="E24" s="42">
        <f t="shared" si="30"/>
        <v>0</v>
      </c>
      <c r="F24" s="42">
        <f t="shared" si="30"/>
        <v>0</v>
      </c>
      <c r="G24" s="42">
        <f t="shared" si="30"/>
        <v>0.22301090559818371</v>
      </c>
      <c r="H24" s="42">
        <f t="shared" si="30"/>
        <v>0.16935384424283575</v>
      </c>
      <c r="I24" s="42">
        <f t="shared" si="30"/>
        <v>0.12860682522630976</v>
      </c>
      <c r="J24" s="42">
        <f t="shared" si="30"/>
        <v>9.7663655459006626E-2</v>
      </c>
      <c r="K24" s="42">
        <f t="shared" si="30"/>
        <v>7.4165500787622837E-2</v>
      </c>
      <c r="L24" s="42">
        <f t="shared" si="30"/>
        <v>8.8865683901484263E-2</v>
      </c>
      <c r="M24" s="42">
        <f t="shared" si="30"/>
        <v>0.10647955843906928</v>
      </c>
      <c r="N24" s="42">
        <f t="shared" si="30"/>
        <v>0.12758464086033774</v>
      </c>
      <c r="O24" s="42">
        <f t="shared" si="30"/>
        <v>0.15287291591067231</v>
      </c>
      <c r="P24" s="42">
        <f t="shared" si="30"/>
        <v>0.1831735251315551</v>
      </c>
      <c r="Q24" s="42">
        <f t="shared" si="30"/>
        <v>0.1783102630013742</v>
      </c>
      <c r="R24" s="42">
        <f t="shared" si="30"/>
        <v>0.173576120614507</v>
      </c>
      <c r="S24" s="42">
        <f t="shared" si="30"/>
        <v>0.16896766983821729</v>
      </c>
      <c r="T24" s="42">
        <f t="shared" si="30"/>
        <v>0.16448157355678714</v>
      </c>
      <c r="U24" s="42">
        <f t="shared" si="30"/>
        <v>0.16011458325501304</v>
      </c>
      <c r="V24" s="42">
        <f t="shared" si="30"/>
        <v>0.15472340895871242</v>
      </c>
      <c r="W24" s="42">
        <f t="shared" si="30"/>
        <v>0.14951375941613651</v>
      </c>
      <c r="X24" s="42">
        <f t="shared" si="30"/>
        <v>0.14447952255700075</v>
      </c>
      <c r="Y24" s="42">
        <f t="shared" si="30"/>
        <v>0.13961479210886588</v>
      </c>
      <c r="Z24" s="42">
        <f t="shared" si="30"/>
        <v>0.13491386066777492</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-3.3686888580674577</v>
      </c>
      <c r="C25" s="532">
        <f t="shared" ref="C25:AH25" si="32">IFERROR(C$18*HLOOKUP(C$4,mecc2,8)/100*C$7*C$9*C$11*C$12,0)</f>
        <v>0</v>
      </c>
      <c r="D25" s="532">
        <f t="shared" si="32"/>
        <v>0</v>
      </c>
      <c r="E25" s="532">
        <f t="shared" si="32"/>
        <v>0</v>
      </c>
      <c r="F25" s="532">
        <f t="shared" si="32"/>
        <v>0</v>
      </c>
      <c r="G25" s="532">
        <f t="shared" si="32"/>
        <v>-0.34650262243505092</v>
      </c>
      <c r="H25" s="532">
        <f t="shared" si="32"/>
        <v>-0.31735650927939274</v>
      </c>
      <c r="I25" s="532">
        <f t="shared" si="32"/>
        <v>-0.2906620252228525</v>
      </c>
      <c r="J25" s="532">
        <f t="shared" si="32"/>
        <v>-0.26621295116487481</v>
      </c>
      <c r="K25" s="532">
        <f t="shared" si="32"/>
        <v>-0.24382041415137043</v>
      </c>
      <c r="L25" s="532">
        <f t="shared" si="32"/>
        <v>-0.21427704557176899</v>
      </c>
      <c r="M25" s="532">
        <f t="shared" si="32"/>
        <v>-0.18831340443241515</v>
      </c>
      <c r="N25" s="532">
        <f t="shared" si="32"/>
        <v>-0.16549574031273864</v>
      </c>
      <c r="O25" s="532">
        <f t="shared" si="32"/>
        <v>-0.14544285970620402</v>
      </c>
      <c r="P25" s="532">
        <f t="shared" si="32"/>
        <v>-0.12781975777469787</v>
      </c>
      <c r="Q25" s="532">
        <f t="shared" si="32"/>
        <v>-0.12442696203029584</v>
      </c>
      <c r="R25" s="532">
        <f t="shared" si="32"/>
        <v>-0.12112422327836218</v>
      </c>
      <c r="S25" s="532">
        <f t="shared" si="32"/>
        <v>-0.11790915108265991</v>
      </c>
      <c r="T25" s="532">
        <f t="shared" si="32"/>
        <v>-0.11477941845772058</v>
      </c>
      <c r="U25" s="532">
        <f t="shared" si="32"/>
        <v>-0.11173276018463327</v>
      </c>
      <c r="V25" s="532">
        <f t="shared" si="32"/>
        <v>-0.10557521359359809</v>
      </c>
      <c r="W25" s="532">
        <f t="shared" si="32"/>
        <v>-9.9757006869922449E-2</v>
      </c>
      <c r="X25" s="532">
        <f t="shared" si="32"/>
        <v>-9.4259439132682893E-2</v>
      </c>
      <c r="Y25" s="532">
        <f t="shared" si="32"/>
        <v>-8.9064840098834239E-2</v>
      </c>
      <c r="Z25" s="532">
        <f t="shared" si="32"/>
        <v>-8.4156513287383147E-2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60.304698294561831</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3.3725063658385803</v>
      </c>
      <c r="H29" s="42">
        <f>IF(H4&lt;opening,0,1)*Absenteeism!$D$23*H7*H9*H11*H12*H10/1000</f>
        <v>3.3321421894068655</v>
      </c>
      <c r="I29" s="42">
        <f>IF(I4&lt;opening,0,1)*Absenteeism!$D$23*I7*I9*I11*I12*I10/1000</f>
        <v>3.2922611156181909</v>
      </c>
      <c r="J29" s="42">
        <f>IF(J4&lt;opening,0,1)*Absenteeism!$D$23*J7*J9*J11*J12*J10/1000</f>
        <v>3.2528573624107326</v>
      </c>
      <c r="K29" s="42">
        <f>IF(K4&lt;opening,0,1)*Absenteeism!$D$23*K7*K9*K11*K12*K10/1000</f>
        <v>3.2139252169258405</v>
      </c>
      <c r="L29" s="42">
        <f>IF(L4&lt;opening,0,1)*Absenteeism!$D$23*L7*L9*L11*L12*L10/1000</f>
        <v>3.1754590346797826</v>
      </c>
      <c r="M29" s="42">
        <f>IF(M4&lt;opening,0,1)*Absenteeism!$D$23*M7*M9*M11*M12*M10/1000</f>
        <v>3.1374532387453917</v>
      </c>
      <c r="N29" s="42">
        <f>IF(N4&lt;opening,0,1)*Absenteeism!$D$23*N7*N9*N11*N12*N10/1000</f>
        <v>3.0999023189434998</v>
      </c>
      <c r="O29" s="42">
        <f>IF(O4&lt;opening,0,1)*Absenteeism!$D$23*O7*O9*O11*O12*O10/1000</f>
        <v>3.0628008310440666</v>
      </c>
      <c r="P29" s="42">
        <f>IF(P4&lt;opening,0,1)*Absenteeism!$D$23*P7*P9*P11*P12*P10/1000</f>
        <v>3.0261433959768609</v>
      </c>
      <c r="Q29" s="42">
        <f>IF(Q4&lt;opening,0,1)*Absenteeism!$D$23*Q7*Q9*Q11*Q12*Q10/1000</f>
        <v>2.9899246990515818</v>
      </c>
      <c r="R29" s="42">
        <f>IF(R4&lt;opening,0,1)*Absenteeism!$D$23*R7*R9*R11*R12*R10/1000</f>
        <v>2.9541394891873303</v>
      </c>
      <c r="S29" s="42">
        <f>IF(S4&lt;opening,0,1)*Absenteeism!$D$23*S7*S9*S11*S12*S10/1000</f>
        <v>2.9187825781512844</v>
      </c>
      <c r="T29" s="42">
        <f>IF(T4&lt;opening,0,1)*Absenteeism!$D$23*T7*T9*T11*T12*T10/1000</f>
        <v>2.8838488398065016</v>
      </c>
      <c r="U29" s="42">
        <f>IF(U4&lt;opening,0,1)*Absenteeism!$D$23*U7*U9*U11*U12*U10/1000</f>
        <v>2.8493332093687216</v>
      </c>
      <c r="V29" s="42">
        <f>IF(V4&lt;opening,0,1)*Absenteeism!$D$23*V7*V9*V11*V12*V10/1000</f>
        <v>2.815230682672051</v>
      </c>
      <c r="W29" s="42">
        <f>IF(W4&lt;opening,0,1)*Absenteeism!$D$23*W7*W9*W11*W12*W10/1000</f>
        <v>2.7815363154434514</v>
      </c>
      <c r="X29" s="42">
        <f>IF(X4&lt;opening,0,1)*Absenteeism!$D$23*X7*X9*X11*X12*X10/1000</f>
        <v>2.74824522258591</v>
      </c>
      <c r="Y29" s="42">
        <f>IF(Y4&lt;opening,0,1)*Absenteeism!$D$23*Y7*Y9*Y11*Y12*Y10/1000</f>
        <v>2.7153525774701777</v>
      </c>
      <c r="Z29" s="42">
        <f>IF(Z4&lt;opening,0,1)*Absenteeism!$D$23*Z7*Z9*Z11*Z12*Z10/1000</f>
        <v>2.682853611234997</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426.45558653717825</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5.1161008496733835</v>
      </c>
      <c r="H30" s="532">
        <f t="shared" si="34"/>
        <v>10.156594297627459</v>
      </c>
      <c r="I30" s="532">
        <f t="shared" si="34"/>
        <v>15.122318356935468</v>
      </c>
      <c r="J30" s="532">
        <f t="shared" si="34"/>
        <v>20.014102784384221</v>
      </c>
      <c r="K30" s="532">
        <f t="shared" si="34"/>
        <v>24.832769156732883</v>
      </c>
      <c r="L30" s="532">
        <f t="shared" si="34"/>
        <v>24.649275788579686</v>
      </c>
      <c r="M30" s="532">
        <f t="shared" si="34"/>
        <v>24.467138282752757</v>
      </c>
      <c r="N30" s="532">
        <f t="shared" si="34"/>
        <v>24.286346620564935</v>
      </c>
      <c r="O30" s="532">
        <f t="shared" si="34"/>
        <v>24.106890857358795</v>
      </c>
      <c r="P30" s="532">
        <f t="shared" si="34"/>
        <v>23.928761121959589</v>
      </c>
      <c r="Q30" s="532">
        <f t="shared" si="34"/>
        <v>23.751947616132306</v>
      </c>
      <c r="R30" s="532">
        <f t="shared" si="34"/>
        <v>23.576440614042664</v>
      </c>
      <c r="S30" s="532">
        <f t="shared" si="34"/>
        <v>23.402230461722159</v>
      </c>
      <c r="T30" s="532">
        <f>IF(T4&lt;opening,0,1)*T8*T9*T11*T12*T13*(VoL*YLLsC + VoL*YLLsP)/1000</f>
        <v>23.229307576537021</v>
      </c>
      <c r="U30" s="532">
        <f t="shared" si="34"/>
        <v>23.057662446661141</v>
      </c>
      <c r="V30" s="532">
        <f t="shared" si="34"/>
        <v>22.887285630552814</v>
      </c>
      <c r="W30" s="532">
        <f t="shared" si="34"/>
        <v>22.718167756435424</v>
      </c>
      <c r="X30" s="532">
        <f t="shared" si="34"/>
        <v>22.550299521781966</v>
      </c>
      <c r="Y30" s="532">
        <f t="shared" si="34"/>
        <v>22.38367169280329</v>
      </c>
      <c r="Z30" s="532">
        <f t="shared" si="34"/>
        <v>22.218275103940218</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41.418535671868696</v>
      </c>
      <c r="F4" s="41"/>
      <c r="G4" s="104"/>
      <c r="H4" s="435" t="s">
        <v>16711</v>
      </c>
      <c r="I4" s="192">
        <f>SUM(E4:E9,E14)</f>
        <v>49.569813122666837</v>
      </c>
      <c r="J4" s="436">
        <f>IFERROR(I4/SUM($I$4:$I$6),0)</f>
        <v>9.2424074859361577E-2</v>
      </c>
      <c r="K4" s="41"/>
      <c r="L4" s="41"/>
      <c r="M4" s="41"/>
      <c r="N4" s="41"/>
      <c r="O4" s="41"/>
    </row>
    <row r="5" spans="1:15">
      <c r="A5" s="41"/>
      <c r="B5" s="674" t="s">
        <v>16712</v>
      </c>
      <c r="C5" s="675"/>
      <c r="D5" s="675"/>
      <c r="E5" s="124">
        <f>Discounting!B20</f>
        <v>0.22726172582893669</v>
      </c>
      <c r="F5" s="41"/>
      <c r="G5" s="104"/>
      <c r="H5" s="107" t="s">
        <v>16713</v>
      </c>
      <c r="I5" s="124">
        <f>E10+E11</f>
        <v>486.76028483174008</v>
      </c>
      <c r="J5" s="430">
        <f>IFERROR(I5/SUM($I$4:$I$6),0)</f>
        <v>0.90757592514063834</v>
      </c>
      <c r="K5" s="41"/>
      <c r="L5" s="41"/>
      <c r="M5" s="41"/>
      <c r="N5" s="41"/>
      <c r="O5" s="41"/>
    </row>
    <row r="6" spans="1:15">
      <c r="A6" s="41"/>
      <c r="B6" s="674" t="s">
        <v>16441</v>
      </c>
      <c r="C6" s="675"/>
      <c r="D6" s="675"/>
      <c r="E6" s="124">
        <f>Discounting!B21</f>
        <v>6.9828145886077051</v>
      </c>
      <c r="F6" s="41"/>
      <c r="G6" s="104"/>
      <c r="H6" s="107" t="s">
        <v>16714</v>
      </c>
      <c r="I6" s="124">
        <f>E12</f>
        <v>0</v>
      </c>
      <c r="J6" s="430">
        <f>IFERROR(I6/SUM($I$4:$I$6),0)</f>
        <v>0</v>
      </c>
      <c r="K6" s="41"/>
      <c r="L6" s="41"/>
      <c r="M6" s="41"/>
      <c r="N6" s="41"/>
      <c r="O6" s="41"/>
    </row>
    <row r="7" spans="1:15">
      <c r="A7" s="41"/>
      <c r="B7" s="674" t="s">
        <v>16715</v>
      </c>
      <c r="C7" s="675"/>
      <c r="D7" s="675"/>
      <c r="E7" s="124">
        <f>Discounting!B22</f>
        <v>0.92389641232364605</v>
      </c>
      <c r="F7" s="41"/>
      <c r="G7" s="104"/>
      <c r="H7" s="41"/>
      <c r="I7" s="41"/>
      <c r="J7" s="413"/>
      <c r="K7" s="41"/>
      <c r="L7" s="41"/>
      <c r="M7" s="41"/>
      <c r="N7" s="41"/>
      <c r="O7" s="41"/>
    </row>
    <row r="8" spans="1:15">
      <c r="A8" s="41"/>
      <c r="B8" s="674" t="s">
        <v>16443</v>
      </c>
      <c r="C8" s="675"/>
      <c r="D8" s="675"/>
      <c r="E8" s="124">
        <f>Discounting!B23</f>
        <v>0.46552097257384689</v>
      </c>
      <c r="F8" s="41"/>
      <c r="G8" s="104"/>
      <c r="H8" s="41"/>
      <c r="I8" s="41"/>
      <c r="J8" s="413"/>
      <c r="K8" s="41"/>
      <c r="L8" s="41"/>
      <c r="M8" s="41"/>
      <c r="N8" s="41"/>
      <c r="O8" s="41"/>
    </row>
    <row r="9" spans="1:15">
      <c r="A9" s="41"/>
      <c r="B9" s="674" t="s">
        <v>16716</v>
      </c>
      <c r="C9" s="675"/>
      <c r="D9" s="675"/>
      <c r="E9" s="124">
        <f>Discounting!B24</f>
        <v>2.9204726095314664</v>
      </c>
      <c r="F9" s="41"/>
      <c r="G9" s="104"/>
      <c r="H9" s="41"/>
      <c r="I9" s="41"/>
      <c r="J9" s="413"/>
      <c r="K9" s="41"/>
      <c r="L9" s="41"/>
      <c r="M9" s="41"/>
      <c r="N9" s="41"/>
      <c r="O9" s="41"/>
    </row>
    <row r="10" spans="1:15">
      <c r="A10" s="41"/>
      <c r="B10" s="680" t="s">
        <v>16704</v>
      </c>
      <c r="C10" s="681"/>
      <c r="D10" s="681"/>
      <c r="E10" s="124">
        <f>Discounting!B30</f>
        <v>426.45558653717825</v>
      </c>
      <c r="F10" s="41"/>
      <c r="G10" s="104"/>
      <c r="H10" s="41"/>
      <c r="I10" s="41"/>
      <c r="J10" s="413"/>
      <c r="K10" s="41"/>
      <c r="L10" s="41"/>
      <c r="M10" s="41"/>
      <c r="N10" s="41"/>
      <c r="O10" s="41"/>
    </row>
    <row r="11" spans="1:15">
      <c r="A11" s="41"/>
      <c r="B11" s="680" t="s">
        <v>75</v>
      </c>
      <c r="C11" s="681"/>
      <c r="D11" s="681"/>
      <c r="E11" s="124">
        <f>_xlfn.IFNA(Discounting!B29, 0)</f>
        <v>60.304698294561831</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-3.3686888580674577</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536.10283622857798</v>
      </c>
      <c r="F19" s="41"/>
      <c r="G19" s="104"/>
      <c r="H19" s="41"/>
      <c r="I19" s="41"/>
      <c r="J19" s="413"/>
      <c r="K19" s="41"/>
      <c r="L19" s="41"/>
      <c r="M19" s="41"/>
      <c r="N19" s="41"/>
      <c r="O19" s="41"/>
    </row>
    <row r="20" spans="1:15">
      <c r="A20" s="41"/>
      <c r="B20" s="674" t="s">
        <v>16719</v>
      </c>
      <c r="C20" s="675"/>
      <c r="D20" s="675"/>
      <c r="E20" s="124">
        <f>IFERROR((E15+E16)-E5,0)</f>
        <v>-0.22726172582893669</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-2358.9666683782498</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2023-01-12T10:13:48Z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