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B4D1B583-3EC2-464E-8643-38F577A07404}" xr6:coauthVersionLast="47" xr6:coauthVersionMax="47" xr10:uidLastSave="{00000000-0000-0000-0000-000000000000}"/>
  <bookViews>
    <workbookView xWindow="-120" yWindow="-120" windowWidth="29040" windowHeight="17640" tabRatio="850"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l="1"/>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10" i="27" l="1"/>
  <c r="F3" i="27"/>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I85" i="27" s="1"/>
  <c r="D85" i="27"/>
  <c r="E93" i="24"/>
  <c r="E94" i="24"/>
  <c r="D95" i="24"/>
  <c r="D94" i="24"/>
  <c r="D92" i="24"/>
  <c r="D93" i="24"/>
  <c r="E92" i="24"/>
  <c r="F85" i="27" l="1"/>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<sst xmlns="http://schemas.openxmlformats.org/spreadsheetml/2006/main" count="55865" uniqueCount="16762">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</sst>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47.05149187537738</c:v>
                </c:pt>
                <c:pt idx="1">
                  <c:v>459.86311706427853</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7" zoomScale="80" zoomScaleNormal="80" workbookViewId="0">
      <selection activeCell="H75" sqref="H75"/>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332</v>
      </c>
      <c r="G33" s="41" t="s">
        <v>16311</v>
      </c>
      <c r="H33" s="311" t="s">
        <v>16758</v>
      </c>
    </row>
    <row r="34" spans="1:69">
      <c r="A34" s="41"/>
      <c r="D34" s="146" t="s">
        <v>16312</v>
      </c>
      <c r="F34" s="383">
        <f>ROUND(F33*1.25,0)</f>
        <v>415</v>
      </c>
      <c r="G34" s="41" t="s">
        <v>16311</v>
      </c>
      <c r="H34" s="311" t="s">
        <v>16759</v>
      </c>
    </row>
    <row r="35" spans="1:69" ht="30.75" thickBot="1">
      <c r="A35" s="41"/>
      <c r="D35" s="146" t="s">
        <v>16313</v>
      </c>
      <c r="F35" s="384">
        <f>0.29/5.14</f>
        <v>5.642023346303502E-2</v>
      </c>
      <c r="G35" s="41" t="s">
        <v>16314</v>
      </c>
      <c r="H35" s="311" t="s">
        <v>16761</v>
      </c>
    </row>
    <row r="36" spans="1:69" ht="15.75" thickBot="1">
      <c r="A36" s="41"/>
    </row>
    <row r="37" spans="1:69">
      <c r="A37" s="41"/>
      <c r="D37" s="146" t="s">
        <v>16315</v>
      </c>
      <c r="F37" s="385" t="s">
        <v>16544</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13</v>
      </c>
      <c r="G46" s="41" t="s">
        <v>16311</v>
      </c>
      <c r="H46" s="311"/>
    </row>
    <row r="47" spans="1:69">
      <c r="A47" s="41"/>
      <c r="D47" s="146" t="s">
        <v>16312</v>
      </c>
      <c r="F47" s="536">
        <f>ROUND(F46*1.1,0)</f>
        <v>14</v>
      </c>
      <c r="G47" s="41" t="s">
        <v>16311</v>
      </c>
      <c r="H47" s="311"/>
    </row>
    <row r="48" spans="1:69" ht="15.75" thickBot="1">
      <c r="A48" s="41"/>
      <c r="D48" s="146" t="s">
        <v>16320</v>
      </c>
      <c r="F48" s="537">
        <f>0.29/1.1</f>
        <v>0.26363636363636361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54</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54</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3">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332</v>
      </c>
      <c r="E28" s="108" t="s">
        <v>16311</v>
      </c>
    </row>
    <row r="29" spans="2:8">
      <c r="C29" s="108" t="s">
        <v>16409</v>
      </c>
      <c r="D29" s="367">
        <f>'User Interface Intervention'!F34</f>
        <v>415</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5.642023346303502E-2</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Off-road segregated cycle track</v>
      </c>
      <c r="E42" s="108">
        <f>IFERROR(VLOOKUP('Input Summary'!D42,JQQQ,2, FALSE),0)</f>
        <v>7.03</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13</v>
      </c>
      <c r="E50" s="242" t="s">
        <v>16311</v>
      </c>
    </row>
    <row r="51" spans="2:6">
      <c r="C51" s="108" t="s">
        <v>16409</v>
      </c>
      <c r="D51" s="367">
        <f>'User Interface Intervention'!F47</f>
        <v>14</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0.26363636363636361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0</v>
      </c>
      <c r="E63" s="120">
        <f>IF('User Interface Intervention'!F61="Yes",1,0)</f>
        <v>0</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332</v>
      </c>
      <c r="E4" s="120">
        <f>useP</f>
        <v>13</v>
      </c>
      <c r="F4" s="108"/>
    </row>
    <row r="5" spans="1:6">
      <c r="C5" s="120" t="s">
        <v>16598</v>
      </c>
      <c r="D5" s="122">
        <f>use_new</f>
        <v>415</v>
      </c>
      <c r="E5" s="122">
        <f>use_newP</f>
        <v>14</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83</v>
      </c>
      <c r="E12" s="123">
        <f>use_newP-useP</f>
        <v>1</v>
      </c>
    </row>
    <row r="13" spans="1:6">
      <c r="C13" s="123" t="s">
        <v>16603</v>
      </c>
      <c r="D13" s="167">
        <f>D12/(1+return)</f>
        <v>43.684210526315795</v>
      </c>
      <c r="E13" s="167">
        <f>E12/(1+return)</f>
        <v>0.52631578947368418</v>
      </c>
    </row>
    <row r="14" spans="1:6">
      <c r="C14" s="123" t="s">
        <v>16604</v>
      </c>
      <c r="D14" s="123">
        <f>use_new-D12</f>
        <v>332</v>
      </c>
      <c r="E14" s="123">
        <f>use_newP-E12</f>
        <v>13</v>
      </c>
    </row>
    <row r="15" spans="1:6">
      <c r="C15" s="123" t="s">
        <v>16605</v>
      </c>
      <c r="D15" s="123">
        <f>D14/(1+return)</f>
        <v>174.73684210526318</v>
      </c>
      <c r="E15" s="123">
        <f>E14/(1+return)</f>
        <v>6.8421052631578947</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101635.15999999999</v>
      </c>
      <c r="E23" s="107">
        <f>E7*E12*scheme_days</f>
        <v>278.3</v>
      </c>
      <c r="F23" s="41" t="s">
        <v>16611</v>
      </c>
    </row>
    <row r="24" spans="2:6">
      <c r="C24" s="125" t="s">
        <v>16612</v>
      </c>
      <c r="D24" s="107">
        <f>D23*car_share</f>
        <v>24392.438399999995</v>
      </c>
      <c r="E24" s="107">
        <f>E23*car_shareP</f>
        <v>66.792000000000002</v>
      </c>
    </row>
    <row r="25" spans="2:6">
      <c r="C25" s="125" t="s">
        <v>16613</v>
      </c>
      <c r="D25" s="107">
        <f>D24/'Input Summary'!D86</f>
        <v>15245.273999999996</v>
      </c>
      <c r="E25" s="107">
        <f>E24/'Input Summary'!D86</f>
        <v>41.744999999999997</v>
      </c>
    </row>
    <row r="26" spans="2:6" ht="15.75">
      <c r="C26" s="123" t="s">
        <v>16614</v>
      </c>
      <c r="D26" s="167">
        <f>D23*'Input Summary'!D34</f>
        <v>6098.1095999999989</v>
      </c>
      <c r="E26" s="167">
        <f>E23*'Input Summary'!D56</f>
        <v>16.698</v>
      </c>
      <c r="F26" s="105"/>
    </row>
    <row r="27" spans="2:6">
      <c r="C27" s="123" t="s">
        <v>16615</v>
      </c>
      <c r="D27" s="167">
        <f>D26/'Input Summary'!D87</f>
        <v>2540.8789999999995</v>
      </c>
      <c r="E27" s="167">
        <f>E26/'Input Summary'!D87</f>
        <v>6.9575000000000005</v>
      </c>
    </row>
    <row r="28" spans="2:6" ht="15.75">
      <c r="B28" s="105" t="s">
        <v>16616</v>
      </c>
      <c r="C28" s="125" t="s">
        <v>16617</v>
      </c>
      <c r="D28" s="126"/>
      <c r="E28" s="127">
        <f>SUM(D25:E25,D27:E27)</f>
        <v>17834.855499999998</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0</v>
      </c>
      <c r="F36" s="130">
        <f>'Input Summary'!$E$63</f>
        <v>0</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Off-road segregated cycle track</v>
      </c>
      <c r="D45" s="496">
        <f>'Input Summary'!E42</f>
        <v>7.03</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43.684210526315795</v>
      </c>
      <c r="E4" s="124">
        <f>'General Calculations'!E13</f>
        <v>0.52631578947368418</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31.514139364821911</v>
      </c>
      <c r="E19" s="446">
        <f>E18*E4</f>
        <v>0.2588784723287671</v>
      </c>
      <c r="G19" s="301"/>
      <c r="H19" s="42"/>
    </row>
    <row r="20" spans="2:8">
      <c r="C20" s="134" t="s">
        <v>16638</v>
      </c>
      <c r="D20" s="140">
        <f>'TAG VoT'!F21*D10</f>
        <v>144.50209275358495</v>
      </c>
      <c r="E20" s="140">
        <f>'TAG VoT'!$F$21*E10</f>
        <v>144.50209275358495</v>
      </c>
    </row>
    <row r="21" spans="2:8">
      <c r="C21" s="134" t="s">
        <v>16639</v>
      </c>
      <c r="D21" s="141">
        <f>D19*D20</f>
        <v>4553.8590895448988</v>
      </c>
      <c r="E21" s="142">
        <f>E19*E20</f>
        <v>37.408481020357875</v>
      </c>
    </row>
    <row r="22" spans="2:8">
      <c r="C22" s="138"/>
      <c r="D22" s="149"/>
      <c r="E22" s="143"/>
    </row>
    <row r="23" spans="2:8" ht="15.75">
      <c r="C23" s="144" t="s">
        <v>16523</v>
      </c>
      <c r="D23" s="145">
        <f>D21+E21</f>
        <v>4591.2675705652564</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43.684210526315795</v>
      </c>
      <c r="E7" s="500">
        <f>'General Calculations'!E13</f>
        <v>0.52631578947368418</v>
      </c>
      <c r="F7" s="492"/>
    </row>
    <row r="8" spans="1:6">
      <c r="A8" s="492"/>
      <c r="B8" s="492"/>
      <c r="C8" s="109" t="s">
        <v>16644</v>
      </c>
      <c r="D8" s="499">
        <f>'General Calculations'!D15</f>
        <v>174.73684210526318</v>
      </c>
      <c r="E8" s="500">
        <f>'General Calculations'!E15</f>
        <v>6.8421052631578947</v>
      </c>
      <c r="F8" s="492"/>
    </row>
    <row r="9" spans="1:6">
      <c r="A9" s="492"/>
      <c r="B9" s="492"/>
      <c r="C9" s="109" t="s">
        <v>16645</v>
      </c>
      <c r="D9" s="499">
        <f>'General Calculations'!D12</f>
        <v>83</v>
      </c>
      <c r="E9" s="500">
        <f>'General Calculations'!E12</f>
        <v>1</v>
      </c>
      <c r="F9" s="492"/>
    </row>
    <row r="10" spans="1:6">
      <c r="A10" s="492"/>
      <c r="B10" s="492"/>
      <c r="C10" s="151" t="s">
        <v>16646</v>
      </c>
      <c r="D10" s="502">
        <f>'General Calculations'!D14</f>
        <v>332</v>
      </c>
      <c r="E10" s="527">
        <f>'General Calculations'!E14</f>
        <v>13</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5.642023346303502E-2</v>
      </c>
      <c r="E13" s="503">
        <f>'Input Summary'!D58</f>
        <v>0.26363636363636361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7.0300000000000001E-2</v>
      </c>
      <c r="E19" s="498">
        <f>SUMPRODUCT('General Calculations'!D35:D41,'General Calculations'!E35:E41)/100</f>
        <v>8.778839230813875E-3</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8.778839230813875E-3</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0.27307392996108948</v>
      </c>
      <c r="E25" s="508">
        <f>E5*E13</f>
        <v>0.28999999999999998</v>
      </c>
      <c r="F25" s="131" t="s">
        <v>16641</v>
      </c>
      <c r="G25" s="131"/>
      <c r="H25" s="131"/>
    </row>
    <row r="26" spans="1:8">
      <c r="A26" s="492"/>
      <c r="B26" s="492"/>
      <c r="C26" s="109" t="s">
        <v>16657</v>
      </c>
      <c r="D26" s="499">
        <f>60*D25/speed</f>
        <v>1.0922957198443579</v>
      </c>
      <c r="E26" s="499">
        <f>60*E25/speedP</f>
        <v>3.4799999999999995</v>
      </c>
      <c r="F26" s="492" t="s">
        <v>16658</v>
      </c>
      <c r="G26" s="131"/>
      <c r="H26" s="131"/>
    </row>
    <row r="27" spans="1:8">
      <c r="A27" s="492"/>
      <c r="B27" s="492"/>
      <c r="C27" s="151" t="s">
        <v>16659</v>
      </c>
      <c r="D27" s="502">
        <f>D26*scheme_days</f>
        <v>276.35081712062254</v>
      </c>
      <c r="E27" s="502">
        <f>E26*scheme_days</f>
        <v>880.43999999999983</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43.684210526315795</v>
      </c>
      <c r="E3" s="94"/>
      <c r="F3" s="167">
        <f>'General Calculations'!E13</f>
        <v>0.52631578947368418</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6.9894736842105276</v>
      </c>
      <c r="E9" s="299">
        <f>'General Calculations'!$D$13*'Health Assumptions'!E25</f>
        <v>1.7473684210526319</v>
      </c>
      <c r="F9" s="300">
        <f>'General Calculations'!$E$13*'Health Assumptions'!F25</f>
        <v>7.8947368421052627E-2</v>
      </c>
      <c r="G9" s="167">
        <f>'General Calculations'!$E$13*'Health Assumptions'!G25</f>
        <v>7.8947368421052627E-2</v>
      </c>
    </row>
    <row r="10" spans="1:7">
      <c r="B10" s="179"/>
      <c r="C10" s="125" t="s">
        <v>16583</v>
      </c>
      <c r="D10" s="167">
        <f>'General Calculations'!$D$13*'Health Assumptions'!D26</f>
        <v>17.036842105263162</v>
      </c>
      <c r="E10" s="299">
        <f>'General Calculations'!$D$13*'Health Assumptions'!E26</f>
        <v>6.9894736842105276</v>
      </c>
      <c r="F10" s="300">
        <f>'General Calculations'!$E$13*'Health Assumptions'!F26</f>
        <v>8.9473684210526316E-2</v>
      </c>
      <c r="G10" s="167">
        <f>'General Calculations'!$E$13*'Health Assumptions'!G26</f>
        <v>0.12631578947368419</v>
      </c>
    </row>
    <row r="11" spans="1:7">
      <c r="C11" s="125" t="s">
        <v>16584</v>
      </c>
      <c r="D11" s="167">
        <f>'General Calculations'!$D$13*'Health Assumptions'!D27</f>
        <v>5.6789473684210536</v>
      </c>
      <c r="E11" s="299">
        <f>'General Calculations'!$D$13*'Health Assumptions'!E27</f>
        <v>2.1842105263157898</v>
      </c>
      <c r="F11" s="300">
        <f>'General Calculations'!$E$13*'Health Assumptions'!F27</f>
        <v>3.6842105263157898E-2</v>
      </c>
      <c r="G11" s="167">
        <f>'General Calculations'!$E$13*'Health Assumptions'!G27</f>
        <v>4.7368421052631574E-2</v>
      </c>
    </row>
    <row r="12" spans="1:7">
      <c r="C12" s="125" t="s">
        <v>16585</v>
      </c>
      <c r="D12" s="167">
        <f>'General Calculations'!$D$13*'Health Assumptions'!D28</f>
        <v>2.1842105263157898</v>
      </c>
      <c r="E12" s="299">
        <f>'General Calculations'!$D$13*'Health Assumptions'!E28</f>
        <v>0.43684210526315798</v>
      </c>
      <c r="F12" s="300">
        <f>'General Calculations'!$E$13*'Health Assumptions'!F28</f>
        <v>2.6315789473684209E-2</v>
      </c>
      <c r="G12" s="167">
        <f>'General Calculations'!$E$13*'Health Assumptions'!G28</f>
        <v>2.6315789473684209E-2</v>
      </c>
    </row>
    <row r="13" spans="1:7">
      <c r="C13" s="125" t="s">
        <v>16586</v>
      </c>
      <c r="D13" s="167">
        <f>'General Calculations'!$D$13*'Health Assumptions'!D29</f>
        <v>0.43684210526315798</v>
      </c>
      <c r="E13" s="299">
        <f>'General Calculations'!$D$13*'Health Assumptions'!E29</f>
        <v>0</v>
      </c>
      <c r="F13" s="300">
        <f>'General Calculations'!$E$13*'Health Assumptions'!F29</f>
        <v>5.263157894736842E-3</v>
      </c>
      <c r="G13" s="167">
        <f>'General Calculations'!$E$13*'Health Assumptions'!G29</f>
        <v>5.263157894736842E-3</v>
      </c>
    </row>
    <row r="14" spans="1:7">
      <c r="C14" s="125" t="s">
        <v>16523</v>
      </c>
      <c r="D14" s="167">
        <f>SUM(D9:D13)</f>
        <v>32.326315789473689</v>
      </c>
      <c r="E14" s="299">
        <f>SUM(E9:E13)</f>
        <v>11.357894736842107</v>
      </c>
      <c r="F14" s="300">
        <f>SUM(F9:F13)</f>
        <v>0.23684210526315788</v>
      </c>
      <c r="G14" s="167">
        <f>SUM(G9:G13)</f>
        <v>0.28421052631578947</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4.3035697861136431E-3</v>
      </c>
      <c r="E72" s="124">
        <f>E64*'Health Assumptions'!E60*E10</f>
        <v>9.1170613045337106E-4</v>
      </c>
      <c r="F72" s="162">
        <f>SUM(D72:E72)</f>
        <v>5.2152759165670142E-3</v>
      </c>
      <c r="G72" s="124">
        <f>F64*'Health Assumptions'!D60*F10</f>
        <v>7.8415826075344953E-6</v>
      </c>
      <c r="H72" s="124">
        <f>G64*'Health Assumptions'!E60*G10</f>
        <v>6.363447586612279E-6</v>
      </c>
      <c r="I72" s="124">
        <f>SUM(G72:H72)</f>
        <v>1.4205030194146774E-5</v>
      </c>
    </row>
    <row r="73" spans="2:12">
      <c r="C73" s="125" t="s">
        <v>16584</v>
      </c>
      <c r="D73" s="124">
        <f>D65*'Health Assumptions'!D61*D11</f>
        <v>8.1014402923049525E-3</v>
      </c>
      <c r="E73" s="124">
        <f>E65*'Health Assumptions'!E61*E11</f>
        <v>1.6094880631365609E-3</v>
      </c>
      <c r="F73" s="162">
        <f>SUM(D73:E73)</f>
        <v>9.7109283554415136E-3</v>
      </c>
      <c r="G73" s="124">
        <f>F65*'Health Assumptions'!D61*F11</f>
        <v>1.8314996818461275E-5</v>
      </c>
      <c r="H73" s="124">
        <f>G65*'Health Assumptions'!E61*G11</f>
        <v>1.5900102814975091E-5</v>
      </c>
      <c r="I73" s="124">
        <f>SUM(G73:H73)</f>
        <v>3.4215099633436365E-5</v>
      </c>
    </row>
    <row r="74" spans="2:12">
      <c r="C74" s="125" t="s">
        <v>16585</v>
      </c>
      <c r="D74" s="124">
        <f>D66*'Health Assumptions'!D62*D12</f>
        <v>1.0563548712695625E-2</v>
      </c>
      <c r="E74" s="124">
        <f>E66*'Health Assumptions'!E62*E12</f>
        <v>1.1248123247362997E-3</v>
      </c>
      <c r="F74" s="162">
        <f>SUM(D74:E74)</f>
        <v>1.1688361037431925E-2</v>
      </c>
      <c r="G74" s="124">
        <f>F66*'Health Assumptions'!D62*F12</f>
        <v>5.1859747776449979E-5</v>
      </c>
      <c r="H74" s="124">
        <f>G66*'Health Assumptions'!E62*G12</f>
        <v>3.4750068237732303E-5</v>
      </c>
      <c r="I74" s="124">
        <f>SUM(G74:H74)</f>
        <v>8.6609816014182275E-5</v>
      </c>
    </row>
    <row r="75" spans="2:12">
      <c r="C75" s="125" t="s">
        <v>16586</v>
      </c>
      <c r="D75" s="124">
        <f>D67*'Health Assumptions'!D63*D13</f>
        <v>6.9753588501847534E-3</v>
      </c>
      <c r="E75" s="124">
        <f>E67*'Health Assumptions'!E63*E13</f>
        <v>0</v>
      </c>
      <c r="F75" s="162">
        <f>SUM(D75:E75)</f>
        <v>6.9753588501847534E-3</v>
      </c>
      <c r="G75" s="124">
        <f>F67*'Health Assumptions'!D63*F13</f>
        <v>4.6983795339672784E-5</v>
      </c>
      <c r="H75" s="124">
        <f>G67*'Health Assumptions'!E63*G13</f>
        <v>3.7358590007520492E-5</v>
      </c>
      <c r="I75" s="124">
        <f>SUM(G75:H75)</f>
        <v>8.4342385347193282E-5</v>
      </c>
    </row>
    <row r="76" spans="2:12">
      <c r="C76" s="125" t="s">
        <v>16683</v>
      </c>
      <c r="D76" s="124">
        <f t="shared" ref="D76:I76" si="2">SUM(D71:D75)</f>
        <v>2.9943917641298976E-2</v>
      </c>
      <c r="E76" s="124">
        <f t="shared" si="2"/>
        <v>3.6460065183262316E-3</v>
      </c>
      <c r="F76" s="162">
        <f t="shared" si="2"/>
        <v>3.3589924159625209E-2</v>
      </c>
      <c r="G76" s="124">
        <f t="shared" si="2"/>
        <v>1.2500012254211854E-4</v>
      </c>
      <c r="H76" s="124">
        <f t="shared" si="2"/>
        <v>9.4372208646840159E-5</v>
      </c>
      <c r="I76" s="124">
        <f t="shared" si="2"/>
        <v>2.193723311889587E-4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0.14994471702347115</v>
      </c>
      <c r="E82" s="124">
        <f>E72*'Health Assumptions'!E93</f>
        <v>3.126002644293599E-2</v>
      </c>
      <c r="F82" s="162">
        <f>SUM(D82:E82)</f>
        <v>0.18120474346640714</v>
      </c>
      <c r="G82" s="124">
        <f>G72*'Health Assumptions'!D68</f>
        <v>2.7321594479469278E-4</v>
      </c>
      <c r="H82" s="124">
        <f>H72*'Health Assumptions'!E68</f>
        <v>2.1818602856911562E-4</v>
      </c>
      <c r="I82" s="124">
        <f>SUM(G82:H82)</f>
        <v>4.9140197336380842E-4</v>
      </c>
    </row>
    <row r="83" spans="3:11">
      <c r="C83" s="125" t="s">
        <v>16584</v>
      </c>
      <c r="D83" s="124">
        <f>D73*'Health Assumptions'!D94</f>
        <v>0.19222057875827683</v>
      </c>
      <c r="E83" s="124">
        <f>E73*'Health Assumptions'!E94</f>
        <v>3.8187867322123599E-2</v>
      </c>
      <c r="F83" s="162">
        <f>SUM(D83:E83)</f>
        <v>0.23040844608040043</v>
      </c>
      <c r="G83" s="124">
        <f>G73*'Health Assumptions'!D69</f>
        <v>4.345547410556793E-4</v>
      </c>
      <c r="H83" s="124">
        <f>H73*'Health Assumptions'!E69</f>
        <v>3.7725723515035111E-4</v>
      </c>
      <c r="I83" s="124">
        <f>SUM(G83:H83)</f>
        <v>8.1181197620603046E-4</v>
      </c>
    </row>
    <row r="84" spans="3:11">
      <c r="C84" s="125" t="s">
        <v>16585</v>
      </c>
      <c r="D84" s="124">
        <f>D74*'Health Assumptions'!D95</f>
        <v>0.15983984482753141</v>
      </c>
      <c r="E84" s="124">
        <f>E74*'Health Assumptions'!E95</f>
        <v>1.6133445261727507E-2</v>
      </c>
      <c r="F84" s="162">
        <f>SUM(D84:E84)</f>
        <v>0.17597329008925891</v>
      </c>
      <c r="G84" s="124">
        <f>G74*'Health Assumptions'!D70</f>
        <v>7.8470353692981787E-4</v>
      </c>
      <c r="H84" s="124">
        <f>H74*'Health Assumptions'!E70</f>
        <v>4.9842832570863365E-4</v>
      </c>
      <c r="I84" s="124">
        <f>SUM(G84:H84)</f>
        <v>1.2831318626384514E-3</v>
      </c>
    </row>
    <row r="85" spans="3:11">
      <c r="C85" s="125" t="s">
        <v>16586</v>
      </c>
      <c r="D85" s="124">
        <f>D75*'Health Assumptions'!D96</f>
        <v>4.0336023789594617E-2</v>
      </c>
      <c r="E85" s="124">
        <f>E75*'Health Assumptions'!E96</f>
        <v>0</v>
      </c>
      <c r="F85" s="162">
        <f>SUM(D85:E85)</f>
        <v>4.0336023789594617E-2</v>
      </c>
      <c r="G85" s="124">
        <f>G75*'Health Assumptions'!D71</f>
        <v>2.7169060793141706E-4</v>
      </c>
      <c r="H85" s="124">
        <f>H75*'Health Assumptions'!E71</f>
        <v>2.1603146270376408E-4</v>
      </c>
      <c r="I85" s="124">
        <f>SUM(G85:H85)</f>
        <v>4.8772207063518114E-4</v>
      </c>
    </row>
    <row r="86" spans="3:11">
      <c r="C86" s="125" t="s">
        <v>16683</v>
      </c>
      <c r="D86" s="124">
        <f t="shared" ref="D86:I86" si="3">SUM(D81:D85)</f>
        <v>0.54234116439887403</v>
      </c>
      <c r="E86" s="124">
        <f t="shared" si="3"/>
        <v>8.5581339026787093E-2</v>
      </c>
      <c r="F86" s="162">
        <f t="shared" si="3"/>
        <v>0.62792250342566114</v>
      </c>
      <c r="G86" s="124">
        <f t="shared" si="3"/>
        <v>1.7641648307116068E-3</v>
      </c>
      <c r="H86" s="124">
        <f t="shared" si="3"/>
        <v>1.3099030521318642E-3</v>
      </c>
      <c r="I86" s="124">
        <f t="shared" si="3"/>
        <v>3.0740678828434717E-3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17.834855499999996</v>
      </c>
      <c r="H18" s="94">
        <f>IF(H4&lt;opening,0,'General Calculations'!$E$28/1000)</f>
        <v>17.834855499999996</v>
      </c>
      <c r="I18" s="94">
        <f>IF(I4&lt;opening,0,'General Calculations'!$E$28/1000)</f>
        <v>17.834855499999996</v>
      </c>
      <c r="J18" s="94">
        <f>IF(J4&lt;opening,0,'General Calculations'!$E$28/1000)</f>
        <v>17.834855499999996</v>
      </c>
      <c r="K18" s="94">
        <f>IF(K4&lt;opening,0,'General Calculations'!$E$28/1000)</f>
        <v>17.834855499999996</v>
      </c>
      <c r="L18" s="94">
        <f>IF(L4&lt;opening,0,'General Calculations'!$E$28/1000)</f>
        <v>17.834855499999996</v>
      </c>
      <c r="M18" s="94">
        <f>IF(M4&lt;opening,0,'General Calculations'!$E$28/1000)</f>
        <v>17.834855499999996</v>
      </c>
      <c r="N18" s="94">
        <f>IF(N4&lt;opening,0,'General Calculations'!$E$28/1000)</f>
        <v>17.834855499999996</v>
      </c>
      <c r="O18" s="94">
        <f>IF(O4&lt;opening,0,'General Calculations'!$E$28/1000)</f>
        <v>17.834855499999996</v>
      </c>
      <c r="P18" s="94">
        <f>IF(P4&lt;opening,0,'General Calculations'!$E$28/1000)</f>
        <v>17.834855499999996</v>
      </c>
      <c r="Q18" s="94">
        <f>IF(Q4&lt;opening,0,'General Calculations'!$E$28/1000)</f>
        <v>17.834855499999996</v>
      </c>
      <c r="R18" s="94">
        <f>IF(R4&lt;opening,0,'General Calculations'!$E$28/1000)</f>
        <v>17.834855499999996</v>
      </c>
      <c r="S18" s="94">
        <f>IF(S4&lt;opening,0,'General Calculations'!$E$28/1000)</f>
        <v>17.834855499999996</v>
      </c>
      <c r="T18" s="94">
        <f>IF(T4&lt;opening,0,'General Calculations'!$E$28/1000)</f>
        <v>17.834855499999996</v>
      </c>
      <c r="U18" s="94">
        <f>IF(U4&lt;opening,0,'General Calculations'!$E$28/1000)</f>
        <v>17.834855499999996</v>
      </c>
      <c r="V18" s="94">
        <f>IF(V4&lt;opening,0,'General Calculations'!$E$28/1000)</f>
        <v>17.834855499999996</v>
      </c>
      <c r="W18" s="94">
        <f>IF(W4&lt;opening,0,'General Calculations'!$E$28/1000)</f>
        <v>17.834855499999996</v>
      </c>
      <c r="X18" s="94">
        <f>IF(X4&lt;opening,0,'General Calculations'!$E$28/1000)</f>
        <v>17.834855499999996</v>
      </c>
      <c r="Y18" s="94">
        <f>IF(Y4&lt;opening,0,'General Calculations'!$E$28/1000)</f>
        <v>17.834855499999996</v>
      </c>
      <c r="Z18" s="94">
        <f>IF(Z4&lt;opening,0,'General Calculations'!$E$28/1000)</f>
        <v>17.834855499999996</v>
      </c>
      <c r="AA18" s="94">
        <f>IF(AA4&lt;opening,0,'General Calculations'!$E$28/1000)</f>
        <v>17.834855499999996</v>
      </c>
      <c r="AB18" s="94">
        <f>IF(AB4&lt;opening,0,'General Calculations'!$E$28/1000)</f>
        <v>17.834855499999996</v>
      </c>
      <c r="AC18" s="94">
        <f>IF(AC4&lt;opening,0,'General Calculations'!$E$28/1000)</f>
        <v>17.834855499999996</v>
      </c>
      <c r="AD18" s="94">
        <f>IF(AD4&lt;opening,0,'General Calculations'!$E$28/1000)</f>
        <v>17.834855499999996</v>
      </c>
      <c r="AE18" s="94">
        <f>IF(AE4&lt;opening,0,'General Calculations'!$E$28/1000)</f>
        <v>17.834855499999996</v>
      </c>
      <c r="AF18" s="94">
        <f>IF(AF4&lt;opening,0,'General Calculations'!$E$28/1000)</f>
        <v>17.834855499999996</v>
      </c>
      <c r="AG18" s="94">
        <f>IF(AG4&lt;opening,0,'General Calculations'!$E$28/1000)</f>
        <v>17.834855499999996</v>
      </c>
      <c r="AH18" s="94">
        <f>IF(AH4&lt;opening,0,'General Calculations'!$E$28/1000)</f>
        <v>17.834855499999996</v>
      </c>
      <c r="AI18" s="94">
        <f>IF(AI4&lt;opening,0,'General Calculations'!$E$28/1000)</f>
        <v>17.834855499999996</v>
      </c>
      <c r="AJ18" s="94">
        <f>IF(AJ4&lt;opening,0,'General Calculations'!$E$28/1000)</f>
        <v>17.834855499999996</v>
      </c>
      <c r="AK18" s="94">
        <f>IF(AK4&lt;opening,0,'General Calculations'!$E$28/1000)</f>
        <v>17.834855499999996</v>
      </c>
      <c r="AL18" s="94">
        <f>IF(AL4&lt;opening,0,'General Calculations'!$E$28/1000)</f>
        <v>17.834855499999996</v>
      </c>
      <c r="AM18" s="94">
        <f>IF(AM4&lt;opening,0,'General Calculations'!$E$28/1000)</f>
        <v>17.834855499999996</v>
      </c>
      <c r="AN18" s="94">
        <f>IF(AN4&lt;opening,0,'General Calculations'!$E$28/1000)</f>
        <v>17.834855499999996</v>
      </c>
      <c r="AO18" s="94">
        <f>IF(AO4&lt;opening,0,'General Calculations'!$E$28/1000)</f>
        <v>17.834855499999996</v>
      </c>
      <c r="AP18" s="94">
        <f>IF(AP4&lt;opening,0,'General Calculations'!$E$28/1000)</f>
        <v>17.834855499999996</v>
      </c>
      <c r="AQ18" s="94">
        <f>IF(AQ4&lt;opening,0,'General Calculations'!$E$28/1000)</f>
        <v>17.834855499999996</v>
      </c>
      <c r="AR18" s="94">
        <f>IF(AR4&lt;opening,0,'General Calculations'!$E$28/1000)</f>
        <v>17.834855499999996</v>
      </c>
      <c r="AS18" s="94">
        <f>IF(AS4&lt;opening,0,'General Calculations'!$E$28/1000)</f>
        <v>17.834855499999996</v>
      </c>
      <c r="AT18" s="94">
        <f>IF(AT4&lt;opening,0,'General Calculations'!$E$28/1000)</f>
        <v>17.834855499999996</v>
      </c>
      <c r="AU18" s="94">
        <f>IF(AU4&lt;opening,0,'General Calculations'!$E$28/1000)</f>
        <v>17.834855499999996</v>
      </c>
      <c r="AV18" s="94">
        <f>IF(AV4&lt;opening,0,'General Calculations'!$E$28/1000)</f>
        <v>17.834855499999996</v>
      </c>
      <c r="AW18" s="94">
        <f>IF(AW4&lt;opening,0,'General Calculations'!$E$28/1000)</f>
        <v>17.834855499999996</v>
      </c>
      <c r="AX18" s="94">
        <f>IF(AX4&lt;opening,0,'General Calculations'!$E$28/1000)</f>
        <v>17.834855499999996</v>
      </c>
      <c r="AY18" s="94">
        <f>IF(AY4&lt;opening,0,'General Calculations'!$E$28/1000)</f>
        <v>17.834855499999996</v>
      </c>
      <c r="AZ18" s="94">
        <f>IF(AZ4&lt;opening,0,'General Calculations'!$E$28/1000)</f>
        <v>17.834855499999996</v>
      </c>
      <c r="BA18" s="94">
        <f>IF(BA4&lt;opening,0,'General Calculations'!$E$28/1000)</f>
        <v>17.834855499999996</v>
      </c>
      <c r="BB18" s="94">
        <f>IF(BB4&lt;opening,0,'General Calculations'!$E$28/1000)</f>
        <v>17.834855499999996</v>
      </c>
      <c r="BC18" s="94">
        <f>IF(BC4&lt;opening,0,'General Calculations'!$E$28/1000)</f>
        <v>17.834855499999996</v>
      </c>
      <c r="BD18" s="94">
        <f>IF(BD4&lt;opening,0,'General Calculations'!$E$28/1000)</f>
        <v>17.834855499999996</v>
      </c>
      <c r="BE18" s="94">
        <f>IF(BE4&lt;opening,0,'General Calculations'!$E$28/1000)</f>
        <v>17.834855499999996</v>
      </c>
      <c r="BF18" s="94">
        <f>IF(BF4&lt;opening,0,'General Calculations'!$E$28/1000)</f>
        <v>17.834855499999996</v>
      </c>
      <c r="BG18" s="94">
        <f>IF(BG4&lt;opening,0,'General Calculations'!$E$28/1000)</f>
        <v>17.834855499999996</v>
      </c>
      <c r="BH18" s="94">
        <f>IF(BH4&lt;opening,0,'General Calculations'!$E$28/1000)</f>
        <v>17.834855499999996</v>
      </c>
      <c r="BI18" s="94">
        <f>IF(BI4&lt;opening,0,'General Calculations'!$E$28/1000)</f>
        <v>17.834855499999996</v>
      </c>
      <c r="BJ18" s="94">
        <f>IF(BJ4&lt;opening,0,'General Calculations'!$E$28/1000)</f>
        <v>17.834855499999996</v>
      </c>
      <c r="BK18" s="94">
        <f>IF(BK4&lt;opening,0,'General Calculations'!$E$28/1000)</f>
        <v>17.834855499999996</v>
      </c>
      <c r="BL18" s="94">
        <f>IF(BL4&lt;opening,0,'General Calculations'!$E$28/1000)</f>
        <v>17.834855499999996</v>
      </c>
      <c r="BM18" s="94">
        <f>IF(BM4&lt;opening,0,'General Calculations'!$E$28/1000)</f>
        <v>17.834855499999996</v>
      </c>
      <c r="BN18" s="376">
        <f>IF(BN4&lt;opening,0,'General Calculations'!$E$28/1000)</f>
        <v>17.834855499999996</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39.314328053494854</v>
      </c>
      <c r="C19" s="42">
        <f>IFERROR(C$18*HLOOKUP(C$4,mecc2,2)/100*C$7*C$9*C$11*C$12,0)</f>
        <v>0</v>
      </c>
      <c r="D19" s="42">
        <f t="shared" ref="D19:AH19" si="19">IFERROR(D$18*HLOOKUP(D$4,mecc2,2)/100*D$7*D$9*D$11*D$12,0)</f>
        <v>0</v>
      </c>
      <c r="E19" s="42">
        <f t="shared" si="19"/>
        <v>0</v>
      </c>
      <c r="F19" s="42">
        <f t="shared" si="19"/>
        <v>0</v>
      </c>
      <c r="G19" s="42">
        <f t="shared" si="19"/>
        <v>1.9926775054586274</v>
      </c>
      <c r="H19" s="42">
        <f t="shared" si="19"/>
        <v>1.9865295194024364</v>
      </c>
      <c r="I19" s="42">
        <f t="shared" si="19"/>
        <v>1.9804005016602064</v>
      </c>
      <c r="J19" s="42">
        <f t="shared" si="19"/>
        <v>1.9742903937092069</v>
      </c>
      <c r="K19" s="42">
        <f t="shared" si="19"/>
        <v>1.9681991372072651</v>
      </c>
      <c r="L19" s="42">
        <f t="shared" si="19"/>
        <v>1.9930078342165654</v>
      </c>
      <c r="M19" s="42">
        <f t="shared" si="19"/>
        <v>2.0181292391402557</v>
      </c>
      <c r="N19" s="42">
        <f t="shared" si="19"/>
        <v>2.0435672935896054</v>
      </c>
      <c r="O19" s="42">
        <f t="shared" si="19"/>
        <v>2.0693259888589854</v>
      </c>
      <c r="P19" s="42">
        <f t="shared" si="19"/>
        <v>2.0954093665521176</v>
      </c>
      <c r="Q19" s="42">
        <f t="shared" si="19"/>
        <v>2.0545896586633869</v>
      </c>
      <c r="R19" s="42">
        <f t="shared" si="19"/>
        <v>2.014565140764125</v>
      </c>
      <c r="S19" s="42">
        <f t="shared" si="19"/>
        <v>1.9753203221232112</v>
      </c>
      <c r="T19" s="42">
        <f t="shared" si="19"/>
        <v>1.9368400137773436</v>
      </c>
      <c r="U19" s="42">
        <f t="shared" si="19"/>
        <v>1.8991093226524458</v>
      </c>
      <c r="V19" s="42">
        <f t="shared" si="19"/>
        <v>1.8867913237289098</v>
      </c>
      <c r="W19" s="42">
        <f t="shared" si="19"/>
        <v>1.8745532217842722</v>
      </c>
      <c r="X19" s="42">
        <f t="shared" si="19"/>
        <v>1.8623944985909175</v>
      </c>
      <c r="Y19" s="42">
        <f t="shared" si="19"/>
        <v>1.8503146392825536</v>
      </c>
      <c r="Z19" s="42">
        <f t="shared" si="19"/>
        <v>1.8383131323324149</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0.21571602902684445</v>
      </c>
      <c r="C20" s="42">
        <f t="shared" ref="C20:AH20" si="22">IFERROR(C$18*HLOOKUP(C$4,mecc2,3)/100*C$7*C$9*C$11*C$12,0)</f>
        <v>0</v>
      </c>
      <c r="D20" s="42">
        <f t="shared" si="22"/>
        <v>0</v>
      </c>
      <c r="E20" s="42">
        <f t="shared" si="22"/>
        <v>0</v>
      </c>
      <c r="F20" s="42">
        <f t="shared" si="22"/>
        <v>0</v>
      </c>
      <c r="G20" s="42">
        <f t="shared" si="22"/>
        <v>1.1921842006247548E-2</v>
      </c>
      <c r="H20" s="42">
        <f t="shared" si="22"/>
        <v>1.1771310907046339E-2</v>
      </c>
      <c r="I20" s="42">
        <f t="shared" si="22"/>
        <v>1.1622680488278147E-2</v>
      </c>
      <c r="J20" s="42">
        <f t="shared" si="22"/>
        <v>1.1475926751007677E-2</v>
      </c>
      <c r="K20" s="42">
        <f t="shared" si="22"/>
        <v>1.1331025999322111E-2</v>
      </c>
      <c r="L20" s="42">
        <f t="shared" si="22"/>
        <v>1.1349202273475913E-2</v>
      </c>
      <c r="M20" s="42">
        <f t="shared" si="22"/>
        <v>1.1367407704472367E-2</v>
      </c>
      <c r="N20" s="42">
        <f t="shared" si="22"/>
        <v>1.1385642339082411E-2</v>
      </c>
      <c r="O20" s="42">
        <f t="shared" si="22"/>
        <v>1.1403906224152008E-2</v>
      </c>
      <c r="P20" s="42">
        <f t="shared" si="22"/>
        <v>1.1422199406602282E-2</v>
      </c>
      <c r="Q20" s="42">
        <f t="shared" si="22"/>
        <v>1.1118711016571789E-2</v>
      </c>
      <c r="R20" s="42">
        <f t="shared" si="22"/>
        <v>1.0823286327725681E-2</v>
      </c>
      <c r="S20" s="42">
        <f t="shared" si="22"/>
        <v>1.053571108713394E-2</v>
      </c>
      <c r="T20" s="42">
        <f t="shared" si="22"/>
        <v>1.0255776734577237E-2</v>
      </c>
      <c r="U20" s="42">
        <f t="shared" si="22"/>
        <v>9.983280251291379E-3</v>
      </c>
      <c r="V20" s="42">
        <f t="shared" si="22"/>
        <v>9.8497021906502995E-3</v>
      </c>
      <c r="W20" s="42">
        <f t="shared" si="22"/>
        <v>9.7179114281552691E-3</v>
      </c>
      <c r="X20" s="42">
        <f t="shared" si="22"/>
        <v>9.5878840494400593E-3</v>
      </c>
      <c r="Y20" s="42">
        <f t="shared" si="22"/>
        <v>9.4595964601168949E-3</v>
      </c>
      <c r="Z20" s="42">
        <f t="shared" si="22"/>
        <v>9.3330253814950977E-3</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6.6280629920895295</v>
      </c>
      <c r="C21" s="42">
        <f t="shared" ref="C21:AH21" si="24">IFERROR(C$18*HLOOKUP(C$4,mecc2,4)/100*C$7*C$9*C$11*C$12,0)</f>
        <v>0</v>
      </c>
      <c r="D21" s="42">
        <f t="shared" si="24"/>
        <v>0</v>
      </c>
      <c r="E21" s="42">
        <f t="shared" si="24"/>
        <v>0</v>
      </c>
      <c r="F21" s="42">
        <f t="shared" si="24"/>
        <v>0</v>
      </c>
      <c r="G21" s="42">
        <f t="shared" si="24"/>
        <v>0.36127800958091838</v>
      </c>
      <c r="H21" s="42">
        <f t="shared" si="24"/>
        <v>0.35761515363096347</v>
      </c>
      <c r="I21" s="42">
        <f t="shared" si="24"/>
        <v>0.3539894339399402</v>
      </c>
      <c r="J21" s="42">
        <f t="shared" si="24"/>
        <v>0.3504004739978942</v>
      </c>
      <c r="K21" s="42">
        <f t="shared" si="24"/>
        <v>0.34684790111215713</v>
      </c>
      <c r="L21" s="42">
        <f t="shared" si="24"/>
        <v>0.34792510614848199</v>
      </c>
      <c r="M21" s="42">
        <f t="shared" si="24"/>
        <v>0.3490056566589661</v>
      </c>
      <c r="N21" s="42">
        <f t="shared" si="24"/>
        <v>0.35008956303364341</v>
      </c>
      <c r="O21" s="42">
        <f t="shared" si="24"/>
        <v>0.35117683569481678</v>
      </c>
      <c r="P21" s="42">
        <f t="shared" si="24"/>
        <v>0.35226748509715766</v>
      </c>
      <c r="Q21" s="42">
        <f t="shared" si="24"/>
        <v>0.34290772100037337</v>
      </c>
      <c r="R21" s="42">
        <f t="shared" si="24"/>
        <v>0.33379664628780309</v>
      </c>
      <c r="S21" s="42">
        <f t="shared" si="24"/>
        <v>0.32492765327049444</v>
      </c>
      <c r="T21" s="42">
        <f t="shared" si="24"/>
        <v>0.31629430982610918</v>
      </c>
      <c r="U21" s="42">
        <f t="shared" si="24"/>
        <v>0.3078903547341113</v>
      </c>
      <c r="V21" s="42">
        <f t="shared" si="24"/>
        <v>0.30397105992416695</v>
      </c>
      <c r="W21" s="42">
        <f t="shared" si="24"/>
        <v>0.30010165583528947</v>
      </c>
      <c r="X21" s="42">
        <f t="shared" si="24"/>
        <v>0.29628150738280978</v>
      </c>
      <c r="Y21" s="42">
        <f t="shared" si="24"/>
        <v>0.29250998756637792</v>
      </c>
      <c r="Z21" s="42">
        <f t="shared" si="24"/>
        <v>0.28878647736705454</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0.87695921771103946</v>
      </c>
      <c r="C22" s="42">
        <f t="shared" ref="C22:AH22" si="26">IFERROR(C$18*HLOOKUP(C$4,mecc2,5)/100*C$7*C$9*C$11*C$12,0)</f>
        <v>0</v>
      </c>
      <c r="D22" s="42">
        <f t="shared" si="26"/>
        <v>0</v>
      </c>
      <c r="E22" s="42">
        <f t="shared" si="26"/>
        <v>0</v>
      </c>
      <c r="F22" s="42">
        <f t="shared" si="26"/>
        <v>0</v>
      </c>
      <c r="G22" s="42">
        <f t="shared" si="26"/>
        <v>5.8927401849382784E-2</v>
      </c>
      <c r="H22" s="42">
        <f t="shared" si="26"/>
        <v>5.4756032100507508E-2</v>
      </c>
      <c r="I22" s="42">
        <f t="shared" si="26"/>
        <v>5.0879946464553204E-2</v>
      </c>
      <c r="J22" s="42">
        <f t="shared" si="26"/>
        <v>4.7278242285415814E-2</v>
      </c>
      <c r="K22" s="42">
        <f t="shared" si="26"/>
        <v>4.3931496570180355E-2</v>
      </c>
      <c r="L22" s="42">
        <f t="shared" si="26"/>
        <v>4.4208469847971374E-2</v>
      </c>
      <c r="M22" s="42">
        <f t="shared" si="26"/>
        <v>4.4487189348918883E-2</v>
      </c>
      <c r="N22" s="42">
        <f t="shared" si="26"/>
        <v>4.4767666082371302E-2</v>
      </c>
      <c r="O22" s="42">
        <f t="shared" si="26"/>
        <v>4.5049911127087207E-2</v>
      </c>
      <c r="P22" s="42">
        <f t="shared" si="26"/>
        <v>4.5333935631673115E-2</v>
      </c>
      <c r="Q22" s="42">
        <f t="shared" si="26"/>
        <v>4.4129777114738339E-2</v>
      </c>
      <c r="R22" s="42">
        <f t="shared" si="26"/>
        <v>4.2957603416983778E-2</v>
      </c>
      <c r="S22" s="42">
        <f t="shared" si="26"/>
        <v>4.1816564958687498E-2</v>
      </c>
      <c r="T22" s="42">
        <f t="shared" si="26"/>
        <v>4.0705834726636352E-2</v>
      </c>
      <c r="U22" s="42">
        <f t="shared" si="26"/>
        <v>3.96246076747152E-2</v>
      </c>
      <c r="V22" s="42">
        <f t="shared" si="26"/>
        <v>3.8941193593075317E-2</v>
      </c>
      <c r="W22" s="42">
        <f t="shared" si="26"/>
        <v>3.8269566500238376E-2</v>
      </c>
      <c r="X22" s="42">
        <f t="shared" si="26"/>
        <v>3.7609523103488071E-2</v>
      </c>
      <c r="Y22" s="42">
        <f t="shared" si="26"/>
        <v>3.6960863616341003E-2</v>
      </c>
      <c r="Z22" s="42">
        <f t="shared" si="26"/>
        <v>3.6323391698073963E-2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0.44187086613930204</v>
      </c>
      <c r="C23" s="42">
        <f t="shared" ref="C23:AH23" si="28">IFERROR(C$18*HLOOKUP(C$4,mecc2,6)/100*C$7*C$9*C$11*C$12,0)</f>
        <v>0</v>
      </c>
      <c r="D23" s="42">
        <f t="shared" si="28"/>
        <v>0</v>
      </c>
      <c r="E23" s="42">
        <f t="shared" si="28"/>
        <v>0</v>
      </c>
      <c r="F23" s="42">
        <f t="shared" si="28"/>
        <v>0</v>
      </c>
      <c r="G23" s="42">
        <f t="shared" si="28"/>
        <v>2.4085200638727888E-2</v>
      </c>
      <c r="H23" s="42">
        <f t="shared" si="28"/>
        <v>2.3841010242064229E-2</v>
      </c>
      <c r="I23" s="42">
        <f t="shared" si="28"/>
        <v>2.3599295595996012E-2</v>
      </c>
      <c r="J23" s="42">
        <f t="shared" si="28"/>
        <v>2.3360031599859603E-2</v>
      </c>
      <c r="K23" s="42">
        <f t="shared" si="28"/>
        <v>2.3123193407477139E-2</v>
      </c>
      <c r="L23" s="42">
        <f t="shared" si="28"/>
        <v>2.3195007076565466E-2</v>
      </c>
      <c r="M23" s="42">
        <f t="shared" si="28"/>
        <v>2.3267043777264403E-2</v>
      </c>
      <c r="N23" s="42">
        <f t="shared" si="28"/>
        <v>2.3339304202242898E-2</v>
      </c>
      <c r="O23" s="42">
        <f t="shared" si="28"/>
        <v>2.3411789046321123E-2</v>
      </c>
      <c r="P23" s="42">
        <f t="shared" si="28"/>
        <v>2.3484499006477179E-2</v>
      </c>
      <c r="Q23" s="42">
        <f t="shared" si="28"/>
        <v>2.2860514733358223E-2</v>
      </c>
      <c r="R23" s="42">
        <f t="shared" si="28"/>
        <v>2.2253109752520206E-2</v>
      </c>
      <c r="S23" s="42">
        <f t="shared" si="28"/>
        <v>2.1661843551366296E-2</v>
      </c>
      <c r="T23" s="42">
        <f t="shared" si="28"/>
        <v>2.1086287321740615E-2</v>
      </c>
      <c r="U23" s="42">
        <f t="shared" si="28"/>
        <v>2.0526023648940753E-2</v>
      </c>
      <c r="V23" s="42">
        <f t="shared" si="28"/>
        <v>2.0264737328277802E-2</v>
      </c>
      <c r="W23" s="42">
        <f t="shared" si="28"/>
        <v>2.0006777055685973E-2</v>
      </c>
      <c r="X23" s="42">
        <f t="shared" si="28"/>
        <v>1.9752100492187327E-2</v>
      </c>
      <c r="Y23" s="42">
        <f t="shared" si="28"/>
        <v>1.9500665837758547E-2</v>
      </c>
      <c r="Z23" s="42">
        <f t="shared" si="28"/>
        <v>1.9252431824470312E-2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2.7721023058849732</v>
      </c>
      <c r="C24" s="42">
        <f t="shared" ref="C24:AH24" si="30">IFERROR(C$18*HLOOKUP(C$4,mecc2,7)/100*C$7*C$9*C$11*C$12,0)</f>
        <v>0</v>
      </c>
      <c r="D24" s="42">
        <f t="shared" si="30"/>
        <v>0</v>
      </c>
      <c r="E24" s="42">
        <f t="shared" si="30"/>
        <v>0</v>
      </c>
      <c r="F24" s="42">
        <f t="shared" si="30"/>
        <v>0</v>
      </c>
      <c r="G24" s="42">
        <f t="shared" si="30"/>
        <v>0.21168116544856103</v>
      </c>
      <c r="H24" s="42">
        <f t="shared" si="30"/>
        <v>0.16075007195885543</v>
      </c>
      <c r="I24" s="42">
        <f t="shared" si="30"/>
        <v>0.12207314514741995</v>
      </c>
      <c r="J24" s="42">
        <f t="shared" si="30"/>
        <v>9.2701997483380524E-2</v>
      </c>
      <c r="K24" s="42">
        <f t="shared" si="30"/>
        <v>7.0397631903648186E-2</v>
      </c>
      <c r="L24" s="42">
        <f t="shared" si="30"/>
        <v>8.4350993895084325E-2</v>
      </c>
      <c r="M24" s="42">
        <f t="shared" si="30"/>
        <v>0.1010700215147412</v>
      </c>
      <c r="N24" s="42">
        <f t="shared" si="30"/>
        <v>0.12110289135058493</v>
      </c>
      <c r="O24" s="42">
        <f t="shared" si="30"/>
        <v>0.14510643288358785</v>
      </c>
      <c r="P24" s="42">
        <f t="shared" si="30"/>
        <v>0.17386766434208253</v>
      </c>
      <c r="Q24" s="42">
        <f t="shared" si="30"/>
        <v>0.16925147307180716</v>
      </c>
      <c r="R24" s="42">
        <f t="shared" si="30"/>
        <v>0.16475784180671968</v>
      </c>
      <c r="S24" s="42">
        <f t="shared" si="30"/>
        <v>0.16038351657531144</v>
      </c>
      <c r="T24" s="42">
        <f t="shared" si="30"/>
        <v>0.1561253297991069</v>
      </c>
      <c r="U24" s="42">
        <f t="shared" si="30"/>
        <v>0.15198019799892626</v>
      </c>
      <c r="V24" s="42">
        <f t="shared" si="30"/>
        <v>0.14686291436153573</v>
      </c>
      <c r="W24" s="42">
        <f t="shared" si="30"/>
        <v>0.14191793338047995</v>
      </c>
      <c r="X24" s="42">
        <f t="shared" si="30"/>
        <v>0.13713945350019091</v>
      </c>
      <c r="Y24" s="42">
        <f t="shared" si="30"/>
        <v>0.13252186850768966</v>
      </c>
      <c r="Z24" s="42">
        <f t="shared" si="30"/>
        <v>0.12805976095525962</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-3.197547588969162</v>
      </c>
      <c r="C25" s="532">
        <f t="shared" ref="C25:AH25" si="32">IFERROR(C$18*HLOOKUP(C$4,mecc2,8)/100*C$7*C$9*C$11*C$12,0)</f>
        <v>0</v>
      </c>
      <c r="D25" s="532">
        <f t="shared" si="32"/>
        <v>0</v>
      </c>
      <c r="E25" s="532">
        <f t="shared" si="32"/>
        <v>0</v>
      </c>
      <c r="F25" s="532">
        <f t="shared" si="32"/>
        <v>0</v>
      </c>
      <c r="G25" s="532">
        <f t="shared" si="32"/>
        <v>-0.32889906774420846</v>
      </c>
      <c r="H25" s="532">
        <f t="shared" si="32"/>
        <v>-0.30123367988106159</v>
      </c>
      <c r="I25" s="532">
        <f t="shared" si="32"/>
        <v>-0.27589536971645551</v>
      </c>
      <c r="J25" s="532">
        <f t="shared" si="32"/>
        <v>-0.25268839480709465</v>
      </c>
      <c r="K25" s="532">
        <f t="shared" si="32"/>
        <v>-0.23143347761076158</v>
      </c>
      <c r="L25" s="532">
        <f t="shared" si="32"/>
        <v>-0.20339101629958986</v>
      </c>
      <c r="M25" s="532">
        <f t="shared" si="32"/>
        <v>-0.17874641965565166</v>
      </c>
      <c r="N25" s="532">
        <f t="shared" si="32"/>
        <v>-0.15708797330877364</v>
      </c>
      <c r="O25" s="532">
        <f t="shared" si="32"/>
        <v>-0.13805384972631388</v>
      </c>
      <c r="P25" s="532">
        <f t="shared" si="32"/>
        <v>-0.12132606349687497</v>
      </c>
      <c r="Q25" s="532">
        <f t="shared" si="32"/>
        <v>-0.11810563373637718</v>
      </c>
      <c r="R25" s="532">
        <f t="shared" si="32"/>
        <v>-0.1149706857556667</v>
      </c>
      <c r="S25" s="532">
        <f t="shared" si="32"/>
        <v>-0.11191895056109395</v>
      </c>
      <c r="T25" s="532">
        <f t="shared" si="32"/>
        <v>-0.10894821938625521</v>
      </c>
      <c r="U25" s="532">
        <f t="shared" si="32"/>
        <v>-0.10605634209334548</v>
      </c>
      <c r="V25" s="532">
        <f t="shared" si="32"/>
        <v>-0.10021162057536447</v>
      </c>
      <c r="W25" s="532">
        <f t="shared" si="32"/>
        <v>-9.4688999263259674E-2</v>
      </c>
      <c r="X25" s="532">
        <f t="shared" si="32"/>
        <v>-8.9470727346781923E-2</v>
      </c>
      <c r="Y25" s="532">
        <f t="shared" si="32"/>
        <v>-8.4540032255554912E-2</v>
      </c>
      <c r="Z25" s="532">
        <f t="shared" si="32"/>
        <v>-7.9881065748677288E-2</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56.672256028733194</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3.169364073256165</v>
      </c>
      <c r="H29" s="42">
        <f>IF(H4&lt;opening,0,1)*Absenteeism!$D$23*H7*H9*H11*H12*H10/1000</f>
        <v>3.1314312254711791</v>
      </c>
      <c r="I29" s="42">
        <f>IF(I4&lt;opening,0,1)*Absenteeism!$D$23*I7*I9*I11*I12*I10/1000</f>
        <v>3.0939523807315421</v>
      </c>
      <c r="J29" s="42">
        <f>IF(J4&lt;opening,0,1)*Absenteeism!$D$23*J7*J9*J11*J12*J10/1000</f>
        <v>3.0569221052568447</v>
      </c>
      <c r="K29" s="42">
        <f>IF(K4&lt;opening,0,1)*Absenteeism!$D$23*K7*K9*K11*K12*K10/1000</f>
        <v>3.0203350303014154</v>
      </c>
      <c r="L29" s="42">
        <f>IF(L4&lt;opening,0,1)*Absenteeism!$D$23*L7*L9*L11*L12*L10/1000</f>
        <v>2.9841858513759476</v>
      </c>
      <c r="M29" s="42">
        <f>IF(M4&lt;opening,0,1)*Absenteeism!$D$23*M7*M9*M11*M12*M10/1000</f>
        <v>2.9484693274784415</v>
      </c>
      <c r="N29" s="42">
        <f>IF(N4&lt;opening,0,1)*Absenteeism!$D$23*N7*N9*N11*N12*N10/1000</f>
        <v>2.9131802803343452</v>
      </c>
      <c r="O29" s="42">
        <f>IF(O4&lt;opening,0,1)*Absenteeism!$D$23*O7*O9*O11*O12*O10/1000</f>
        <v>2.8783135936458022</v>
      </c>
      <c r="P29" s="42">
        <f>IF(P4&lt;opening,0,1)*Absenteeism!$D$23*P7*P9*P11*P12*P10/1000</f>
        <v>2.8438642123498732</v>
      </c>
      <c r="Q29" s="42">
        <f>IF(Q4&lt;opening,0,1)*Absenteeism!$D$23*Q7*Q9*Q11*Q12*Q10/1000</f>
        <v>2.8098271418856369</v>
      </c>
      <c r="R29" s="42">
        <f>IF(R4&lt;opening,0,1)*Absenteeism!$D$23*R7*R9*R11*R12*R10/1000</f>
        <v>2.7761974474700737</v>
      </c>
      <c r="S29" s="42">
        <f>IF(S4&lt;opening,0,1)*Absenteeism!$D$23*S7*S9*S11*S12*S10/1000</f>
        <v>2.7429702533826004</v>
      </c>
      <c r="T29" s="42">
        <f>IF(T4&lt;opening,0,1)*Absenteeism!$D$23*T7*T9*T11*T12*T10/1000</f>
        <v>2.7101407422581776</v>
      </c>
      <c r="U29" s="42">
        <f>IF(U4&lt;opening,0,1)*Absenteeism!$D$23*U7*U9*U11*U12*U10/1000</f>
        <v>2.6777041543888802</v>
      </c>
      <c r="V29" s="42">
        <f>IF(V4&lt;opening,0,1)*Absenteeism!$D$23*V7*V9*V11*V12*V10/1000</f>
        <v>2.645655787033816</v>
      </c>
      <c r="W29" s="42">
        <f>IF(W4&lt;opening,0,1)*Absenteeism!$D$23*W7*W9*W11*W12*W10/1000</f>
        <v>2.6139909937373123</v>
      </c>
      <c r="X29" s="42">
        <f>IF(X4&lt;opening,0,1)*Absenteeism!$D$23*X7*X9*X11*X12*X10/1000</f>
        <v>2.5827051836552632</v>
      </c>
      <c r="Y29" s="42">
        <f>IF(Y4&lt;opening,0,1)*Absenteeism!$D$23*Y7*Y9*Y11*Y12*Y10/1000</f>
        <v>2.5517938208895345</v>
      </c>
      <c r="Z29" s="42">
        <f>IF(Z4&lt;opening,0,1)*Absenteeism!$D$23*Z7*Z9*Z11*Z12*Z10/1000</f>
        <v>2.5212524238303371</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403.19086103554531</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4.8369986742914106</v>
      </c>
      <c r="H30" s="532">
        <f t="shared" si="34"/>
        <v>9.6025146095538858</v>
      </c>
      <c r="I30" s="532">
        <f t="shared" si="34"/>
        <v>14.297340102155973</v>
      </c>
      <c r="J30" s="532">
        <f t="shared" si="34"/>
        <v>18.922259642590671</v>
      </c>
      <c r="K30" s="532">
        <f t="shared" si="34"/>
        <v>23.478049987574014</v>
      </c>
      <c r="L30" s="532">
        <f t="shared" si="34"/>
        <v>23.304566859587016</v>
      </c>
      <c r="M30" s="532">
        <f t="shared" si="34"/>
        <v>23.13236562663441</v>
      </c>
      <c r="N30" s="532">
        <f t="shared" si="34"/>
        <v>22.961436816585401</v>
      </c>
      <c r="O30" s="532">
        <f t="shared" si="34"/>
        <v>22.791771027300285</v>
      </c>
      <c r="P30" s="532">
        <f t="shared" si="34"/>
        <v>22.623358926113337</v>
      </c>
      <c r="Q30" s="532">
        <f t="shared" si="34"/>
        <v>22.456191249319403</v>
      </c>
      <c r="R30" s="532">
        <f t="shared" si="34"/>
        <v>22.29025880166434</v>
      </c>
      <c r="S30" s="532">
        <f t="shared" si="34"/>
        <v>22.125552455839237</v>
      </c>
      <c r="T30" s="532">
        <f>IF(T4&lt;opening,0,1)*T8*T9*T11*T12*T13*(VoL*YLLsC + VoL*YLLsP)/1000</f>
        <v>21.962063151978356</v>
      </c>
      <c r="U30" s="532">
        <f t="shared" si="34"/>
        <v>21.799781897160791</v>
      </c>
      <c r="V30" s="532">
        <f t="shared" si="34"/>
        <v>21.638699764915771</v>
      </c>
      <c r="W30" s="532">
        <f t="shared" si="34"/>
        <v>21.478807894731659</v>
      </c>
      <c r="X30" s="532">
        <f t="shared" si="34"/>
        <v>21.320097491568621</v>
      </c>
      <c r="Y30" s="532">
        <f t="shared" si="34"/>
        <v>21.162559825374775</v>
      </c>
      <c r="Z30" s="532">
        <f t="shared" si="34"/>
        <v>21.006186230605994</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39.314328053494854</v>
      </c>
      <c r="F4" s="41"/>
      <c r="G4" s="104"/>
      <c r="H4" s="435" t="s">
        <v>16711</v>
      </c>
      <c r="I4" s="192">
        <f>SUM(E4:E9,E14)</f>
        <v>47.05149187537738</v>
      </c>
      <c r="J4" s="436">
        <f>IFERROR(I4/SUM($I$4:$I$6),0)</f>
        <v>9.28193645351785E-2</v>
      </c>
      <c r="K4" s="41"/>
      <c r="L4" s="41"/>
      <c r="M4" s="41"/>
      <c r="N4" s="41"/>
      <c r="O4" s="41"/>
    </row>
    <row r="5" spans="1:15">
      <c r="A5" s="41"/>
      <c r="B5" s="674" t="s">
        <v>16712</v>
      </c>
      <c r="C5" s="675"/>
      <c r="D5" s="675"/>
      <c r="E5" s="124">
        <f>Discounting!B20</f>
        <v>0.21571602902684445</v>
      </c>
      <c r="F5" s="41"/>
      <c r="G5" s="104"/>
      <c r="H5" s="107" t="s">
        <v>16713</v>
      </c>
      <c r="I5" s="124">
        <f>E10+E11</f>
        <v>459.86311706427853</v>
      </c>
      <c r="J5" s="430">
        <f>IFERROR(I5/SUM($I$4:$I$6),0)</f>
        <v>0.90718063546482142</v>
      </c>
      <c r="K5" s="41"/>
      <c r="L5" s="41"/>
      <c r="M5" s="41"/>
      <c r="N5" s="41"/>
      <c r="O5" s="41"/>
    </row>
    <row r="6" spans="1:15">
      <c r="A6" s="41"/>
      <c r="B6" s="674" t="s">
        <v>16441</v>
      </c>
      <c r="C6" s="675"/>
      <c r="D6" s="675"/>
      <c r="E6" s="124">
        <f>Discounting!B21</f>
        <v>6.6280629920895295</v>
      </c>
      <c r="F6" s="41"/>
      <c r="G6" s="104"/>
      <c r="H6" s="107" t="s">
        <v>16714</v>
      </c>
      <c r="I6" s="124">
        <f>E12</f>
        <v>0</v>
      </c>
      <c r="J6" s="430">
        <f>IFERROR(I6/SUM($I$4:$I$6),0)</f>
        <v>0</v>
      </c>
      <c r="K6" s="41"/>
      <c r="L6" s="41"/>
      <c r="M6" s="41"/>
      <c r="N6" s="41"/>
      <c r="O6" s="41"/>
    </row>
    <row r="7" spans="1:15">
      <c r="A7" s="41"/>
      <c r="B7" s="674" t="s">
        <v>16715</v>
      </c>
      <c r="C7" s="675"/>
      <c r="D7" s="675"/>
      <c r="E7" s="124">
        <f>Discounting!B22</f>
        <v>0.87695921771103946</v>
      </c>
      <c r="F7" s="41"/>
      <c r="G7" s="104"/>
      <c r="H7" s="41"/>
      <c r="I7" s="41"/>
      <c r="J7" s="413"/>
      <c r="K7" s="41"/>
      <c r="L7" s="41"/>
      <c r="M7" s="41"/>
      <c r="N7" s="41"/>
      <c r="O7" s="41"/>
    </row>
    <row r="8" spans="1:15">
      <c r="A8" s="41"/>
      <c r="B8" s="674" t="s">
        <v>16443</v>
      </c>
      <c r="C8" s="675"/>
      <c r="D8" s="675"/>
      <c r="E8" s="124">
        <f>Discounting!B23</f>
        <v>0.44187086613930204</v>
      </c>
      <c r="F8" s="41"/>
      <c r="G8" s="104"/>
      <c r="H8" s="41"/>
      <c r="I8" s="41"/>
      <c r="J8" s="413"/>
      <c r="K8" s="41"/>
      <c r="L8" s="41"/>
      <c r="M8" s="41"/>
      <c r="N8" s="41"/>
      <c r="O8" s="41"/>
    </row>
    <row r="9" spans="1:15">
      <c r="A9" s="41"/>
      <c r="B9" s="674" t="s">
        <v>16716</v>
      </c>
      <c r="C9" s="675"/>
      <c r="D9" s="675"/>
      <c r="E9" s="124">
        <f>Discounting!B24</f>
        <v>2.7721023058849732</v>
      </c>
      <c r="F9" s="41"/>
      <c r="G9" s="104"/>
      <c r="H9" s="41"/>
      <c r="I9" s="41"/>
      <c r="J9" s="413"/>
      <c r="K9" s="41"/>
      <c r="L9" s="41"/>
      <c r="M9" s="41"/>
      <c r="N9" s="41"/>
      <c r="O9" s="41"/>
    </row>
    <row r="10" spans="1:15">
      <c r="A10" s="41"/>
      <c r="B10" s="678" t="s">
        <v>16704</v>
      </c>
      <c r="C10" s="679"/>
      <c r="D10" s="679"/>
      <c r="E10" s="124">
        <f>Discounting!B30</f>
        <v>403.19086103554531</v>
      </c>
      <c r="F10" s="41"/>
      <c r="G10" s="104"/>
      <c r="H10" s="41"/>
      <c r="I10" s="41"/>
      <c r="J10" s="413"/>
      <c r="K10" s="41"/>
      <c r="L10" s="41"/>
      <c r="M10" s="41"/>
      <c r="N10" s="41"/>
      <c r="O10" s="41"/>
    </row>
    <row r="11" spans="1:15">
      <c r="A11" s="41"/>
      <c r="B11" s="678" t="s">
        <v>75</v>
      </c>
      <c r="C11" s="679"/>
      <c r="D11" s="679"/>
      <c r="E11" s="124">
        <f>_xlfn.IFNA(Discounting!B29, 0)</f>
        <v>56.672256028733194</v>
      </c>
      <c r="F11" s="41"/>
      <c r="G11" s="104"/>
      <c r="H11" s="41"/>
      <c r="I11" s="41"/>
      <c r="J11" s="413"/>
      <c r="K11" s="41"/>
      <c r="L11" s="41"/>
      <c r="M11" s="41"/>
      <c r="N11" s="41"/>
      <c r="O11" s="41"/>
    </row>
    <row r="12" spans="1:15">
      <c r="A12" s="41"/>
      <c r="B12" s="678" t="s">
        <v>16423</v>
      </c>
      <c r="C12" s="679"/>
      <c r="D12" s="679"/>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-3.197547588969162</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506.69889291062907</v>
      </c>
      <c r="F19" s="41"/>
      <c r="G19" s="104"/>
      <c r="H19" s="41"/>
      <c r="I19" s="41"/>
      <c r="J19" s="413"/>
      <c r="K19" s="41"/>
      <c r="L19" s="41"/>
      <c r="M19" s="41"/>
      <c r="N19" s="41"/>
      <c r="O19" s="41"/>
    </row>
    <row r="20" spans="1:15">
      <c r="A20" s="41"/>
      <c r="B20" s="674" t="s">
        <v>16719</v>
      </c>
      <c r="C20" s="675"/>
      <c r="D20" s="675"/>
      <c r="E20" s="124">
        <f>IFERROR((E15+E16)-E5,0)</f>
        <v>-0.21571602902684445</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-2348.9162821904797</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3.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2023-01-12T10:19:46Z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