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6B8A68DD-8AAD-4B8D-8E19-9ACC83F2223F}" xr6:coauthVersionLast="47" xr6:coauthVersionMax="47" xr10:uidLastSave="{00000000-0000-0000-0000-000000000000}"/>
  <bookViews>
    <workbookView xWindow="330" yWindow="2580" windowWidth="21600" windowHeight="12735"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D15" i="25"/>
  <c r="D8" i="13" s="1"/>
  <c r="D14" i="27"/>
  <c r="J19" i="24"/>
  <c r="I20" i="24"/>
  <c r="E14" i="27"/>
  <c r="D23" i="14"/>
  <c r="H29" i="19" s="1"/>
  <c r="D24" i="25"/>
  <c r="D25" i="25" s="1"/>
  <c r="E28" i="25" s="1"/>
  <c r="I18" i="19" s="1"/>
  <c r="F75" i="27"/>
  <c r="F73" i="27"/>
  <c r="F14" i="27"/>
  <c r="AE18" i="11"/>
  <c r="AF15" i="11"/>
  <c r="I75" i="27"/>
  <c r="F74"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<sst xmlns="http://schemas.openxmlformats.org/spreadsheetml/2006/main" count="55865" uniqueCount="16762">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</sst>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41.655089202614271</c:v>
                </c:pt>
                <c:pt idx="1">
                  <c:v>409.60221736843539</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22" zoomScale="80" zoomScaleNormal="80" workbookViewId="0">
      <selection activeCell="F35" sqref="F35"/>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292</v>
      </c>
      <c r="G33" s="41" t="s">
        <v>16311</v>
      </c>
      <c r="H33" s="311" t="s">
        <v>16758</v>
      </c>
    </row>
    <row r="34" spans="1:69">
      <c r="A34" s="41"/>
      <c r="D34" s="146" t="s">
        <v>16312</v>
      </c>
      <c r="F34" s="383">
        <f>ROUND(F33*1.25,0)</f>
        <v>365</v>
      </c>
      <c r="G34" s="41" t="s">
        <v>16311</v>
      </c>
      <c r="H34" s="311" t="s">
        <v>16759</v>
      </c>
    </row>
    <row r="35" spans="1:69" ht="30.75" thickBot="1">
      <c r="A35" s="41"/>
      <c r="D35" s="146" t="s">
        <v>16313</v>
      </c>
      <c r="F35" s="384">
        <f>0.96/5.14</f>
        <v>0.1867704280155642</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28</v>
      </c>
      <c r="G46" s="41" t="s">
        <v>16311</v>
      </c>
      <c r="H46" s="311"/>
    </row>
    <row r="47" spans="1:69">
      <c r="A47" s="41"/>
      <c r="D47" s="146" t="s">
        <v>16312</v>
      </c>
      <c r="F47" s="536">
        <f>ROUND(F46*1.1,0)</f>
        <v>31</v>
      </c>
      <c r="G47" s="41" t="s">
        <v>16311</v>
      </c>
      <c r="H47" s="311"/>
    </row>
    <row r="48" spans="1:69" ht="15.75" thickBot="1">
      <c r="A48" s="41"/>
      <c r="D48" s="146" t="s">
        <v>16320</v>
      </c>
      <c r="F48" s="537">
        <f>0.96/1.1</f>
        <v>0.87272727272727257</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292</v>
      </c>
      <c r="E28" s="108" t="s">
        <v>16311</v>
      </c>
    </row>
    <row r="29" spans="2:8">
      <c r="C29" s="108" t="s">
        <v>16409</v>
      </c>
      <c r="D29" s="367">
        <f>'User Interface Intervention'!F34</f>
        <v>365</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0.1867704280155642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28</v>
      </c>
      <c r="E50" s="242" t="s">
        <v>16311</v>
      </c>
    </row>
    <row r="51" spans="2:6">
      <c r="C51" s="108" t="s">
        <v>16409</v>
      </c>
      <c r="D51" s="367">
        <f>'User Interface Intervention'!F47</f>
        <v>31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0.87272727272727257</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292</v>
      </c>
      <c r="E4" s="120">
        <f>useP</f>
        <v>28</v>
      </c>
      <c r="F4" s="108"/>
    </row>
    <row r="5" spans="1:6">
      <c r="C5" s="120" t="s">
        <v>16598</v>
      </c>
      <c r="D5" s="122">
        <f>use_new</f>
        <v>365</v>
      </c>
      <c r="E5" s="122">
        <f>use_newP</f>
        <v>31</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73</v>
      </c>
      <c r="E12" s="123">
        <f>use_newP-useP</f>
        <v>3</v>
      </c>
    </row>
    <row r="13" spans="1:6">
      <c r="C13" s="123" t="s">
        <v>16603</v>
      </c>
      <c r="D13" s="167">
        <f>D12/(1+return)</f>
        <v>38.421052631578952</v>
      </c>
      <c r="E13" s="167">
        <f>E12/(1+return)</f>
        <v>1.5789473684210527</v>
      </c>
    </row>
    <row r="14" spans="1:6">
      <c r="C14" s="123" t="s">
        <v>16604</v>
      </c>
      <c r="D14" s="123">
        <f>use_new-D12</f>
        <v>292</v>
      </c>
      <c r="E14" s="123">
        <f>use_newP-E12</f>
        <v>28</v>
      </c>
    </row>
    <row r="15" spans="1:6">
      <c r="C15" s="123" t="s">
        <v>16605</v>
      </c>
      <c r="D15" s="123">
        <f>D14/(1+return)</f>
        <v>153.68421052631581</v>
      </c>
      <c r="E15" s="123">
        <f>E14/(1+return)</f>
        <v>14.736842105263159</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89389.959999999992</v>
      </c>
      <c r="E23" s="107">
        <f>E7*E12*scheme_days</f>
        <v>834.90000000000009</v>
      </c>
      <c r="F23" s="41" t="s">
        <v>16611</v>
      </c>
    </row>
    <row r="24" spans="2:6">
      <c r="C24" s="125" t="s">
        <v>16612</v>
      </c>
      <c r="D24" s="107">
        <f>D23*car_share</f>
        <v>21453.590399999997</v>
      </c>
      <c r="E24" s="107">
        <f>E23*car_shareP</f>
        <v>200.376</v>
      </c>
    </row>
    <row r="25" spans="2:6">
      <c r="C25" s="125" t="s">
        <v>16613</v>
      </c>
      <c r="D25" s="107">
        <f>D24/'Input Summary'!D86</f>
        <v>13408.493999999997</v>
      </c>
      <c r="E25" s="107">
        <f>E24/'Input Summary'!D86</f>
        <v>125.235</v>
      </c>
    </row>
    <row r="26" spans="2:6" ht="15.75">
      <c r="C26" s="123" t="s">
        <v>16614</v>
      </c>
      <c r="D26" s="167">
        <f>D23*'Input Summary'!D34</f>
        <v>5363.3975999999993</v>
      </c>
      <c r="E26" s="167">
        <f>E23*'Input Summary'!D56</f>
        <v>50.094000000000001</v>
      </c>
      <c r="F26" s="105"/>
    </row>
    <row r="27" spans="2:6">
      <c r="C27" s="123" t="s">
        <v>16615</v>
      </c>
      <c r="D27" s="167">
        <f>D26/'Input Summary'!D87</f>
        <v>2234.7489999999998</v>
      </c>
      <c r="E27" s="167">
        <f>E26/'Input Summary'!D87</f>
        <v>20.872500000000002</v>
      </c>
    </row>
    <row r="28" spans="2:6" ht="15.75">
      <c r="B28" s="105" t="s">
        <v>16616</v>
      </c>
      <c r="C28" s="125" t="s">
        <v>16617</v>
      </c>
      <c r="D28" s="126"/>
      <c r="E28" s="127">
        <f>SUM(D25:E25,D27:E27)</f>
        <v>15789.350499999997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38.421052631578952</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27.717255103999992</v>
      </c>
      <c r="E19" s="446">
        <f>E18*E4</f>
        <v>0.77663541698630134</v>
      </c>
      <c r="G19" s="301"/>
      <c r="H19" s="42"/>
    </row>
    <row r="20" spans="2:8">
      <c r="C20" s="134" t="s">
        <v>16638</v>
      </c>
      <c r="D20" s="140">
        <f>'TAG VoT'!F21*D10</f>
        <v>144.50209275358495</v>
      </c>
      <c r="E20" s="140">
        <f>'TAG VoT'!$F$21*E10</f>
        <v>144.50209275358495</v>
      </c>
    </row>
    <row r="21" spans="2:8">
      <c r="C21" s="134" t="s">
        <v>16639</v>
      </c>
      <c r="D21" s="141">
        <f>D19*D20</f>
        <v>4005.2013679129827</v>
      </c>
      <c r="E21" s="142">
        <f>E19*E20</f>
        <v>112.22544306107363</v>
      </c>
    </row>
    <row r="22" spans="2:8">
      <c r="C22" s="138"/>
      <c r="D22" s="149"/>
      <c r="E22" s="143"/>
    </row>
    <row r="23" spans="2:8" ht="15.75">
      <c r="C23" s="144" t="s">
        <v>16523</v>
      </c>
      <c r="D23" s="145">
        <f>D21+E21</f>
        <v>4117.426810974056</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38.421052631578952</v>
      </c>
      <c r="E7" s="500">
        <f>'General Calculations'!E13</f>
        <v>1.5789473684210527</v>
      </c>
      <c r="F7" s="492"/>
    </row>
    <row r="8" spans="1:6">
      <c r="A8" s="492"/>
      <c r="B8" s="492"/>
      <c r="C8" s="109" t="s">
        <v>16644</v>
      </c>
      <c r="D8" s="499">
        <f>'General Calculations'!D15</f>
        <v>153.68421052631581</v>
      </c>
      <c r="E8" s="500">
        <f>'General Calculations'!E15</f>
        <v>14.736842105263159</v>
      </c>
      <c r="F8" s="492"/>
    </row>
    <row r="9" spans="1:6">
      <c r="A9" s="492"/>
      <c r="B9" s="492"/>
      <c r="C9" s="109" t="s">
        <v>16645</v>
      </c>
      <c r="D9" s="499">
        <f>'General Calculations'!D12</f>
        <v>73</v>
      </c>
      <c r="E9" s="500">
        <f>'General Calculations'!E12</f>
        <v>3</v>
      </c>
      <c r="F9" s="492"/>
    </row>
    <row r="10" spans="1:6">
      <c r="A10" s="492"/>
      <c r="B10" s="492"/>
      <c r="C10" s="151" t="s">
        <v>16646</v>
      </c>
      <c r="D10" s="502">
        <f>'General Calculations'!D14</f>
        <v>292</v>
      </c>
      <c r="E10" s="527">
        <f>'General Calculations'!E14</f>
        <v>28</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0.1867704280155642</v>
      </c>
      <c r="E13" s="503">
        <f>'Input Summary'!D58</f>
        <v>0.87272727272727257</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0.90396887159533068</v>
      </c>
      <c r="E25" s="508">
        <f>E5*E13</f>
        <v>0.95999999999999985</v>
      </c>
      <c r="F25" s="131" t="s">
        <v>16641</v>
      </c>
      <c r="G25" s="131"/>
      <c r="H25" s="131"/>
    </row>
    <row r="26" spans="1:8">
      <c r="A26" s="492"/>
      <c r="B26" s="492"/>
      <c r="C26" s="109" t="s">
        <v>16657</v>
      </c>
      <c r="D26" s="499">
        <f>60*D25/speed</f>
        <v>3.6158754863813227</v>
      </c>
      <c r="E26" s="499">
        <f>60*E25/speedP</f>
        <v>11.52</v>
      </c>
      <c r="F26" s="492" t="s">
        <v>16658</v>
      </c>
      <c r="G26" s="131"/>
      <c r="H26" s="131"/>
    </row>
    <row r="27" spans="1:8">
      <c r="A27" s="492"/>
      <c r="B27" s="492"/>
      <c r="C27" s="151" t="s">
        <v>16659</v>
      </c>
      <c r="D27" s="502">
        <f>D26*scheme_days</f>
        <v>914.81649805447466</v>
      </c>
      <c r="E27" s="502">
        <f>E26*scheme_days</f>
        <v>2914.56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38.421052631578952</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6.1473684210526329</v>
      </c>
      <c r="E9" s="299">
        <f>'General Calculations'!$D$13*'Health Assumptions'!E25</f>
        <v>1.5368421052631582</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14.984210526315792</v>
      </c>
      <c r="E10" s="299">
        <f>'General Calculations'!$D$13*'Health Assumptions'!E26</f>
        <v>6.1473684210526329</v>
      </c>
      <c r="F10" s="300">
        <f>'General Calculations'!$E$13*'Health Assumptions'!F26</f>
        <v>0.26842105263157895</v>
      </c>
      <c r="G10" s="167">
        <f>'General Calculations'!$E$13*'Health Assumptions'!G26</f>
        <v>0.37894736842105264</v>
      </c>
    </row>
    <row r="11" spans="1:7">
      <c r="C11" s="125" t="s">
        <v>16584</v>
      </c>
      <c r="D11" s="167">
        <f>'General Calculations'!$D$13*'Health Assumptions'!D27</f>
        <v>4.9947368421052643</v>
      </c>
      <c r="E11" s="299">
        <f>'General Calculations'!$D$13*'Health Assumptions'!E27</f>
        <v>1.9210526315789478</v>
      </c>
      <c r="F11" s="300">
        <f>'General Calculations'!$E$13*'Health Assumptions'!F27</f>
        <v>0.11052631578947369</v>
      </c>
      <c r="G11" s="167">
        <f>'General Calculations'!$E$13*'Health Assumptions'!G27</f>
        <v>0.14210526315789473</v>
      </c>
    </row>
    <row r="12" spans="1:7">
      <c r="C12" s="125" t="s">
        <v>16585</v>
      </c>
      <c r="D12" s="167">
        <f>'General Calculations'!$D$13*'Health Assumptions'!D28</f>
        <v>1.9210526315789478</v>
      </c>
      <c r="E12" s="299">
        <f>'General Calculations'!$D$13*'Health Assumptions'!E28</f>
        <v>0.38421052631578956</v>
      </c>
      <c r="F12" s="300">
        <f>'General Calculations'!$E$13*'Health Assumptions'!F28</f>
        <v>7.8947368421052641E-2</v>
      </c>
      <c r="G12" s="167">
        <f>'General Calculations'!$E$13*'Health Assumptions'!G28</f>
        <v>7.8947368421052641E-2</v>
      </c>
    </row>
    <row r="13" spans="1:7">
      <c r="C13" s="125" t="s">
        <v>16586</v>
      </c>
      <c r="D13" s="167">
        <f>'General Calculations'!$D$13*'Health Assumptions'!D29</f>
        <v>0.38421052631578956</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28.431578947368429</v>
      </c>
      <c r="E14" s="299">
        <f>SUM(E9:E13)</f>
        <v>9.9894736842105303</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3.7850674022445294E-3</v>
      </c>
      <c r="E72" s="124">
        <f>E64*'Health Assumptions'!E60*E10</f>
        <v>8.0186201835055532E-4</v>
      </c>
      <c r="F72" s="162">
        <f>SUM(D72:E72)</f>
        <v>4.5869294205950848E-3</v>
      </c>
      <c r="G72" s="124">
        <f>F64*'Health Assumptions'!D60*F10</f>
        <v>2.3524747822603488E-5</v>
      </c>
      <c r="H72" s="124">
        <f>G64*'Health Assumptions'!E60*G10</f>
        <v>1.9090342759836842E-5</v>
      </c>
      <c r="I72" s="124">
        <f>SUM(G72:H72)</f>
        <v>4.261509058244033E-5</v>
      </c>
    </row>
    <row r="73" spans="2:12">
      <c r="C73" s="125" t="s">
        <v>16584</v>
      </c>
      <c r="D73" s="124">
        <f>D65*'Health Assumptions'!D61*D11</f>
        <v>7.1253631486537534E-3</v>
      </c>
      <c r="E73" s="124">
        <f>E65*'Health Assumptions'!E61*E11</f>
        <v>1.4155738386622766E-3</v>
      </c>
      <c r="F73" s="162">
        <f>SUM(D73:E73)</f>
        <v>8.54093698731603E-3</v>
      </c>
      <c r="G73" s="124">
        <f>F65*'Health Assumptions'!D61*F11</f>
        <v>5.4944990455383828E-5</v>
      </c>
      <c r="H73" s="124">
        <f>G65*'Health Assumptions'!E61*G11</f>
        <v>4.7700308444925275E-5</v>
      </c>
      <c r="I73" s="124">
        <f>SUM(G73:H73)</f>
        <v>1.026452989003091E-4</v>
      </c>
    </row>
    <row r="74" spans="2:12">
      <c r="C74" s="125" t="s">
        <v>16585</v>
      </c>
      <c r="D74" s="124">
        <f>D66*'Health Assumptions'!D62*D12</f>
        <v>9.2908320003226592E-3</v>
      </c>
      <c r="E74" s="124">
        <f>E66*'Health Assumptions'!E62*E12</f>
        <v>9.8929276753915519E-4</v>
      </c>
      <c r="F74" s="162">
        <f>SUM(D74:E74)</f>
        <v>1.0280124767861814E-2</v>
      </c>
      <c r="G74" s="124">
        <f>F66*'Health Assumptions'!D62*F12</f>
        <v>1.5557924332934998E-4</v>
      </c>
      <c r="H74" s="124">
        <f>G66*'Health Assumptions'!E62*G12</f>
        <v>1.0425020471319693E-4</v>
      </c>
      <c r="I74" s="124">
        <f>SUM(G74:H74)</f>
        <v>2.5982944804254691E-4</v>
      </c>
    </row>
    <row r="75" spans="2:12">
      <c r="C75" s="125" t="s">
        <v>16586</v>
      </c>
      <c r="D75" s="124">
        <f>D67*'Health Assumptions'!D63*D13</f>
        <v>6.1349541694396027E-3</v>
      </c>
      <c r="E75" s="124">
        <f>E67*'Health Assumptions'!E63*E13</f>
        <v>0</v>
      </c>
      <c r="F75" s="162">
        <f>SUM(D75:E75)</f>
        <v>6.1349541694396027E-3</v>
      </c>
      <c r="G75" s="124">
        <f>F67*'Health Assumptions'!D63*F13</f>
        <v>1.4095138601901837E-4</v>
      </c>
      <c r="H75" s="124">
        <f>G67*'Health Assumptions'!E63*G13</f>
        <v>1.1207577002256147E-4</v>
      </c>
      <c r="I75" s="124">
        <f>SUM(G75:H75)</f>
        <v>2.5302715604157985E-4</v>
      </c>
    </row>
    <row r="76" spans="2:12">
      <c r="C76" s="125" t="s">
        <v>16683</v>
      </c>
      <c r="D76" s="124">
        <f t="shared" ref="D76:I76" si="2">SUM(D71:D75)</f>
        <v>2.6336216720660544E-2</v>
      </c>
      <c r="E76" s="124">
        <f t="shared" si="2"/>
        <v>3.2067286245519872E-3</v>
      </c>
      <c r="F76" s="162">
        <f t="shared" si="2"/>
        <v>2.954294534521253E-2</v>
      </c>
      <c r="G76" s="124">
        <f t="shared" si="2"/>
        <v>3.7500036762635569E-4</v>
      </c>
      <c r="H76" s="124">
        <f t="shared" si="2"/>
        <v>2.8311662594052048E-4</v>
      </c>
      <c r="I76" s="124">
        <f t="shared" si="2"/>
        <v>6.5811699356687616E-4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0.13187908846642643</v>
      </c>
      <c r="E82" s="124">
        <f>E72*'Health Assumptions'!E93</f>
        <v>2.7493758196799129E-2</v>
      </c>
      <c r="F82" s="162">
        <f>SUM(D82:E82)</f>
        <v>0.15937284666322557</v>
      </c>
      <c r="G82" s="124">
        <f>G72*'Health Assumptions'!D68</f>
        <v>8.1964783438407849E-4</v>
      </c>
      <c r="H82" s="124">
        <f>H72*'Health Assumptions'!E68</f>
        <v>6.54558085707347E-4</v>
      </c>
      <c r="I82" s="124">
        <f>SUM(G82:H82)</f>
        <v>1.4742059200914255E-3</v>
      </c>
    </row>
    <row r="83" spans="3:11">
      <c r="C83" s="125" t="s">
        <v>16584</v>
      </c>
      <c r="D83" s="124">
        <f>D73*'Health Assumptions'!D94</f>
        <v>0.16906147288378565</v>
      </c>
      <c r="E83" s="124">
        <f>E73*'Health Assumptions'!E94</f>
        <v>3.3586919451988231E-2</v>
      </c>
      <c r="F83" s="162">
        <f>SUM(D83:E83)</f>
        <v>0.20264839233577386</v>
      </c>
      <c r="G83" s="124">
        <f>G73*'Health Assumptions'!D69</f>
        <v>1.303664223167038E-3</v>
      </c>
      <c r="H83" s="124">
        <f>H73*'Health Assumptions'!E69</f>
        <v>1.1317717054510534E-3</v>
      </c>
      <c r="I83" s="124">
        <f>SUM(G83:H83)</f>
        <v>2.4354359286180914E-3</v>
      </c>
    </row>
    <row r="84" spans="3:11">
      <c r="C84" s="125" t="s">
        <v>16585</v>
      </c>
      <c r="D84" s="124">
        <f>D74*'Health Assumptions'!D95</f>
        <v>0.14058203219770835</v>
      </c>
      <c r="E84" s="124">
        <f>E74*'Health Assumptions'!E95</f>
        <v>1.4189656675977207E-2</v>
      </c>
      <c r="F84" s="162">
        <f>SUM(D84:E84)</f>
        <v>0.15477168887368556</v>
      </c>
      <c r="G84" s="124">
        <f>G74*'Health Assumptions'!D70</f>
        <v>2.3541106107894541E-3</v>
      </c>
      <c r="H84" s="124">
        <f>H74*'Health Assumptions'!E70</f>
        <v>1.4952849771259014E-3</v>
      </c>
      <c r="I84" s="124">
        <f>SUM(G84:H84)</f>
        <v>3.8493955879153555E-3</v>
      </c>
    </row>
    <row r="85" spans="3:11">
      <c r="C85" s="125" t="s">
        <v>16586</v>
      </c>
      <c r="D85" s="124">
        <f>D75*'Health Assumptions'!D96</f>
        <v>3.5476261887233823E-2</v>
      </c>
      <c r="E85" s="124">
        <f>E75*'Health Assumptions'!E96</f>
        <v>0</v>
      </c>
      <c r="F85" s="162">
        <f>SUM(D85:E85)</f>
        <v>3.5476261887233823E-2</v>
      </c>
      <c r="G85" s="124">
        <f>G75*'Health Assumptions'!D71</f>
        <v>8.1507182379425135E-4</v>
      </c>
      <c r="H85" s="124">
        <f>H75*'Health Assumptions'!E71</f>
        <v>6.4809438811129223E-4</v>
      </c>
      <c r="I85" s="124">
        <f>SUM(G85:H85)</f>
        <v>1.4631662119055436E-3</v>
      </c>
    </row>
    <row r="86" spans="3:11">
      <c r="C86" s="125" t="s">
        <v>16683</v>
      </c>
      <c r="D86" s="124">
        <f t="shared" ref="D86:I86" si="3">SUM(D81:D85)</f>
        <v>0.4769988554351543</v>
      </c>
      <c r="E86" s="124">
        <f t="shared" si="3"/>
        <v>7.5270334324764571E-2</v>
      </c>
      <c r="F86" s="162">
        <f t="shared" si="3"/>
        <v>0.55226918975991879</v>
      </c>
      <c r="G86" s="124">
        <f t="shared" si="3"/>
        <v>5.2924944921348216E-3</v>
      </c>
      <c r="H86" s="124">
        <f t="shared" si="3"/>
        <v>3.9297091563955944E-3</v>
      </c>
      <c r="I86" s="124">
        <f t="shared" si="3"/>
        <v>9.2222036485304151E-3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15.789350499999998</v>
      </c>
      <c r="H18" s="94">
        <f>IF(H4&lt;opening,0,'General Calculations'!$E$28/1000)</f>
        <v>15.789350499999998</v>
      </c>
      <c r="I18" s="94">
        <f>IF(I4&lt;opening,0,'General Calculations'!$E$28/1000)</f>
        <v>15.789350499999998</v>
      </c>
      <c r="J18" s="94">
        <f>IF(J4&lt;opening,0,'General Calculations'!$E$28/1000)</f>
        <v>15.789350499999998</v>
      </c>
      <c r="K18" s="94">
        <f>IF(K4&lt;opening,0,'General Calculations'!$E$28/1000)</f>
        <v>15.789350499999998</v>
      </c>
      <c r="L18" s="94">
        <f>IF(L4&lt;opening,0,'General Calculations'!$E$28/1000)</f>
        <v>15.789350499999998</v>
      </c>
      <c r="M18" s="94">
        <f>IF(M4&lt;opening,0,'General Calculations'!$E$28/1000)</f>
        <v>15.789350499999998</v>
      </c>
      <c r="N18" s="94">
        <f>IF(N4&lt;opening,0,'General Calculations'!$E$28/1000)</f>
        <v>15.789350499999998</v>
      </c>
      <c r="O18" s="94">
        <f>IF(O4&lt;opening,0,'General Calculations'!$E$28/1000)</f>
        <v>15.789350499999998</v>
      </c>
      <c r="P18" s="94">
        <f>IF(P4&lt;opening,0,'General Calculations'!$E$28/1000)</f>
        <v>15.789350499999998</v>
      </c>
      <c r="Q18" s="94">
        <f>IF(Q4&lt;opening,0,'General Calculations'!$E$28/1000)</f>
        <v>15.789350499999998</v>
      </c>
      <c r="R18" s="94">
        <f>IF(R4&lt;opening,0,'General Calculations'!$E$28/1000)</f>
        <v>15.789350499999998</v>
      </c>
      <c r="S18" s="94">
        <f>IF(S4&lt;opening,0,'General Calculations'!$E$28/1000)</f>
        <v>15.789350499999998</v>
      </c>
      <c r="T18" s="94">
        <f>IF(T4&lt;opening,0,'General Calculations'!$E$28/1000)</f>
        <v>15.789350499999998</v>
      </c>
      <c r="U18" s="94">
        <f>IF(U4&lt;opening,0,'General Calculations'!$E$28/1000)</f>
        <v>15.789350499999998</v>
      </c>
      <c r="V18" s="94">
        <f>IF(V4&lt;opening,0,'General Calculations'!$E$28/1000)</f>
        <v>15.789350499999998</v>
      </c>
      <c r="W18" s="94">
        <f>IF(W4&lt;opening,0,'General Calculations'!$E$28/1000)</f>
        <v>15.789350499999998</v>
      </c>
      <c r="X18" s="94">
        <f>IF(X4&lt;opening,0,'General Calculations'!$E$28/1000)</f>
        <v>15.789350499999998</v>
      </c>
      <c r="Y18" s="94">
        <f>IF(Y4&lt;opening,0,'General Calculations'!$E$28/1000)</f>
        <v>15.789350499999998</v>
      </c>
      <c r="Z18" s="94">
        <f>IF(Z4&lt;opening,0,'General Calculations'!$E$28/1000)</f>
        <v>15.789350499999998</v>
      </c>
      <c r="AA18" s="94">
        <f>IF(AA4&lt;opening,0,'General Calculations'!$E$28/1000)</f>
        <v>15.789350499999998</v>
      </c>
      <c r="AB18" s="94">
        <f>IF(AB4&lt;opening,0,'General Calculations'!$E$28/1000)</f>
        <v>15.789350499999998</v>
      </c>
      <c r="AC18" s="94">
        <f>IF(AC4&lt;opening,0,'General Calculations'!$E$28/1000)</f>
        <v>15.789350499999998</v>
      </c>
      <c r="AD18" s="94">
        <f>IF(AD4&lt;opening,0,'General Calculations'!$E$28/1000)</f>
        <v>15.789350499999998</v>
      </c>
      <c r="AE18" s="94">
        <f>IF(AE4&lt;opening,0,'General Calculations'!$E$28/1000)</f>
        <v>15.789350499999998</v>
      </c>
      <c r="AF18" s="94">
        <f>IF(AF4&lt;opening,0,'General Calculations'!$E$28/1000)</f>
        <v>15.789350499999998</v>
      </c>
      <c r="AG18" s="94">
        <f>IF(AG4&lt;opening,0,'General Calculations'!$E$28/1000)</f>
        <v>15.789350499999998</v>
      </c>
      <c r="AH18" s="94">
        <f>IF(AH4&lt;opening,0,'General Calculations'!$E$28/1000)</f>
        <v>15.789350499999998</v>
      </c>
      <c r="AI18" s="94">
        <f>IF(AI4&lt;opening,0,'General Calculations'!$E$28/1000)</f>
        <v>15.789350499999998</v>
      </c>
      <c r="AJ18" s="94">
        <f>IF(AJ4&lt;opening,0,'General Calculations'!$E$28/1000)</f>
        <v>15.789350499999998</v>
      </c>
      <c r="AK18" s="94">
        <f>IF(AK4&lt;opening,0,'General Calculations'!$E$28/1000)</f>
        <v>15.789350499999998</v>
      </c>
      <c r="AL18" s="94">
        <f>IF(AL4&lt;opening,0,'General Calculations'!$E$28/1000)</f>
        <v>15.789350499999998</v>
      </c>
      <c r="AM18" s="94">
        <f>IF(AM4&lt;opening,0,'General Calculations'!$E$28/1000)</f>
        <v>15.789350499999998</v>
      </c>
      <c r="AN18" s="94">
        <f>IF(AN4&lt;opening,0,'General Calculations'!$E$28/1000)</f>
        <v>15.789350499999998</v>
      </c>
      <c r="AO18" s="94">
        <f>IF(AO4&lt;opening,0,'General Calculations'!$E$28/1000)</f>
        <v>15.789350499999998</v>
      </c>
      <c r="AP18" s="94">
        <f>IF(AP4&lt;opening,0,'General Calculations'!$E$28/1000)</f>
        <v>15.789350499999998</v>
      </c>
      <c r="AQ18" s="94">
        <f>IF(AQ4&lt;opening,0,'General Calculations'!$E$28/1000)</f>
        <v>15.789350499999998</v>
      </c>
      <c r="AR18" s="94">
        <f>IF(AR4&lt;opening,0,'General Calculations'!$E$28/1000)</f>
        <v>15.789350499999998</v>
      </c>
      <c r="AS18" s="94">
        <f>IF(AS4&lt;opening,0,'General Calculations'!$E$28/1000)</f>
        <v>15.789350499999998</v>
      </c>
      <c r="AT18" s="94">
        <f>IF(AT4&lt;opening,0,'General Calculations'!$E$28/1000)</f>
        <v>15.789350499999998</v>
      </c>
      <c r="AU18" s="94">
        <f>IF(AU4&lt;opening,0,'General Calculations'!$E$28/1000)</f>
        <v>15.789350499999998</v>
      </c>
      <c r="AV18" s="94">
        <f>IF(AV4&lt;opening,0,'General Calculations'!$E$28/1000)</f>
        <v>15.789350499999998</v>
      </c>
      <c r="AW18" s="94">
        <f>IF(AW4&lt;opening,0,'General Calculations'!$E$28/1000)</f>
        <v>15.789350499999998</v>
      </c>
      <c r="AX18" s="94">
        <f>IF(AX4&lt;opening,0,'General Calculations'!$E$28/1000)</f>
        <v>15.789350499999998</v>
      </c>
      <c r="AY18" s="94">
        <f>IF(AY4&lt;opening,0,'General Calculations'!$E$28/1000)</f>
        <v>15.789350499999998</v>
      </c>
      <c r="AZ18" s="94">
        <f>IF(AZ4&lt;opening,0,'General Calculations'!$E$28/1000)</f>
        <v>15.789350499999998</v>
      </c>
      <c r="BA18" s="94">
        <f>IF(BA4&lt;opening,0,'General Calculations'!$E$28/1000)</f>
        <v>15.789350499999998</v>
      </c>
      <c r="BB18" s="94">
        <f>IF(BB4&lt;opening,0,'General Calculations'!$E$28/1000)</f>
        <v>15.789350499999998</v>
      </c>
      <c r="BC18" s="94">
        <f>IF(BC4&lt;opening,0,'General Calculations'!$E$28/1000)</f>
        <v>15.789350499999998</v>
      </c>
      <c r="BD18" s="94">
        <f>IF(BD4&lt;opening,0,'General Calculations'!$E$28/1000)</f>
        <v>15.789350499999998</v>
      </c>
      <c r="BE18" s="94">
        <f>IF(BE4&lt;opening,0,'General Calculations'!$E$28/1000)</f>
        <v>15.789350499999998</v>
      </c>
      <c r="BF18" s="94">
        <f>IF(BF4&lt;opening,0,'General Calculations'!$E$28/1000)</f>
        <v>15.789350499999998</v>
      </c>
      <c r="BG18" s="94">
        <f>IF(BG4&lt;opening,0,'General Calculations'!$E$28/1000)</f>
        <v>15.789350499999998</v>
      </c>
      <c r="BH18" s="94">
        <f>IF(BH4&lt;opening,0,'General Calculations'!$E$28/1000)</f>
        <v>15.789350499999998</v>
      </c>
      <c r="BI18" s="94">
        <f>IF(BI4&lt;opening,0,'General Calculations'!$E$28/1000)</f>
        <v>15.789350499999998</v>
      </c>
      <c r="BJ18" s="94">
        <f>IF(BJ4&lt;opening,0,'General Calculations'!$E$28/1000)</f>
        <v>15.789350499999998</v>
      </c>
      <c r="BK18" s="94">
        <f>IF(BK4&lt;opening,0,'General Calculations'!$E$28/1000)</f>
        <v>15.789350499999998</v>
      </c>
      <c r="BL18" s="94">
        <f>IF(BL4&lt;opening,0,'General Calculations'!$E$28/1000)</f>
        <v>15.789350499999998</v>
      </c>
      <c r="BM18" s="94">
        <f>IF(BM4&lt;opening,0,'General Calculations'!$E$28/1000)</f>
        <v>15.789350499999998</v>
      </c>
      <c r="BN18" s="376">
        <f>IF(BN4&lt;opening,0,'General Calculations'!$E$28/1000)</f>
        <v>15.789350499999998</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34.805311728408064</v>
      </c>
      <c r="C19" s="42">
        <f>IFERROR(C$18*HLOOKUP(C$4,mecc2,2)/100*C$7*C$9*C$11*C$12,0)</f>
        <v>0</v>
      </c>
      <c r="D19" s="42">
        <f t="shared" ref="D19:AH19" si="19">IFERROR(D$18*HLOOKUP(D$4,mecc2,2)/100*D$7*D$9*D$11*D$12,0)</f>
        <v>0</v>
      </c>
      <c r="E19" s="42">
        <f t="shared" si="19"/>
        <v>0</v>
      </c>
      <c r="F19" s="42">
        <f t="shared" si="19"/>
        <v>0</v>
      </c>
      <c r="G19" s="42">
        <f t="shared" si="19"/>
        <v>1.7641344818942848</v>
      </c>
      <c r="H19" s="42">
        <f t="shared" si="19"/>
        <v>1.7586916171225284</v>
      </c>
      <c r="I19" s="42">
        <f t="shared" si="19"/>
        <v>1.7532655451617665</v>
      </c>
      <c r="J19" s="42">
        <f t="shared" si="19"/>
        <v>1.7478562142013241</v>
      </c>
      <c r="K19" s="42">
        <f t="shared" si="19"/>
        <v>1.7424635725903752</v>
      </c>
      <c r="L19" s="42">
        <f t="shared" si="19"/>
        <v>1.7644269247761073</v>
      </c>
      <c r="M19" s="42">
        <f t="shared" si="19"/>
        <v>1.7866671199597788</v>
      </c>
      <c r="N19" s="42">
        <f t="shared" si="19"/>
        <v>1.809187647683643</v>
      </c>
      <c r="O19" s="42">
        <f t="shared" si="19"/>
        <v>1.8319920414748312</v>
      </c>
      <c r="P19" s="42">
        <f t="shared" si="19"/>
        <v>1.8550838793997719</v>
      </c>
      <c r="Q19" s="42">
        <f t="shared" si="19"/>
        <v>1.818945841995276</v>
      </c>
      <c r="R19" s="42">
        <f t="shared" si="19"/>
        <v>1.7835117931068527</v>
      </c>
      <c r="S19" s="42">
        <f t="shared" si="19"/>
        <v>1.7487680186574142</v>
      </c>
      <c r="T19" s="42">
        <f t="shared" si="19"/>
        <v>1.714701071727512</v>
      </c>
      <c r="U19" s="42">
        <f t="shared" si="19"/>
        <v>1.6812977673509639</v>
      </c>
      <c r="V19" s="42">
        <f t="shared" si="19"/>
        <v>1.6703925372826665</v>
      </c>
      <c r="W19" s="42">
        <f t="shared" si="19"/>
        <v>1.6595580406948691</v>
      </c>
      <c r="X19" s="42">
        <f t="shared" si="19"/>
        <v>1.6487938187962194</v>
      </c>
      <c r="Y19" s="42">
        <f t="shared" si="19"/>
        <v>1.6380994157711739</v>
      </c>
      <c r="Z19" s="42">
        <f t="shared" si="19"/>
        <v>1.6274743787607018</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0.19097525016521838</v>
      </c>
      <c r="C20" s="42">
        <f t="shared" ref="C20:AH20" si="22">IFERROR(C$18*HLOOKUP(C$4,mecc2,3)/100*C$7*C$9*C$11*C$12,0)</f>
        <v>0</v>
      </c>
      <c r="D20" s="42">
        <f t="shared" si="22"/>
        <v>0</v>
      </c>
      <c r="E20" s="42">
        <f t="shared" si="22"/>
        <v>0</v>
      </c>
      <c r="F20" s="42">
        <f t="shared" si="22"/>
        <v>0</v>
      </c>
      <c r="G20" s="42">
        <f t="shared" si="22"/>
        <v>1.0554508952554491E-2</v>
      </c>
      <c r="H20" s="42">
        <f t="shared" si="22"/>
        <v>1.0421242479695312E-2</v>
      </c>
      <c r="I20" s="42">
        <f t="shared" si="22"/>
        <v>1.0289658695520959E-2</v>
      </c>
      <c r="J20" s="42">
        <f t="shared" si="22"/>
        <v>1.015973635356824E-2</v>
      </c>
      <c r="K20" s="42">
        <f t="shared" si="22"/>
        <v>1.0031454475642351E-2</v>
      </c>
      <c r="L20" s="42">
        <f t="shared" si="22"/>
        <v>1.0047546087004072E-2</v>
      </c>
      <c r="M20" s="42">
        <f t="shared" si="22"/>
        <v>1.0063663511168599E-2</v>
      </c>
      <c r="N20" s="42">
        <f t="shared" si="22"/>
        <v>1.0079806789542647E-2</v>
      </c>
      <c r="O20" s="42">
        <f t="shared" si="22"/>
        <v>1.0095975963599348E-2</v>
      </c>
      <c r="P20" s="42">
        <f t="shared" si="22"/>
        <v>1.0112171074878374E-2</v>
      </c>
      <c r="Q20" s="42">
        <f t="shared" si="22"/>
        <v>9.8434902009081771E-3</v>
      </c>
      <c r="R20" s="42">
        <f t="shared" si="22"/>
        <v>9.5819481907391223E-3</v>
      </c>
      <c r="S20" s="42">
        <f t="shared" si="22"/>
        <v>9.3273553644151377E-3</v>
      </c>
      <c r="T20" s="42">
        <f t="shared" si="22"/>
        <v>9.0795270817857487E-3</v>
      </c>
      <c r="U20" s="42">
        <f t="shared" si="22"/>
        <v>8.8382836085982106E-3</v>
      </c>
      <c r="V20" s="42">
        <f t="shared" si="22"/>
        <v>8.7200258061409831E-3</v>
      </c>
      <c r="W20" s="42">
        <f t="shared" si="22"/>
        <v>8.6033503140577235E-3</v>
      </c>
      <c r="X20" s="42">
        <f t="shared" si="22"/>
        <v>8.4882359607549619E-3</v>
      </c>
      <c r="Y20" s="42">
        <f t="shared" si="22"/>
        <v>8.374661857918889E-3</v>
      </c>
      <c r="Z20" s="42">
        <f t="shared" si="22"/>
        <v>8.2626073967250451E-3</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5.8678809995505885</v>
      </c>
      <c r="C21" s="42">
        <f t="shared" ref="C21:AH21" si="24">IFERROR(C$18*HLOOKUP(C$4,mecc2,4)/100*C$7*C$9*C$11*C$12,0)</f>
        <v>0</v>
      </c>
      <c r="D21" s="42">
        <f t="shared" si="24"/>
        <v>0</v>
      </c>
      <c r="E21" s="42">
        <f t="shared" si="24"/>
        <v>0</v>
      </c>
      <c r="F21" s="42">
        <f t="shared" si="24"/>
        <v>0</v>
      </c>
      <c r="G21" s="42">
        <f t="shared" si="24"/>
        <v>0.31984251967813693</v>
      </c>
      <c r="H21" s="42">
        <f t="shared" si="24"/>
        <v>0.31659976189830247</v>
      </c>
      <c r="I21" s="42">
        <f t="shared" si="24"/>
        <v>0.3133898811669269</v>
      </c>
      <c r="J21" s="42">
        <f t="shared" si="24"/>
        <v>0.31021254415651911</v>
      </c>
      <c r="K21" s="42">
        <f t="shared" si="24"/>
        <v>0.3070674209190643</v>
      </c>
      <c r="L21" s="42">
        <f t="shared" si="24"/>
        <v>0.30802107977427057</v>
      </c>
      <c r="M21" s="42">
        <f t="shared" si="24"/>
        <v>0.3089777004064358</v>
      </c>
      <c r="N21" s="42">
        <f t="shared" si="24"/>
        <v>0.30993729201394649</v>
      </c>
      <c r="O21" s="42">
        <f t="shared" si="24"/>
        <v>0.31089986382375645</v>
      </c>
      <c r="P21" s="42">
        <f t="shared" si="24"/>
        <v>0.31186542509147602</v>
      </c>
      <c r="Q21" s="42">
        <f t="shared" si="24"/>
        <v>0.303579145680833</v>
      </c>
      <c r="R21" s="42">
        <f t="shared" si="24"/>
        <v>0.29551303311443411</v>
      </c>
      <c r="S21" s="42">
        <f t="shared" si="24"/>
        <v>0.28766123754859169</v>
      </c>
      <c r="T21" s="42">
        <f t="shared" si="24"/>
        <v>0.28001806457024742</v>
      </c>
      <c r="U21" s="42">
        <f t="shared" si="24"/>
        <v>0.27257797106717335</v>
      </c>
      <c r="V21" s="42">
        <f t="shared" si="24"/>
        <v>0.26910818576574252</v>
      </c>
      <c r="W21" s="42">
        <f t="shared" si="24"/>
        <v>0.26568256914746274</v>
      </c>
      <c r="X21" s="42">
        <f t="shared" si="24"/>
        <v>0.26230055896643073</v>
      </c>
      <c r="Y21" s="42">
        <f t="shared" si="24"/>
        <v>0.25896160013386055</v>
      </c>
      <c r="Z21" s="42">
        <f t="shared" si="24"/>
        <v>0.25566514462697731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0.77637951496974056</v>
      </c>
      <c r="C22" s="42">
        <f t="shared" ref="C22:AH22" si="26">IFERROR(C$18*HLOOKUP(C$4,mecc2,5)/100*C$7*C$9*C$11*C$12,0)</f>
        <v>0</v>
      </c>
      <c r="D22" s="42">
        <f t="shared" si="26"/>
        <v>0</v>
      </c>
      <c r="E22" s="42">
        <f t="shared" si="26"/>
        <v>0</v>
      </c>
      <c r="F22" s="42">
        <f t="shared" si="26"/>
        <v>0</v>
      </c>
      <c r="G22" s="42">
        <f t="shared" si="26"/>
        <v>5.2168934133178316E-2</v>
      </c>
      <c r="H22" s="42">
        <f t="shared" si="26"/>
        <v>4.8475984726882956E-2</v>
      </c>
      <c r="I22" s="42">
        <f t="shared" si="26"/>
        <v>4.5044452877684729E-2</v>
      </c>
      <c r="J22" s="42">
        <f t="shared" si="26"/>
        <v>4.1855833284903894E-2</v>
      </c>
      <c r="K22" s="42">
        <f t="shared" si="26"/>
        <v>3.8892930606369398E-2</v>
      </c>
      <c r="L22" s="42">
        <f t="shared" si="26"/>
        <v>3.9138137424118834E-2</v>
      </c>
      <c r="M22" s="42">
        <f t="shared" si="26"/>
        <v>3.9384890188201814E-2</v>
      </c>
      <c r="N22" s="42">
        <f t="shared" si="26"/>
        <v>3.9633198645288852E-2</v>
      </c>
      <c r="O22" s="42">
        <f t="shared" si="26"/>
        <v>3.9883072603499936E-2</v>
      </c>
      <c r="P22" s="42">
        <f t="shared" si="26"/>
        <v>4.0134521932791989E-2</v>
      </c>
      <c r="Q22" s="42">
        <f t="shared" si="26"/>
        <v>3.9068470072632908E-2</v>
      </c>
      <c r="R22" s="42">
        <f t="shared" si="26"/>
        <v>3.803073464714949E-2</v>
      </c>
      <c r="S22" s="42">
        <f t="shared" si="26"/>
        <v>3.7020563516129132E-2</v>
      </c>
      <c r="T22" s="42">
        <f t="shared" si="26"/>
        <v>3.6037224517682973E-2</v>
      </c>
      <c r="U22" s="42">
        <f t="shared" si="26"/>
        <v>3.5080004937582378E-2</v>
      </c>
      <c r="V22" s="42">
        <f t="shared" si="26"/>
        <v>3.4474972591138763E-2</v>
      </c>
      <c r="W22" s="42">
        <f t="shared" si="26"/>
        <v>3.3880375366950523E-2</v>
      </c>
      <c r="X22" s="42">
        <f t="shared" si="26"/>
        <v>3.3296033288232753E-2</v>
      </c>
      <c r="Y22" s="42">
        <f t="shared" si="26"/>
        <v>3.2721769482298615E-2</v>
      </c>
      <c r="Z22" s="42">
        <f t="shared" si="26"/>
        <v>3.2157410127022334E-2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0.39119206663670603</v>
      </c>
      <c r="C23" s="42">
        <f t="shared" ref="C23:AH23" si="28">IFERROR(C$18*HLOOKUP(C$4,mecc2,6)/100*C$7*C$9*C$11*C$12,0)</f>
        <v>0</v>
      </c>
      <c r="D23" s="42">
        <f t="shared" si="28"/>
        <v>0</v>
      </c>
      <c r="E23" s="42">
        <f t="shared" si="28"/>
        <v>0</v>
      </c>
      <c r="F23" s="42">
        <f t="shared" si="28"/>
        <v>0</v>
      </c>
      <c r="G23" s="42">
        <f t="shared" si="28"/>
        <v>2.1322834645209125E-2</v>
      </c>
      <c r="H23" s="42">
        <f t="shared" si="28"/>
        <v>2.1106650793220161E-2</v>
      </c>
      <c r="I23" s="42">
        <f t="shared" si="28"/>
        <v>2.0892658744461789E-2</v>
      </c>
      <c r="J23" s="42">
        <f t="shared" si="28"/>
        <v>2.068083627710127E-2</v>
      </c>
      <c r="K23" s="42">
        <f t="shared" si="28"/>
        <v>2.0471161394604285E-2</v>
      </c>
      <c r="L23" s="42">
        <f t="shared" si="28"/>
        <v>2.0534738651618034E-2</v>
      </c>
      <c r="M23" s="42">
        <f t="shared" si="28"/>
        <v>2.0598513360429054E-2</v>
      </c>
      <c r="N23" s="42">
        <f t="shared" si="28"/>
        <v>2.0662486134263101E-2</v>
      </c>
      <c r="O23" s="42">
        <f t="shared" si="28"/>
        <v>2.072665758825043E-2</v>
      </c>
      <c r="P23" s="42">
        <f t="shared" si="28"/>
        <v>2.0791028339431736E-2</v>
      </c>
      <c r="Q23" s="42">
        <f t="shared" si="28"/>
        <v>2.0238609712055534E-2</v>
      </c>
      <c r="R23" s="42">
        <f t="shared" si="28"/>
        <v>1.9700868874295605E-2</v>
      </c>
      <c r="S23" s="42">
        <f t="shared" si="28"/>
        <v>1.9177415836572783E-2</v>
      </c>
      <c r="T23" s="42">
        <f t="shared" si="28"/>
        <v>1.8667870971349827E-2</v>
      </c>
      <c r="U23" s="42">
        <f t="shared" si="28"/>
        <v>1.8171864737811554E-2</v>
      </c>
      <c r="V23" s="42">
        <f t="shared" si="28"/>
        <v>1.794054571771617E-2</v>
      </c>
      <c r="W23" s="42">
        <f t="shared" si="28"/>
        <v>1.7712171276497522E-2</v>
      </c>
      <c r="X23" s="42">
        <f t="shared" si="28"/>
        <v>1.7486703931095391E-2</v>
      </c>
      <c r="Y23" s="42">
        <f t="shared" si="28"/>
        <v>1.7264106675590717E-2</v>
      </c>
      <c r="Z23" s="42">
        <f t="shared" si="28"/>
        <v>1.7044342975131827E-2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2.4541659409282035</v>
      </c>
      <c r="C24" s="42">
        <f t="shared" ref="C24:AH24" si="30">IFERROR(C$18*HLOOKUP(C$4,mecc2,7)/100*C$7*C$9*C$11*C$12,0)</f>
        <v>0</v>
      </c>
      <c r="D24" s="42">
        <f t="shared" si="30"/>
        <v>0</v>
      </c>
      <c r="E24" s="42">
        <f t="shared" si="30"/>
        <v>0</v>
      </c>
      <c r="F24" s="42">
        <f t="shared" si="30"/>
        <v>0</v>
      </c>
      <c r="G24" s="42">
        <f t="shared" si="30"/>
        <v>0.18740315084222689</v>
      </c>
      <c r="H24" s="42">
        <f t="shared" si="30"/>
        <v>0.14231341706461206</v>
      </c>
      <c r="I24" s="42">
        <f t="shared" si="30"/>
        <v>0.10807240212122762</v>
      </c>
      <c r="J24" s="42">
        <f t="shared" si="30"/>
        <v>8.2069873249896161E-2</v>
      </c>
      <c r="K24" s="42">
        <f t="shared" si="30"/>
        <v>6.2323627152274012E-2</v>
      </c>
      <c r="L24" s="42">
        <f t="shared" si="30"/>
        <v>7.4676658167084492E-2</v>
      </c>
      <c r="M24" s="42">
        <f t="shared" si="30"/>
        <v>8.9478156676895432E-2</v>
      </c>
      <c r="N24" s="42">
        <f t="shared" si="30"/>
        <v>0.10721342811540044</v>
      </c>
      <c r="O24" s="42">
        <f t="shared" si="30"/>
        <v>0.12846396925412118</v>
      </c>
      <c r="P24" s="42">
        <f t="shared" si="30"/>
        <v>0.15392653407892726</v>
      </c>
      <c r="Q24" s="42">
        <f t="shared" si="30"/>
        <v>0.14983978036559226</v>
      </c>
      <c r="R24" s="42">
        <f t="shared" si="30"/>
        <v>0.1458615300757469</v>
      </c>
      <c r="S24" s="42">
        <f t="shared" si="30"/>
        <v>0.14198890244051329</v>
      </c>
      <c r="T24" s="42">
        <f t="shared" si="30"/>
        <v>0.13821909317550643</v>
      </c>
      <c r="U24" s="42">
        <f t="shared" si="30"/>
        <v>0.13454937245016904</v>
      </c>
      <c r="V24" s="42">
        <f t="shared" si="30"/>
        <v>0.13001899736758568</v>
      </c>
      <c r="W24" s="42">
        <f t="shared" si="30"/>
        <v>0.12564116330407318</v>
      </c>
      <c r="X24" s="42">
        <f t="shared" si="30"/>
        <v>0.12141073409274138</v>
      </c>
      <c r="Y24" s="42">
        <f t="shared" si="30"/>
        <v>0.11732274650516926</v>
      </c>
      <c r="Z24" s="42">
        <f t="shared" si="30"/>
        <v>0.11337240442844121</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-2.8308162980442453</v>
      </c>
      <c r="C25" s="532">
        <f t="shared" ref="C25:AH25" si="32">IFERROR(C$18*HLOOKUP(C$4,mecc2,8)/100*C$7*C$9*C$11*C$12,0)</f>
        <v>0</v>
      </c>
      <c r="D25" s="532">
        <f t="shared" si="32"/>
        <v>0</v>
      </c>
      <c r="E25" s="532">
        <f t="shared" si="32"/>
        <v>0</v>
      </c>
      <c r="F25" s="532">
        <f t="shared" si="32"/>
        <v>0</v>
      </c>
      <c r="G25" s="532">
        <f t="shared" si="32"/>
        <v>-0.29117716483526046</v>
      </c>
      <c r="H25" s="532">
        <f t="shared" si="32"/>
        <v>-0.26668475974178096</v>
      </c>
      <c r="I25" s="532">
        <f t="shared" si="32"/>
        <v>-0.24425253648846226</v>
      </c>
      <c r="J25" s="532">
        <f t="shared" si="32"/>
        <v>-0.22370720261185165</v>
      </c>
      <c r="K25" s="532">
        <f t="shared" si="32"/>
        <v>-0.20489004216659998</v>
      </c>
      <c r="L25" s="532">
        <f t="shared" si="32"/>
        <v>-0.18006381071634911</v>
      </c>
      <c r="M25" s="532">
        <f t="shared" si="32"/>
        <v>-0.15824573799115857</v>
      </c>
      <c r="N25" s="532">
        <f t="shared" si="32"/>
        <v>-0.13907132972884875</v>
      </c>
      <c r="O25" s="532">
        <f t="shared" si="32"/>
        <v>-0.12222025691226371</v>
      </c>
      <c r="P25" s="532">
        <f t="shared" si="32"/>
        <v>-0.10741100433011157</v>
      </c>
      <c r="Q25" s="532">
        <f t="shared" si="32"/>
        <v>-0.10455993024940875</v>
      </c>
      <c r="R25" s="532">
        <f t="shared" si="32"/>
        <v>-0.10178453392131936</v>
      </c>
      <c r="S25" s="532">
        <f t="shared" si="32"/>
        <v>-9.908280658630983E-2</v>
      </c>
      <c r="T25" s="532">
        <f t="shared" si="32"/>
        <v>-9.6452792804543802E-2</v>
      </c>
      <c r="U25" s="532">
        <f t="shared" si="32"/>
        <v>-9.3892589040586033E-2</v>
      </c>
      <c r="V25" s="532">
        <f t="shared" si="32"/>
        <v>-8.8718206964863891E-2</v>
      </c>
      <c r="W25" s="532">
        <f t="shared" si="32"/>
        <v>-8.3828982963268114E-2</v>
      </c>
      <c r="X25" s="532">
        <f t="shared" si="32"/>
        <v>-7.9209202091279893E-2</v>
      </c>
      <c r="Y25" s="532">
        <f t="shared" si="32"/>
        <v>-7.4844015448527867E-2</v>
      </c>
      <c r="Z25" s="532">
        <f t="shared" si="32"/>
        <v>-7.0719392451450522E-2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50.823408312568432</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2.8422705513014268</v>
      </c>
      <c r="H29" s="42">
        <f>IF(H4&lt;opening,0,1)*Absenteeism!$D$23*H7*H9*H11*H12*H10/1000</f>
        <v>2.8082525547272761</v>
      </c>
      <c r="I29" s="42">
        <f>IF(I4&lt;opening,0,1)*Absenteeism!$D$23*I7*I9*I11*I12*I10/1000</f>
        <v>2.7746417059140542</v>
      </c>
      <c r="J29" s="42">
        <f>IF(J4&lt;opening,0,1)*Absenteeism!$D$23*J7*J9*J11*J12*J10/1000</f>
        <v>2.7414331318734657</v>
      </c>
      <c r="K29" s="42">
        <f>IF(K4&lt;opening,0,1)*Absenteeism!$D$23*K7*K9*K11*K12*K10/1000</f>
        <v>2.7086220179400522</v>
      </c>
      <c r="L29" s="42">
        <f>IF(L4&lt;opening,0,1)*Absenteeism!$D$23*L7*L9*L11*L12*L10/1000</f>
        <v>2.6762036070731603</v>
      </c>
      <c r="M29" s="42">
        <f>IF(M4&lt;opening,0,1)*Absenteeism!$D$23*M7*M9*M11*M12*M10/1000</f>
        <v>2.6441731991672492</v>
      </c>
      <c r="N29" s="42">
        <f>IF(N4&lt;opening,0,1)*Absenteeism!$D$23*N7*N9*N11*N12*N10/1000</f>
        <v>2.6125261503704529</v>
      </c>
      <c r="O29" s="42">
        <f>IF(O4&lt;opening,0,1)*Absenteeism!$D$23*O7*O9*O11*O12*O10/1000</f>
        <v>2.5812578724113084</v>
      </c>
      <c r="P29" s="42">
        <f>IF(P4&lt;opening,0,1)*Absenteeism!$D$23*P7*P9*P11*P12*P10/1000</f>
        <v>2.5503638319335353</v>
      </c>
      <c r="Q29" s="42">
        <f>IF(Q4&lt;opening,0,1)*Absenteeism!$D$23*Q7*Q9*Q11*Q12*Q10/1000</f>
        <v>2.519839549838776</v>
      </c>
      <c r="R29" s="42">
        <f>IF(R4&lt;opening,0,1)*Absenteeism!$D$23*R7*R9*R11*R12*R10/1000</f>
        <v>2.4896806006372034</v>
      </c>
      <c r="S29" s="42">
        <f>IF(S4&lt;opening,0,1)*Absenteeism!$D$23*S7*S9*S11*S12*S10/1000</f>
        <v>2.4598826118059054</v>
      </c>
      <c r="T29" s="42">
        <f>IF(T4&lt;opening,0,1)*Absenteeism!$D$23*T7*T9*T11*T12*T10/1000</f>
        <v>2.4304412631549432</v>
      </c>
      <c r="U29" s="42">
        <f>IF(U4&lt;opening,0,1)*Absenteeism!$D$23*U7*U9*U11*U12*U10/1000</f>
        <v>2.4013522862009999</v>
      </c>
      <c r="V29" s="42">
        <f>IF(V4&lt;opening,0,1)*Absenteeism!$D$23*V7*V9*V11*V12*V10/1000</f>
        <v>2.3726114635485223</v>
      </c>
      <c r="W29" s="42">
        <f>IF(W4&lt;opening,0,1)*Absenteeism!$D$23*W7*W9*W11*W12*W10/1000</f>
        <v>2.3442146282782739</v>
      </c>
      <c r="X29" s="42">
        <f>IF(X4&lt;opening,0,1)*Absenteeism!$D$23*X7*X9*X11*X12*X10/1000</f>
        <v>2.3161576633432044</v>
      </c>
      <c r="Y29" s="42">
        <f>IF(Y4&lt;opening,0,1)*Absenteeism!$D$23*Y7*Y9*Y11*Y12*Y10/1000</f>
        <v>2.2884365009715482</v>
      </c>
      <c r="Z29" s="42">
        <f>IF(Z4&lt;opening,0,1)*Absenteeism!$D$23*Z7*Z9*Z11*Z12*Z10/1000</f>
        <v>2.2610471220770703</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358.77880905586699</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4.3041963285325702</v>
      </c>
      <c r="H30" s="532">
        <f t="shared" si="34"/>
        <v>8.5447838443282063</v>
      </c>
      <c r="I30" s="532">
        <f t="shared" si="34"/>
        <v>12.722467571173404</v>
      </c>
      <c r="J30" s="532">
        <f t="shared" si="34"/>
        <v>16.8379455868075</v>
      </c>
      <c r="K30" s="532">
        <f t="shared" si="34"/>
        <v>20.891909087079501</v>
      </c>
      <c r="L30" s="532">
        <f t="shared" si="34"/>
        <v>20.737535374613394</v>
      </c>
      <c r="M30" s="532">
        <f t="shared" si="34"/>
        <v>20.584302354603949</v>
      </c>
      <c r="N30" s="532">
        <f t="shared" si="34"/>
        <v>20.432201598289147</v>
      </c>
      <c r="O30" s="532">
        <f t="shared" si="34"/>
        <v>20.281224739188492</v>
      </c>
      <c r="P30" s="532">
        <f t="shared" si="34"/>
        <v>20.131363472642764</v>
      </c>
      <c r="Q30" s="532">
        <f t="shared" si="34"/>
        <v>19.982609555357229</v>
      </c>
      <c r="R30" s="532">
        <f t="shared" si="34"/>
        <v>19.834954804948193</v>
      </c>
      <c r="S30" s="532">
        <f t="shared" si="34"/>
        <v>19.688391099492918</v>
      </c>
      <c r="T30" s="532">
        <f>IF(T4&lt;opening,0,1)*T8*T9*T11*T12*T13*(VoL*YLLsC + VoL*YLLsP)/1000</f>
        <v>19.542910377082865</v>
      </c>
      <c r="U30" s="532">
        <f t="shared" si="34"/>
        <v>19.398504635380295</v>
      </c>
      <c r="V30" s="532">
        <f t="shared" si="34"/>
        <v>19.255165931177984</v>
      </c>
      <c r="W30" s="532">
        <f t="shared" si="34"/>
        <v>19.112886379962379</v>
      </c>
      <c r="X30" s="532">
        <f t="shared" si="34"/>
        <v>18.971658155479901</v>
      </c>
      <c r="Y30" s="532">
        <f t="shared" si="34"/>
        <v>18.831473489306411</v>
      </c>
      <c r="Z30" s="532">
        <f t="shared" si="34"/>
        <v>18.692324670419914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34.805311728408064</v>
      </c>
      <c r="F4" s="41"/>
      <c r="G4" s="104"/>
      <c r="H4" s="435" t="s">
        <v>16711</v>
      </c>
      <c r="I4" s="192">
        <f>SUM(E4:E9,E14)</f>
        <v>41.655089202614271</v>
      </c>
      <c r="J4" s="436">
        <f>IFERROR(I4/SUM($I$4:$I$6),0)</f>
        <v>9.2308952333951297E-2</v>
      </c>
      <c r="K4" s="41"/>
      <c r="L4" s="41"/>
      <c r="M4" s="41"/>
      <c r="N4" s="41"/>
      <c r="O4" s="41"/>
    </row>
    <row r="5" spans="1:15">
      <c r="A5" s="41"/>
      <c r="B5" s="674" t="s">
        <v>16712</v>
      </c>
      <c r="C5" s="675"/>
      <c r="D5" s="675"/>
      <c r="E5" s="124">
        <f>Discounting!B20</f>
        <v>0.19097525016521838</v>
      </c>
      <c r="F5" s="41"/>
      <c r="G5" s="104"/>
      <c r="H5" s="107" t="s">
        <v>16713</v>
      </c>
      <c r="I5" s="124">
        <f>E10+E11</f>
        <v>409.60221736843539</v>
      </c>
      <c r="J5" s="430">
        <f>IFERROR(I5/SUM($I$4:$I$6),0)</f>
        <v>0.9076910476660488</v>
      </c>
      <c r="K5" s="41"/>
      <c r="L5" s="41"/>
      <c r="M5" s="41"/>
      <c r="N5" s="41"/>
      <c r="O5" s="41"/>
    </row>
    <row r="6" spans="1:15">
      <c r="A6" s="41"/>
      <c r="B6" s="674" t="s">
        <v>16441</v>
      </c>
      <c r="C6" s="675"/>
      <c r="D6" s="675"/>
      <c r="E6" s="124">
        <f>Discounting!B21</f>
        <v>5.8678809995505885</v>
      </c>
      <c r="F6" s="41"/>
      <c r="G6" s="104"/>
      <c r="H6" s="107" t="s">
        <v>16714</v>
      </c>
      <c r="I6" s="124">
        <f>E12</f>
        <v>0</v>
      </c>
      <c r="J6" s="430">
        <f>IFERROR(I6/SUM($I$4:$I$6),0)</f>
        <v>0</v>
      </c>
      <c r="K6" s="41"/>
      <c r="L6" s="41"/>
      <c r="M6" s="41"/>
      <c r="N6" s="41"/>
      <c r="O6" s="41"/>
    </row>
    <row r="7" spans="1:15">
      <c r="A7" s="41"/>
      <c r="B7" s="674" t="s">
        <v>16715</v>
      </c>
      <c r="C7" s="675"/>
      <c r="D7" s="675"/>
      <c r="E7" s="124">
        <f>Discounting!B22</f>
        <v>0.77637951496974056</v>
      </c>
      <c r="F7" s="41"/>
      <c r="G7" s="104"/>
      <c r="H7" s="41"/>
      <c r="I7" s="41"/>
      <c r="J7" s="413"/>
      <c r="K7" s="41"/>
      <c r="L7" s="41"/>
      <c r="M7" s="41"/>
      <c r="N7" s="41"/>
      <c r="O7" s="41"/>
    </row>
    <row r="8" spans="1:15">
      <c r="A8" s="41"/>
      <c r="B8" s="674" t="s">
        <v>16443</v>
      </c>
      <c r="C8" s="675"/>
      <c r="D8" s="675"/>
      <c r="E8" s="124">
        <f>Discounting!B23</f>
        <v>0.39119206663670603</v>
      </c>
      <c r="F8" s="41"/>
      <c r="G8" s="104"/>
      <c r="H8" s="41"/>
      <c r="I8" s="41"/>
      <c r="J8" s="413"/>
      <c r="K8" s="41"/>
      <c r="L8" s="41"/>
      <c r="M8" s="41"/>
      <c r="N8" s="41"/>
      <c r="O8" s="41"/>
    </row>
    <row r="9" spans="1:15">
      <c r="A9" s="41"/>
      <c r="B9" s="674" t="s">
        <v>16716</v>
      </c>
      <c r="C9" s="675"/>
      <c r="D9" s="675"/>
      <c r="E9" s="124">
        <f>Discounting!B24</f>
        <v>2.4541659409282035</v>
      </c>
      <c r="F9" s="41"/>
      <c r="G9" s="104"/>
      <c r="H9" s="41"/>
      <c r="I9" s="41"/>
      <c r="J9" s="413"/>
      <c r="K9" s="41"/>
      <c r="L9" s="41"/>
      <c r="M9" s="41"/>
      <c r="N9" s="41"/>
      <c r="O9" s="41"/>
    </row>
    <row r="10" spans="1:15">
      <c r="A10" s="41"/>
      <c r="B10" s="678" t="s">
        <v>16704</v>
      </c>
      <c r="C10" s="679"/>
      <c r="D10" s="679"/>
      <c r="E10" s="124">
        <f>Discounting!B30</f>
        <v>358.77880905586699</v>
      </c>
      <c r="F10" s="41"/>
      <c r="G10" s="104"/>
      <c r="H10" s="41"/>
      <c r="I10" s="41"/>
      <c r="J10" s="413"/>
      <c r="K10" s="41"/>
      <c r="L10" s="41"/>
      <c r="M10" s="41"/>
      <c r="N10" s="41"/>
      <c r="O10" s="41"/>
    </row>
    <row r="11" spans="1:15">
      <c r="A11" s="41"/>
      <c r="B11" s="678" t="s">
        <v>75</v>
      </c>
      <c r="C11" s="679"/>
      <c r="D11" s="679"/>
      <c r="E11" s="124">
        <f>_xlfn.IFNA(Discounting!B29, 0)</f>
        <v>50.823408312568432</v>
      </c>
      <c r="F11" s="41"/>
      <c r="G11" s="104"/>
      <c r="H11" s="41"/>
      <c r="I11" s="41"/>
      <c r="J11" s="413"/>
      <c r="K11" s="41"/>
      <c r="L11" s="41"/>
      <c r="M11" s="41"/>
      <c r="N11" s="41"/>
      <c r="O11" s="41"/>
    </row>
    <row r="12" spans="1:15">
      <c r="A12" s="41"/>
      <c r="B12" s="678" t="s">
        <v>16423</v>
      </c>
      <c r="C12" s="679"/>
      <c r="D12" s="679"/>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-2.8308162980442453</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451.0663313208845</v>
      </c>
      <c r="F19" s="41"/>
      <c r="G19" s="104"/>
      <c r="H19" s="41"/>
      <c r="I19" s="41"/>
      <c r="J19" s="413"/>
      <c r="K19" s="41"/>
      <c r="L19" s="41"/>
      <c r="M19" s="41"/>
      <c r="N19" s="41"/>
      <c r="O19" s="41"/>
    </row>
    <row r="20" spans="1:15">
      <c r="A20" s="41"/>
      <c r="B20" s="674" t="s">
        <v>16719</v>
      </c>
      <c r="C20" s="675"/>
      <c r="D20" s="675"/>
      <c r="E20" s="124">
        <f>IFERROR((E15+E16)-E5,0)</f>
        <v>-0.19097525016521838</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-2361.9098858655957</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2023-01-12T10:25:04Z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