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1A994DC5-3184-4592-84A0-BDD59AE491E5}" xr6:coauthVersionLast="47" xr6:coauthVersionMax="47" xr10:uidLastSave="{00000000-0000-0000-0000-000000000000}"/>
  <bookViews>
    <workbookView xWindow="-1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<sst xmlns="http://schemas.openxmlformats.org/spreadsheetml/2006/main" count="55865" uniqueCount="16762">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</sst>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6.4756832073157291</c:v>
                </c:pt>
                <c:pt idx="1">
                  <c:v>65.476201499113785</c:v>
                </c:pt>
                <c:pt idx="2">
                  <c:v>60.396201641405277</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22" zoomScale="80" zoomScaleNormal="80" workbookViewId="0">
      <selection activeCell="H38" sqref="H38"/>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42</v>
      </c>
      <c r="G33" s="41" t="s">
        <v>16311</v>
      </c>
      <c r="H33" s="311" t="s">
        <v>16758</v>
      </c>
    </row>
    <row r="34" spans="1:69">
      <c r="A34" s="41"/>
      <c r="D34" s="146" t="s">
        <v>16312</v>
      </c>
      <c r="F34" s="383">
        <f>ROUND(F33*1.25,0)</f>
        <v>53</v>
      </c>
      <c r="G34" s="41" t="s">
        <v>16311</v>
      </c>
      <c r="H34" s="311" t="s">
        <v>16759</v>
      </c>
    </row>
    <row r="35" spans="1:69" ht="30.75" thickBot="1">
      <c r="A35" s="41"/>
      <c r="D35" s="146" t="s">
        <v>16313</v>
      </c>
      <c r="F35" s="384">
        <f>1.52/5.14</f>
        <v>0.29571984435797666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22</v>
      </c>
      <c r="G46" s="41" t="s">
        <v>16311</v>
      </c>
      <c r="H46" s="311"/>
    </row>
    <row r="47" spans="1:69">
      <c r="A47" s="41"/>
      <c r="D47" s="146" t="s">
        <v>16312</v>
      </c>
      <c r="F47" s="536">
        <f>ROUND(F46*1.1,0)</f>
        <v>24</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42</v>
      </c>
      <c r="E28" s="108" t="s">
        <v>16311</v>
      </c>
    </row>
    <row r="29" spans="2:8">
      <c r="C29" s="108" t="s">
        <v>16409</v>
      </c>
      <c r="D29" s="367">
        <f>'User Interface Intervention'!F34</f>
        <v>53</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0.29571984435797666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22</v>
      </c>
      <c r="E50" s="242" t="s">
        <v>16311</v>
      </c>
    </row>
    <row r="51" spans="2:6">
      <c r="C51" s="108" t="s">
        <v>16409</v>
      </c>
      <c r="D51" s="367">
        <f>'User Interface Intervention'!F47</f>
        <v>24</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42</v>
      </c>
      <c r="E4" s="120">
        <f>useP</f>
        <v>22</v>
      </c>
      <c r="F4" s="108"/>
    </row>
    <row r="5" spans="1:6">
      <c r="C5" s="120" t="s">
        <v>16598</v>
      </c>
      <c r="D5" s="122">
        <f>use_new</f>
        <v>53</v>
      </c>
      <c r="E5" s="122">
        <f>use_newP</f>
        <v>24</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v>
      </c>
      <c r="E12" s="123">
        <f>use_newP-useP</f>
        <v>2</v>
      </c>
    </row>
    <row r="13" spans="1:6">
      <c r="C13" s="123" t="s">
        <v>16603</v>
      </c>
      <c r="D13" s="167">
        <f>D12/(1+return)</f>
        <v>5.7894736842105265</v>
      </c>
      <c r="E13" s="167">
        <f>E12/(1+return)</f>
        <v>1.0526315789473684</v>
      </c>
    </row>
    <row r="14" spans="1:6">
      <c r="C14" s="123" t="s">
        <v>16604</v>
      </c>
      <c r="D14" s="123">
        <f>use_new-D12</f>
        <v>42</v>
      </c>
      <c r="E14" s="123">
        <f>use_newP-E12</f>
        <v>22</v>
      </c>
    </row>
    <row r="15" spans="1:6">
      <c r="C15" s="123" t="s">
        <v>16605</v>
      </c>
      <c r="D15" s="123">
        <f>D14/(1+return)</f>
        <v>22.105263157894736</v>
      </c>
      <c r="E15" s="123">
        <f>E14/(1+return)</f>
        <v>11.578947368421053</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13469.72</v>
      </c>
      <c r="E23" s="107">
        <f>E7*E12*scheme_days</f>
        <v>556.6</v>
      </c>
      <c r="F23" s="41" t="s">
        <v>16611</v>
      </c>
    </row>
    <row r="24" spans="2:6">
      <c r="C24" s="125" t="s">
        <v>16612</v>
      </c>
      <c r="D24" s="107">
        <f>D23*car_share</f>
        <v>3232.7327999999998</v>
      </c>
      <c r="E24" s="107">
        <f>E23*car_shareP</f>
        <v>133.584</v>
      </c>
    </row>
    <row r="25" spans="2:6">
      <c r="C25" s="125" t="s">
        <v>16613</v>
      </c>
      <c r="D25" s="107">
        <f>D24/'Input Summary'!D86</f>
        <v>2020.4579999999999</v>
      </c>
      <c r="E25" s="107">
        <f>E24/'Input Summary'!D86</f>
        <v>83.49</v>
      </c>
    </row>
    <row r="26" spans="2:6" ht="15.75">
      <c r="C26" s="123" t="s">
        <v>16614</v>
      </c>
      <c r="D26" s="167">
        <f>D23*'Input Summary'!D34</f>
        <v>808.18319999999994</v>
      </c>
      <c r="E26" s="167">
        <f>E23*'Input Summary'!D56</f>
        <v>33.396000000000001</v>
      </c>
      <c r="F26" s="105"/>
    </row>
    <row r="27" spans="2:6">
      <c r="C27" s="123" t="s">
        <v>16615</v>
      </c>
      <c r="D27" s="167">
        <f>D26/'Input Summary'!D87</f>
        <v>336.74299999999999</v>
      </c>
      <c r="E27" s="167">
        <f>E26/'Input Summary'!D87</f>
        <v>13.915000000000001</v>
      </c>
    </row>
    <row r="28" spans="2:6" ht="15.75">
      <c r="B28" s="105" t="s">
        <v>16616</v>
      </c>
      <c r="C28" s="125" t="s">
        <v>16617</v>
      </c>
      <c r="D28" s="126"/>
      <c r="E28" s="127">
        <f>SUM(D25:E25,D27:E27)</f>
        <v>2454.6059999999998</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5.7894736842105265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4.176572686904108</v>
      </c>
      <c r="E19" s="446">
        <f>E18*E4</f>
        <v>0.51775694465753419</v>
      </c>
      <c r="G19" s="301"/>
      <c r="H19" s="42"/>
    </row>
    <row r="20" spans="2:8">
      <c r="C20" s="134" t="s">
        <v>16638</v>
      </c>
      <c r="D20" s="140">
        <f>'TAG VoT'!F21*D10</f>
        <v>144.50209275358495</v>
      </c>
      <c r="E20" s="140">
        <f>'TAG VoT'!$F$21*E10</f>
        <v>144.50209275358495</v>
      </c>
    </row>
    <row r="21" spans="2:8">
      <c r="C21" s="134" t="s">
        <v>16639</v>
      </c>
      <c r="D21" s="141">
        <f>D19*D20</f>
        <v>603.5234937951069</v>
      </c>
      <c r="E21" s="142">
        <f>E19*E20</f>
        <v>74.816962040715751</v>
      </c>
    </row>
    <row r="22" spans="2:8">
      <c r="C22" s="138"/>
      <c r="D22" s="149"/>
      <c r="E22" s="143"/>
    </row>
    <row r="23" spans="2:8" ht="15.75">
      <c r="C23" s="144" t="s">
        <v>16523</v>
      </c>
      <c r="D23" s="145">
        <f>D21+E21</f>
        <v>678.3404558358227</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5.7894736842105265</v>
      </c>
      <c r="E7" s="500">
        <f>'General Calculations'!E13</f>
        <v>1.0526315789473684</v>
      </c>
      <c r="F7" s="492"/>
    </row>
    <row r="8" spans="1:6">
      <c r="A8" s="492"/>
      <c r="B8" s="492"/>
      <c r="C8" s="109" t="s">
        <v>16644</v>
      </c>
      <c r="D8" s="499">
        <f>'General Calculations'!D15</f>
        <v>22.105263157894736</v>
      </c>
      <c r="E8" s="500">
        <f>'General Calculations'!E15</f>
        <v>11.578947368421053</v>
      </c>
      <c r="F8" s="492"/>
    </row>
    <row r="9" spans="1:6">
      <c r="A9" s="492"/>
      <c r="B9" s="492"/>
      <c r="C9" s="109" t="s">
        <v>16645</v>
      </c>
      <c r="D9" s="499">
        <f>'General Calculations'!D12</f>
        <v>11</v>
      </c>
      <c r="E9" s="500">
        <f>'General Calculations'!E12</f>
        <v>2</v>
      </c>
      <c r="F9" s="492"/>
    </row>
    <row r="10" spans="1:6">
      <c r="A10" s="492"/>
      <c r="B10" s="492"/>
      <c r="C10" s="151" t="s">
        <v>16646</v>
      </c>
      <c r="D10" s="502">
        <f>'General Calculations'!D14</f>
        <v>42</v>
      </c>
      <c r="E10" s="527">
        <f>'General Calculations'!E14</f>
        <v>22</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0.29571984435797666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1.4312840466926069</v>
      </c>
      <c r="E25" s="508">
        <f>E5*E13</f>
        <v>1.1000000000000001</v>
      </c>
      <c r="F25" s="131" t="s">
        <v>16641</v>
      </c>
      <c r="G25" s="131"/>
      <c r="H25" s="131"/>
    </row>
    <row r="26" spans="1:8">
      <c r="A26" s="492"/>
      <c r="B26" s="492"/>
      <c r="C26" s="109" t="s">
        <v>16657</v>
      </c>
      <c r="D26" s="499">
        <f>60*D25/speed</f>
        <v>5.7251361867704276</v>
      </c>
      <c r="E26" s="499">
        <f>60*E25/speedP</f>
        <v>13.2</v>
      </c>
      <c r="F26" s="492" t="s">
        <v>16658</v>
      </c>
      <c r="G26" s="131"/>
      <c r="H26" s="131"/>
    </row>
    <row r="27" spans="1:8">
      <c r="A27" s="492"/>
      <c r="B27" s="492"/>
      <c r="C27" s="151" t="s">
        <v>16659</v>
      </c>
      <c r="D27" s="502">
        <f>D26*scheme_days</f>
        <v>1448.4594552529181</v>
      </c>
      <c r="E27" s="502">
        <f>E26*scheme_days</f>
        <v>3339.6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101.82669970428014</v>
      </c>
      <c r="E30" s="510">
        <f>E21*E25*scheme_days</f>
        <v>2.4431509579355026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560.0468483735408</v>
      </c>
      <c r="E35" s="514">
        <f>E9*E30/2</f>
        <v>2.4431509579355026</v>
      </c>
      <c r="F35" s="492"/>
      <c r="G35" s="511"/>
    </row>
    <row r="36" spans="2:7">
      <c r="B36" s="492"/>
      <c r="C36" s="515" t="s">
        <v>16665</v>
      </c>
      <c r="D36" s="516">
        <f>D34+D35</f>
        <v>560.0468483735408</v>
      </c>
      <c r="E36" s="531">
        <f>E35</f>
        <v>2.4431509579355026</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4276.7213875797661</v>
      </c>
      <c r="E41" s="514">
        <f>E30*E10</f>
        <v>53.749321074581061</v>
      </c>
      <c r="F41" s="492"/>
      <c r="G41" s="492"/>
    </row>
    <row r="42" spans="2:7">
      <c r="B42" s="492"/>
      <c r="C42" s="515" t="s">
        <v>16669</v>
      </c>
      <c r="D42" s="516">
        <f>D40+D41</f>
        <v>4276.7213875797661</v>
      </c>
      <c r="E42" s="531">
        <f>E41</f>
        <v>53.749321074581061</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562.48999933147627</v>
      </c>
      <c r="F45" s="492"/>
      <c r="G45" s="492"/>
    </row>
    <row r="46" spans="2:7" ht="15">
      <c r="B46" s="492"/>
      <c r="C46" s="499" t="s">
        <v>16671</v>
      </c>
      <c r="D46" s="492"/>
      <c r="E46" s="239">
        <f>D42+E42</f>
        <v>4330.4707086543467</v>
      </c>
      <c r="F46" s="492"/>
      <c r="G46" s="492"/>
    </row>
    <row r="47" spans="2:7" ht="15">
      <c r="B47" s="492"/>
      <c r="C47" s="499" t="s">
        <v>16672</v>
      </c>
      <c r="D47" s="154">
        <f>D36+D42</f>
        <v>4836.7682359533064</v>
      </c>
      <c r="E47" s="239">
        <f>E36+E42</f>
        <v>56.192472032516562</v>
      </c>
      <c r="F47" s="492"/>
      <c r="G47" s="492"/>
    </row>
    <row r="48" spans="2:7" ht="15">
      <c r="B48" s="492"/>
      <c r="C48" s="155" t="s">
        <v>16673</v>
      </c>
      <c r="D48" s="117"/>
      <c r="E48" s="237">
        <f>D47+E47</f>
        <v>4892.9607079858233</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5.7894736842105265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0.92631578947368431</v>
      </c>
      <c r="E9" s="299">
        <f>'General Calculations'!$D$13*'Health Assumptions'!E25</f>
        <v>0.23157894736842108</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2.2578947368421054</v>
      </c>
      <c r="E10" s="299">
        <f>'General Calculations'!$D$13*'Health Assumptions'!E26</f>
        <v>0.92631578947368431</v>
      </c>
      <c r="F10" s="300">
        <f>'General Calculations'!$E$13*'Health Assumptions'!F26</f>
        <v>0.17894736842105263</v>
      </c>
      <c r="G10" s="167">
        <f>'General Calculations'!$E$13*'Health Assumptions'!G26</f>
        <v>0.25263157894736837</v>
      </c>
    </row>
    <row r="11" spans="1:7">
      <c r="C11" s="125" t="s">
        <v>16584</v>
      </c>
      <c r="D11" s="167">
        <f>'General Calculations'!$D$13*'Health Assumptions'!D27</f>
        <v>0.75263157894736843</v>
      </c>
      <c r="E11" s="299">
        <f>'General Calculations'!$D$13*'Health Assumptions'!E27</f>
        <v>0.28947368421052633</v>
      </c>
      <c r="F11" s="300">
        <f>'General Calculations'!$E$13*'Health Assumptions'!F27</f>
        <v>7.3684210526315796E-2</v>
      </c>
      <c r="G11" s="167">
        <f>'General Calculations'!$E$13*'Health Assumptions'!G27</f>
        <v>9.4736842105263147E-2</v>
      </c>
    </row>
    <row r="12" spans="1:7">
      <c r="C12" s="125" t="s">
        <v>16585</v>
      </c>
      <c r="D12" s="167">
        <f>'General Calculations'!$D$13*'Health Assumptions'!D28</f>
        <v>0.28947368421052633</v>
      </c>
      <c r="E12" s="299">
        <f>'General Calculations'!$D$13*'Health Assumptions'!E28</f>
        <v>5.789473684210527E-2</v>
      </c>
      <c r="F12" s="300">
        <f>'General Calculations'!$E$13*'Health Assumptions'!F28</f>
        <v>5.2631578947368418E-2</v>
      </c>
      <c r="G12" s="167">
        <f>'General Calculations'!$E$13*'Health Assumptions'!G28</f>
        <v>5.2631578947368418E-2</v>
      </c>
    </row>
    <row r="13" spans="1:7">
      <c r="C13" s="125" t="s">
        <v>16586</v>
      </c>
      <c r="D13" s="167">
        <f>'General Calculations'!$D$13*'Health Assumptions'!D29</f>
        <v>5.789473684210527E-2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4.2842105263157899</v>
      </c>
      <c r="E14" s="299">
        <f>SUM(E9:E13)</f>
        <v>1.5052631578947369</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5.7035262225602491E-4</v>
      </c>
      <c r="E72" s="124">
        <f>E64*'Health Assumptions'!E60*E10</f>
        <v>1.2082852331309735E-4</v>
      </c>
      <c r="F72" s="162">
        <f>SUM(D72:E72)</f>
        <v>6.9118114556912221E-4</v>
      </c>
      <c r="G72" s="124">
        <f>F64*'Health Assumptions'!D60*F10</f>
        <v>1.5683165215068991E-5</v>
      </c>
      <c r="H72" s="124">
        <f>G64*'Health Assumptions'!E60*G10</f>
        <v>1.2726895173224558E-5</v>
      </c>
      <c r="I72" s="124">
        <f>SUM(G72:H72)</f>
        <v>2.8410060388293549E-5</v>
      </c>
    </row>
    <row r="73" spans="2:12">
      <c r="C73" s="125" t="s">
        <v>16584</v>
      </c>
      <c r="D73" s="124">
        <f>D65*'Health Assumptions'!D61*D11</f>
        <v>1.0736848580163187E-3</v>
      </c>
      <c r="E73" s="124">
        <f>E65*'Health Assumptions'!E61*E11</f>
        <v>2.1330564692171287E-4</v>
      </c>
      <c r="F73" s="162">
        <f>SUM(D73:E73)</f>
        <v>1.2869905049380315E-3</v>
      </c>
      <c r="G73" s="124">
        <f>F65*'Health Assumptions'!D61*F11</f>
        <v>3.6629993636922549E-5</v>
      </c>
      <c r="H73" s="124">
        <f>G65*'Health Assumptions'!E61*G11</f>
        <v>3.1800205629950181E-5</v>
      </c>
      <c r="I73" s="124">
        <f>SUM(G73:H73)</f>
        <v>6.8430199266872731E-5</v>
      </c>
    </row>
    <row r="74" spans="2:12">
      <c r="C74" s="125" t="s">
        <v>16585</v>
      </c>
      <c r="D74" s="124">
        <f>D66*'Health Assumptions'!D62*D12</f>
        <v>1.3999883836102636E-3</v>
      </c>
      <c r="E74" s="124">
        <f>E66*'Health Assumptions'!E62*E12</f>
        <v>1.4907151291685897E-4</v>
      </c>
      <c r="F74" s="162">
        <f>SUM(D74:E74)</f>
        <v>1.5490598965271225E-3</v>
      </c>
      <c r="G74" s="124">
        <f>F66*'Health Assumptions'!D62*F12</f>
        <v>1.0371949555289996E-4</v>
      </c>
      <c r="H74" s="124">
        <f>G66*'Health Assumptions'!E62*G12</f>
        <v>6.9500136475464605E-5</v>
      </c>
      <c r="I74" s="124">
        <f>SUM(G74:H74)</f>
        <v>1.7321963202836455E-4</v>
      </c>
    </row>
    <row r="75" spans="2:12">
      <c r="C75" s="125" t="s">
        <v>16586</v>
      </c>
      <c r="D75" s="124">
        <f>D67*'Health Assumptions'!D63*D13</f>
        <v>9.2444514881966609E-4</v>
      </c>
      <c r="E75" s="124">
        <f>E67*'Health Assumptions'!E63*E13</f>
        <v>0</v>
      </c>
      <c r="F75" s="162">
        <f>SUM(D75:E75)</f>
        <v>9.2444514881966609E-4</v>
      </c>
      <c r="G75" s="124">
        <f>F67*'Health Assumptions'!D63*F13</f>
        <v>9.3967590679345568E-5</v>
      </c>
      <c r="H75" s="124">
        <f>G67*'Health Assumptions'!E63*G13</f>
        <v>7.4717180015040983E-5</v>
      </c>
      <c r="I75" s="124">
        <f>SUM(G75:H75)</f>
        <v>1.6868477069438656E-4</v>
      </c>
    </row>
    <row r="76" spans="2:12">
      <c r="C76" s="125" t="s">
        <v>16683</v>
      </c>
      <c r="D76" s="124">
        <f t="shared" ref="D76:I76" si="2">SUM(D71:D75)</f>
        <v>3.9684710127022736E-3</v>
      </c>
      <c r="E76" s="124">
        <f t="shared" si="2"/>
        <v>4.8320568315166919E-4</v>
      </c>
      <c r="F76" s="162">
        <f t="shared" si="2"/>
        <v>4.4516766958539421E-3</v>
      </c>
      <c r="G76" s="124">
        <f t="shared" si="2"/>
        <v>2.5000024508423709E-4</v>
      </c>
      <c r="H76" s="124">
        <f t="shared" si="2"/>
        <v>1.8874441729368032E-4</v>
      </c>
      <c r="I76" s="124">
        <f t="shared" si="2"/>
        <v>4.3874466237791741E-4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1.9872191412749186E-2</v>
      </c>
      <c r="E82" s="124">
        <f>E72*'Health Assumptions'!E93</f>
        <v>4.1428950707505527E-3</v>
      </c>
      <c r="F82" s="162">
        <f>SUM(D82:E82)</f>
        <v>2.4015086483499738E-2</v>
      </c>
      <c r="G82" s="124">
        <f>G72*'Health Assumptions'!D68</f>
        <v>5.4643188958938555E-4</v>
      </c>
      <c r="H82" s="124">
        <f>H72*'Health Assumptions'!E68</f>
        <v>4.3637205713823124E-4</v>
      </c>
      <c r="I82" s="124">
        <f>SUM(G82:H82)</f>
        <v>9.8280394672761685E-4</v>
      </c>
    </row>
    <row r="83" spans="3:11">
      <c r="C83" s="125" t="s">
        <v>16584</v>
      </c>
      <c r="D83" s="124">
        <f>D73*'Health Assumptions'!D94</f>
        <v>2.5475016461940298E-2</v>
      </c>
      <c r="E83" s="124">
        <f>E73*'Health Assumptions'!E94</f>
        <v>5.0610426571489108E-3</v>
      </c>
      <c r="F83" s="162">
        <f>SUM(D83:E83)</f>
        <v>3.0536059119089208E-2</v>
      </c>
      <c r="G83" s="124">
        <f>G73*'Health Assumptions'!D69</f>
        <v>8.6910948211135861E-4</v>
      </c>
      <c r="H83" s="124">
        <f>H73*'Health Assumptions'!E69</f>
        <v>7.5451447030070221E-4</v>
      </c>
      <c r="I83" s="124">
        <f>SUM(G83:H83)</f>
        <v>1.6236239524120609E-3</v>
      </c>
    </row>
    <row r="84" spans="3:11">
      <c r="C84" s="125" t="s">
        <v>16585</v>
      </c>
      <c r="D84" s="124">
        <f>D74*'Health Assumptions'!D95</f>
        <v>2.1183593892805365E-2</v>
      </c>
      <c r="E84" s="124">
        <f>E74*'Health Assumptions'!E95</f>
        <v>2.138167444325332E-3</v>
      </c>
      <c r="F84" s="162">
        <f>SUM(D84:E84)</f>
        <v>2.3321761337130698E-2</v>
      </c>
      <c r="G84" s="124">
        <f>G74*'Health Assumptions'!D70</f>
        <v>1.5694070738596357E-3</v>
      </c>
      <c r="H84" s="124">
        <f>H74*'Health Assumptions'!E70</f>
        <v>9.9685665141726731E-4</v>
      </c>
      <c r="I84" s="124">
        <f>SUM(G84:H84)</f>
        <v>2.5662637252769028E-3</v>
      </c>
    </row>
    <row r="85" spans="3:11">
      <c r="C85" s="125" t="s">
        <v>16586</v>
      </c>
      <c r="D85" s="124">
        <f>D75*'Health Assumptions'!D96</f>
        <v>5.3457380925968764E-3</v>
      </c>
      <c r="E85" s="124">
        <f>E75*'Health Assumptions'!E96</f>
        <v>0</v>
      </c>
      <c r="F85" s="162">
        <f>SUM(D85:E85)</f>
        <v>5.3457380925968764E-3</v>
      </c>
      <c r="G85" s="124">
        <f>G75*'Health Assumptions'!D71</f>
        <v>5.4338121586283413E-4</v>
      </c>
      <c r="H85" s="124">
        <f>H75*'Health Assumptions'!E71</f>
        <v>4.3206292540752815E-4</v>
      </c>
      <c r="I85" s="124">
        <f>SUM(G85:H85)</f>
        <v>9.7544414127036228E-4</v>
      </c>
    </row>
    <row r="86" spans="3:11">
      <c r="C86" s="125" t="s">
        <v>16683</v>
      </c>
      <c r="D86" s="124">
        <f t="shared" ref="D86:I86" si="3">SUM(D81:D85)</f>
        <v>7.1876539860091723E-2</v>
      </c>
      <c r="E86" s="124">
        <f t="shared" si="3"/>
        <v>1.1342105172224795E-2</v>
      </c>
      <c r="F86" s="162">
        <f t="shared" si="3"/>
        <v>8.3218645032316518E-2</v>
      </c>
      <c r="G86" s="124">
        <f t="shared" si="3"/>
        <v>3.5283296614232137E-3</v>
      </c>
      <c r="H86" s="124">
        <f t="shared" si="3"/>
        <v>2.6198061042637284E-3</v>
      </c>
      <c r="I86" s="124">
        <f t="shared" si="3"/>
        <v>6.1481357656869434E-3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2.4546059999999996</v>
      </c>
      <c r="H18" s="94">
        <f>IF(H4&lt;opening,0,'General Calculations'!$E$28/1000)</f>
        <v>2.4546059999999996</v>
      </c>
      <c r="I18" s="94">
        <f>IF(I4&lt;opening,0,'General Calculations'!$E$28/1000)</f>
        <v>2.4546059999999996</v>
      </c>
      <c r="J18" s="94">
        <f>IF(J4&lt;opening,0,'General Calculations'!$E$28/1000)</f>
        <v>2.4546059999999996</v>
      </c>
      <c r="K18" s="94">
        <f>IF(K4&lt;opening,0,'General Calculations'!$E$28/1000)</f>
        <v>2.4546059999999996</v>
      </c>
      <c r="L18" s="94">
        <f>IF(L4&lt;opening,0,'General Calculations'!$E$28/1000)</f>
        <v>2.4546059999999996</v>
      </c>
      <c r="M18" s="94">
        <f>IF(M4&lt;opening,0,'General Calculations'!$E$28/1000)</f>
        <v>2.4546059999999996</v>
      </c>
      <c r="N18" s="94">
        <f>IF(N4&lt;opening,0,'General Calculations'!$E$28/1000)</f>
        <v>2.4546059999999996</v>
      </c>
      <c r="O18" s="94">
        <f>IF(O4&lt;opening,0,'General Calculations'!$E$28/1000)</f>
        <v>2.4546059999999996</v>
      </c>
      <c r="P18" s="94">
        <f>IF(P4&lt;opening,0,'General Calculations'!$E$28/1000)</f>
        <v>2.4546059999999996</v>
      </c>
      <c r="Q18" s="94">
        <f>IF(Q4&lt;opening,0,'General Calculations'!$E$28/1000)</f>
        <v>2.4546059999999996</v>
      </c>
      <c r="R18" s="94">
        <f>IF(R4&lt;opening,0,'General Calculations'!$E$28/1000)</f>
        <v>2.4546059999999996</v>
      </c>
      <c r="S18" s="94">
        <f>IF(S4&lt;opening,0,'General Calculations'!$E$28/1000)</f>
        <v>2.4546059999999996</v>
      </c>
      <c r="T18" s="94">
        <f>IF(T4&lt;opening,0,'General Calculations'!$E$28/1000)</f>
        <v>2.4546059999999996</v>
      </c>
      <c r="U18" s="94">
        <f>IF(U4&lt;opening,0,'General Calculations'!$E$28/1000)</f>
        <v>2.4546059999999996</v>
      </c>
      <c r="V18" s="94">
        <f>IF(V4&lt;opening,0,'General Calculations'!$E$28/1000)</f>
        <v>2.4546059999999996</v>
      </c>
      <c r="W18" s="94">
        <f>IF(W4&lt;opening,0,'General Calculations'!$E$28/1000)</f>
        <v>2.4546059999999996</v>
      </c>
      <c r="X18" s="94">
        <f>IF(X4&lt;opening,0,'General Calculations'!$E$28/1000)</f>
        <v>2.4546059999999996</v>
      </c>
      <c r="Y18" s="94">
        <f>IF(Y4&lt;opening,0,'General Calculations'!$E$28/1000)</f>
        <v>2.4546059999999996</v>
      </c>
      <c r="Z18" s="94">
        <f>IF(Z4&lt;opening,0,'General Calculations'!$E$28/1000)</f>
        <v>2.4546059999999996</v>
      </c>
      <c r="AA18" s="94">
        <f>IF(AA4&lt;opening,0,'General Calculations'!$E$28/1000)</f>
        <v>2.4546059999999996</v>
      </c>
      <c r="AB18" s="94">
        <f>IF(AB4&lt;opening,0,'General Calculations'!$E$28/1000)</f>
        <v>2.4546059999999996</v>
      </c>
      <c r="AC18" s="94">
        <f>IF(AC4&lt;opening,0,'General Calculations'!$E$28/1000)</f>
        <v>2.4546059999999996</v>
      </c>
      <c r="AD18" s="94">
        <f>IF(AD4&lt;opening,0,'General Calculations'!$E$28/1000)</f>
        <v>2.4546059999999996</v>
      </c>
      <c r="AE18" s="94">
        <f>IF(AE4&lt;opening,0,'General Calculations'!$E$28/1000)</f>
        <v>2.4546059999999996</v>
      </c>
      <c r="AF18" s="94">
        <f>IF(AF4&lt;opening,0,'General Calculations'!$E$28/1000)</f>
        <v>2.4546059999999996</v>
      </c>
      <c r="AG18" s="94">
        <f>IF(AG4&lt;opening,0,'General Calculations'!$E$28/1000)</f>
        <v>2.4546059999999996</v>
      </c>
      <c r="AH18" s="94">
        <f>IF(AH4&lt;opening,0,'General Calculations'!$E$28/1000)</f>
        <v>2.4546059999999996</v>
      </c>
      <c r="AI18" s="94">
        <f>IF(AI4&lt;opening,0,'General Calculations'!$E$28/1000)</f>
        <v>2.4546059999999996</v>
      </c>
      <c r="AJ18" s="94">
        <f>IF(AJ4&lt;opening,0,'General Calculations'!$E$28/1000)</f>
        <v>2.4546059999999996</v>
      </c>
      <c r="AK18" s="94">
        <f>IF(AK4&lt;opening,0,'General Calculations'!$E$28/1000)</f>
        <v>2.4546059999999996</v>
      </c>
      <c r="AL18" s="94">
        <f>IF(AL4&lt;opening,0,'General Calculations'!$E$28/1000)</f>
        <v>2.4546059999999996</v>
      </c>
      <c r="AM18" s="94">
        <f>IF(AM4&lt;opening,0,'General Calculations'!$E$28/1000)</f>
        <v>2.4546059999999996</v>
      </c>
      <c r="AN18" s="94">
        <f>IF(AN4&lt;opening,0,'General Calculations'!$E$28/1000)</f>
        <v>2.4546059999999996</v>
      </c>
      <c r="AO18" s="94">
        <f>IF(AO4&lt;opening,0,'General Calculations'!$E$28/1000)</f>
        <v>2.4546059999999996</v>
      </c>
      <c r="AP18" s="94">
        <f>IF(AP4&lt;opening,0,'General Calculations'!$E$28/1000)</f>
        <v>2.4546059999999996</v>
      </c>
      <c r="AQ18" s="94">
        <f>IF(AQ4&lt;opening,0,'General Calculations'!$E$28/1000)</f>
        <v>2.4546059999999996</v>
      </c>
      <c r="AR18" s="94">
        <f>IF(AR4&lt;opening,0,'General Calculations'!$E$28/1000)</f>
        <v>2.4546059999999996</v>
      </c>
      <c r="AS18" s="94">
        <f>IF(AS4&lt;opening,0,'General Calculations'!$E$28/1000)</f>
        <v>2.4546059999999996</v>
      </c>
      <c r="AT18" s="94">
        <f>IF(AT4&lt;opening,0,'General Calculations'!$E$28/1000)</f>
        <v>2.4546059999999996</v>
      </c>
      <c r="AU18" s="94">
        <f>IF(AU4&lt;opening,0,'General Calculations'!$E$28/1000)</f>
        <v>2.4546059999999996</v>
      </c>
      <c r="AV18" s="94">
        <f>IF(AV4&lt;opening,0,'General Calculations'!$E$28/1000)</f>
        <v>2.4546059999999996</v>
      </c>
      <c r="AW18" s="94">
        <f>IF(AW4&lt;opening,0,'General Calculations'!$E$28/1000)</f>
        <v>2.4546059999999996</v>
      </c>
      <c r="AX18" s="94">
        <f>IF(AX4&lt;opening,0,'General Calculations'!$E$28/1000)</f>
        <v>2.4546059999999996</v>
      </c>
      <c r="AY18" s="94">
        <f>IF(AY4&lt;opening,0,'General Calculations'!$E$28/1000)</f>
        <v>2.4546059999999996</v>
      </c>
      <c r="AZ18" s="94">
        <f>IF(AZ4&lt;opening,0,'General Calculations'!$E$28/1000)</f>
        <v>2.4546059999999996</v>
      </c>
      <c r="BA18" s="94">
        <f>IF(BA4&lt;opening,0,'General Calculations'!$E$28/1000)</f>
        <v>2.4546059999999996</v>
      </c>
      <c r="BB18" s="94">
        <f>IF(BB4&lt;opening,0,'General Calculations'!$E$28/1000)</f>
        <v>2.4546059999999996</v>
      </c>
      <c r="BC18" s="94">
        <f>IF(BC4&lt;opening,0,'General Calculations'!$E$28/1000)</f>
        <v>2.4546059999999996</v>
      </c>
      <c r="BD18" s="94">
        <f>IF(BD4&lt;opening,0,'General Calculations'!$E$28/1000)</f>
        <v>2.4546059999999996</v>
      </c>
      <c r="BE18" s="94">
        <f>IF(BE4&lt;opening,0,'General Calculations'!$E$28/1000)</f>
        <v>2.4546059999999996</v>
      </c>
      <c r="BF18" s="94">
        <f>IF(BF4&lt;opening,0,'General Calculations'!$E$28/1000)</f>
        <v>2.4546059999999996</v>
      </c>
      <c r="BG18" s="94">
        <f>IF(BG4&lt;opening,0,'General Calculations'!$E$28/1000)</f>
        <v>2.4546059999999996</v>
      </c>
      <c r="BH18" s="94">
        <f>IF(BH4&lt;opening,0,'General Calculations'!$E$28/1000)</f>
        <v>2.4546059999999996</v>
      </c>
      <c r="BI18" s="94">
        <f>IF(BI4&lt;opening,0,'General Calculations'!$E$28/1000)</f>
        <v>2.4546059999999996</v>
      </c>
      <c r="BJ18" s="94">
        <f>IF(BJ4&lt;opening,0,'General Calculations'!$E$28/1000)</f>
        <v>2.4546059999999996</v>
      </c>
      <c r="BK18" s="94">
        <f>IF(BK4&lt;opening,0,'General Calculations'!$E$28/1000)</f>
        <v>2.4546059999999996</v>
      </c>
      <c r="BL18" s="94">
        <f>IF(BL4&lt;opening,0,'General Calculations'!$E$28/1000)</f>
        <v>2.4546059999999996</v>
      </c>
      <c r="BM18" s="94">
        <f>IF(BM4&lt;opening,0,'General Calculations'!$E$28/1000)</f>
        <v>2.4546059999999996</v>
      </c>
      <c r="BN18" s="376">
        <f>IF(BN4&lt;opening,0,'General Calculations'!$E$28/1000)</f>
        <v>2.4546059999999996</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5.4108195901041514</v>
      </c>
      <c r="C19" s="42">
        <f>IFERROR(C$18*HLOOKUP(C$4,mecc2,2)/100*C$7*C$9*C$11*C$12,0)</f>
        <v>0</v>
      </c>
      <c r="D19" s="42">
        <f t="shared" ref="D19:AH19" si="19">IFERROR(D$18*HLOOKUP(D$4,mecc2,2)/100*D$7*D$9*D$11*D$12,0)</f>
        <v>0</v>
      </c>
      <c r="E19" s="42">
        <f t="shared" si="19"/>
        <v>0</v>
      </c>
      <c r="F19" s="42">
        <f t="shared" si="19"/>
        <v>0</v>
      </c>
      <c r="G19" s="42">
        <f t="shared" si="19"/>
        <v>0.27425162827721145</v>
      </c>
      <c r="H19" s="42">
        <f t="shared" si="19"/>
        <v>0.27340548273588972</v>
      </c>
      <c r="I19" s="42">
        <f t="shared" si="19"/>
        <v>0.27256194779812781</v>
      </c>
      <c r="J19" s="42">
        <f t="shared" si="19"/>
        <v>0.27172101540945942</v>
      </c>
      <c r="K19" s="42">
        <f t="shared" si="19"/>
        <v>0.27088267754026807</v>
      </c>
      <c r="L19" s="42">
        <f t="shared" si="19"/>
        <v>0.27429709132854974</v>
      </c>
      <c r="M19" s="42">
        <f t="shared" si="19"/>
        <v>0.2777545430165726</v>
      </c>
      <c r="N19" s="42">
        <f t="shared" si="19"/>
        <v>0.28125557508715487</v>
      </c>
      <c r="O19" s="42">
        <f t="shared" si="19"/>
        <v>0.28480073686098545</v>
      </c>
      <c r="P19" s="42">
        <f t="shared" si="19"/>
        <v>0.28839058458281469</v>
      </c>
      <c r="Q19" s="42">
        <f t="shared" si="19"/>
        <v>0.28277258000173328</v>
      </c>
      <c r="R19" s="42">
        <f t="shared" si="19"/>
        <v>0.27726401718872729</v>
      </c>
      <c r="S19" s="42">
        <f t="shared" si="19"/>
        <v>0.27186276415895644</v>
      </c>
      <c r="T19" s="42">
        <f t="shared" si="19"/>
        <v>0.26656673045979823</v>
      </c>
      <c r="U19" s="42">
        <f t="shared" si="19"/>
        <v>0.26137386636177845</v>
      </c>
      <c r="V19" s="42">
        <f t="shared" si="19"/>
        <v>0.25967854373549165</v>
      </c>
      <c r="W19" s="42">
        <f t="shared" si="19"/>
        <v>0.25799421730728378</v>
      </c>
      <c r="X19" s="42">
        <f t="shared" si="19"/>
        <v>0.25632081575363802</v>
      </c>
      <c r="Y19" s="42">
        <f t="shared" si="19"/>
        <v>0.25465826821365567</v>
      </c>
      <c r="Z19" s="42">
        <f t="shared" si="19"/>
        <v>0.25300650428605603</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2.9688934633951284E-2</v>
      </c>
      <c r="C20" s="42">
        <f t="shared" ref="C20:AH20" si="22">IFERROR(C$18*HLOOKUP(C$4,mecc2,3)/100*C$7*C$9*C$11*C$12,0)</f>
        <v>0</v>
      </c>
      <c r="D20" s="42">
        <f t="shared" si="22"/>
        <v>0</v>
      </c>
      <c r="E20" s="42">
        <f t="shared" si="22"/>
        <v>0</v>
      </c>
      <c r="F20" s="42">
        <f t="shared" si="22"/>
        <v>0</v>
      </c>
      <c r="G20" s="42">
        <f t="shared" si="22"/>
        <v>1.6407996644316669E-3</v>
      </c>
      <c r="H20" s="42">
        <f t="shared" si="22"/>
        <v>1.6200821128212334E-3</v>
      </c>
      <c r="I20" s="42">
        <f t="shared" si="22"/>
        <v>1.5996261513086254E-3</v>
      </c>
      <c r="J20" s="42">
        <f t="shared" si="22"/>
        <v>1.5794284769273263E-3</v>
      </c>
      <c r="K20" s="42">
        <f t="shared" si="22"/>
        <v>1.5594858284157138E-3</v>
      </c>
      <c r="L20" s="42">
        <f t="shared" si="22"/>
        <v>1.5619874237662095E-3</v>
      </c>
      <c r="M20" s="42">
        <f t="shared" si="22"/>
        <v>1.5644930319645201E-3</v>
      </c>
      <c r="N20" s="42">
        <f t="shared" si="22"/>
        <v>1.5670026594477157E-3</v>
      </c>
      <c r="O20" s="42">
        <f t="shared" si="22"/>
        <v>1.5695163126631928E-3</v>
      </c>
      <c r="P20" s="42">
        <f t="shared" si="22"/>
        <v>1.5720339980686922E-3</v>
      </c>
      <c r="Q20" s="42">
        <f t="shared" si="22"/>
        <v>1.530264978796336E-3</v>
      </c>
      <c r="R20" s="42">
        <f t="shared" si="22"/>
        <v>1.4896057643838732E-3</v>
      </c>
      <c r="S20" s="42">
        <f t="shared" si="22"/>
        <v>1.4500268672625629E-3</v>
      </c>
      <c r="T20" s="42">
        <f t="shared" si="22"/>
        <v>1.4114995833497891E-3</v>
      </c>
      <c r="U20" s="42">
        <f t="shared" si="22"/>
        <v>1.373995971231801E-3</v>
      </c>
      <c r="V20" s="42">
        <f t="shared" si="22"/>
        <v>1.3556116614111828E-3</v>
      </c>
      <c r="W20" s="42">
        <f t="shared" si="22"/>
        <v>1.3374733369170551E-3</v>
      </c>
      <c r="X20" s="42">
        <f t="shared" si="22"/>
        <v>1.3195777064221165E-3</v>
      </c>
      <c r="Y20" s="42">
        <f t="shared" si="22"/>
        <v>1.3019215226376063E-3</v>
      </c>
      <c r="Z20" s="42">
        <f t="shared" si="22"/>
        <v>1.2845015817240662E-3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0.91221839104672942</v>
      </c>
      <c r="C21" s="42">
        <f t="shared" ref="C21:AH21" si="24">IFERROR(C$18*HLOOKUP(C$4,mecc2,4)/100*C$7*C$9*C$11*C$12,0)</f>
        <v>0</v>
      </c>
      <c r="D21" s="42">
        <f t="shared" si="24"/>
        <v>0</v>
      </c>
      <c r="E21" s="42">
        <f t="shared" si="24"/>
        <v>0</v>
      </c>
      <c r="F21" s="42">
        <f t="shared" si="24"/>
        <v>0</v>
      </c>
      <c r="G21" s="42">
        <f t="shared" si="24"/>
        <v>4.9722587883337756E-2</v>
      </c>
      <c r="H21" s="42">
        <f t="shared" si="24"/>
        <v>4.9218470079193222E-2</v>
      </c>
      <c r="I21" s="42">
        <f t="shared" si="24"/>
        <v>4.8719463327616036E-2</v>
      </c>
      <c r="J21" s="42">
        <f t="shared" si="24"/>
        <v>4.8225515809650094E-2</v>
      </c>
      <c r="K21" s="42">
        <f t="shared" si="24"/>
        <v>4.773657623171141E-2</v>
      </c>
      <c r="L21" s="42">
        <f t="shared" si="24"/>
        <v>4.7884831649053772E-2</v>
      </c>
      <c r="M21" s="42">
        <f t="shared" si="24"/>
        <v>4.8033547503036296E-2</v>
      </c>
      <c r="N21" s="42">
        <f t="shared" si="24"/>
        <v>4.8182725223636348E-2</v>
      </c>
      <c r="O21" s="42">
        <f t="shared" si="24"/>
        <v>4.8332366245272436E-2</v>
      </c>
      <c r="P21" s="42">
        <f t="shared" si="24"/>
        <v>4.8482472006817989E-2</v>
      </c>
      <c r="Q21" s="42">
        <f t="shared" si="24"/>
        <v>4.719429038344844E-2</v>
      </c>
      <c r="R21" s="42">
        <f t="shared" si="24"/>
        <v>4.5940335808042812E-2</v>
      </c>
      <c r="S21" s="42">
        <f t="shared" si="24"/>
        <v>4.4719698866283228E-2</v>
      </c>
      <c r="T21" s="42">
        <f t="shared" si="24"/>
        <v>4.3531494307034145E-2</v>
      </c>
      <c r="U21" s="42">
        <f t="shared" si="24"/>
        <v>4.2374860400325537E-2</v>
      </c>
      <c r="V21" s="42">
        <f t="shared" si="24"/>
        <v>4.183544899010927E-2</v>
      </c>
      <c r="W21" s="42">
        <f t="shared" si="24"/>
        <v>4.1302904025392113E-2</v>
      </c>
      <c r="X21" s="42">
        <f t="shared" si="24"/>
        <v>4.0777138099654865E-2</v>
      </c>
      <c r="Y21" s="42">
        <f t="shared" si="24"/>
        <v>4.0258064919020876E-2</v>
      </c>
      <c r="Z21" s="42">
        <f t="shared" si="24"/>
        <v>3.9745599288092709E-2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0.12069564328955869</v>
      </c>
      <c r="C22" s="42">
        <f t="shared" ref="C22:AH22" si="26">IFERROR(C$18*HLOOKUP(C$4,mecc2,5)/100*C$7*C$9*C$11*C$12,0)</f>
        <v>0</v>
      </c>
      <c r="D22" s="42">
        <f t="shared" si="26"/>
        <v>0</v>
      </c>
      <c r="E22" s="42">
        <f t="shared" si="26"/>
        <v>0</v>
      </c>
      <c r="F22" s="42">
        <f t="shared" si="26"/>
        <v>0</v>
      </c>
      <c r="G22" s="42">
        <f t="shared" si="26"/>
        <v>8.1101612594453639E-3</v>
      </c>
      <c r="H22" s="42">
        <f t="shared" si="26"/>
        <v>7.5360568483494777E-3</v>
      </c>
      <c r="I22" s="42">
        <f t="shared" si="26"/>
        <v>7.0025923042421664E-3</v>
      </c>
      <c r="J22" s="42">
        <f t="shared" si="26"/>
        <v>6.5068908006143018E-3</v>
      </c>
      <c r="K22" s="42">
        <f t="shared" si="26"/>
        <v>6.046279156573158E-3</v>
      </c>
      <c r="L22" s="42">
        <f t="shared" si="26"/>
        <v>6.0843989086230409E-3</v>
      </c>
      <c r="M22" s="42">
        <f t="shared" si="26"/>
        <v>6.1227589928604925E-3</v>
      </c>
      <c r="N22" s="42">
        <f t="shared" si="26"/>
        <v>6.1613609244989447E-3</v>
      </c>
      <c r="O22" s="42">
        <f t="shared" si="26"/>
        <v>6.2002062283047395E-3</v>
      </c>
      <c r="P22" s="42">
        <f t="shared" si="26"/>
        <v>6.2392964386573588E-3</v>
      </c>
      <c r="Q22" s="42">
        <f t="shared" si="26"/>
        <v>6.073568450526522E-3</v>
      </c>
      <c r="R22" s="42">
        <f t="shared" si="26"/>
        <v>5.9122425238011542E-3</v>
      </c>
      <c r="S22" s="42">
        <f t="shared" si="26"/>
        <v>5.7552017310700445E-3</v>
      </c>
      <c r="T22" s="42">
        <f t="shared" si="26"/>
        <v>5.6023322507440521E-3</v>
      </c>
      <c r="U22" s="42">
        <f t="shared" si="26"/>
        <v>5.4535232845593831E-3</v>
      </c>
      <c r="V22" s="42">
        <f t="shared" si="26"/>
        <v>5.3594652023238555E-3</v>
      </c>
      <c r="W22" s="42">
        <f t="shared" si="26"/>
        <v>5.2670293599454236E-3</v>
      </c>
      <c r="X22" s="42">
        <f t="shared" si="26"/>
        <v>5.1761877783063877E-3</v>
      </c>
      <c r="Y22" s="42">
        <f t="shared" si="26"/>
        <v>5.086912960850864E-3</v>
      </c>
      <c r="Z22" s="42">
        <f t="shared" si="26"/>
        <v>4.9991778852619545E-3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6.0814559403115288E-2</v>
      </c>
      <c r="C23" s="42">
        <f t="shared" ref="C23:AH23" si="28">IFERROR(C$18*HLOOKUP(C$4,mecc2,6)/100*C$7*C$9*C$11*C$12,0)</f>
        <v>0</v>
      </c>
      <c r="D23" s="42">
        <f t="shared" si="28"/>
        <v>0</v>
      </c>
      <c r="E23" s="42">
        <f t="shared" si="28"/>
        <v>0</v>
      </c>
      <c r="F23" s="42">
        <f t="shared" si="28"/>
        <v>0</v>
      </c>
      <c r="G23" s="42">
        <f t="shared" si="28"/>
        <v>3.3148391922225174E-3</v>
      </c>
      <c r="H23" s="42">
        <f t="shared" si="28"/>
        <v>3.2812313386128816E-3</v>
      </c>
      <c r="I23" s="42">
        <f t="shared" si="28"/>
        <v>3.2479642218410684E-3</v>
      </c>
      <c r="J23" s="42">
        <f t="shared" si="28"/>
        <v>3.2150343873100064E-3</v>
      </c>
      <c r="K23" s="42">
        <f t="shared" si="28"/>
        <v>3.1824384154474279E-3</v>
      </c>
      <c r="L23" s="42">
        <f t="shared" si="28"/>
        <v>3.1923221099369177E-3</v>
      </c>
      <c r="M23" s="42">
        <f t="shared" si="28"/>
        <v>3.2022365002024192E-3</v>
      </c>
      <c r="N23" s="42">
        <f t="shared" si="28"/>
        <v>3.2121816815757569E-3</v>
      </c>
      <c r="O23" s="42">
        <f t="shared" si="28"/>
        <v>3.2221577496848296E-3</v>
      </c>
      <c r="P23" s="42">
        <f t="shared" si="28"/>
        <v>3.2321648004545317E-3</v>
      </c>
      <c r="Q23" s="42">
        <f t="shared" si="28"/>
        <v>3.1462860255632285E-3</v>
      </c>
      <c r="R23" s="42">
        <f t="shared" si="28"/>
        <v>3.0626890538695199E-3</v>
      </c>
      <c r="S23" s="42">
        <f t="shared" si="28"/>
        <v>2.9813132577522152E-3</v>
      </c>
      <c r="T23" s="42">
        <f t="shared" si="28"/>
        <v>2.9020996204689427E-3</v>
      </c>
      <c r="U23" s="42">
        <f t="shared" si="28"/>
        <v>2.8249906933550352E-3</v>
      </c>
      <c r="V23" s="42">
        <f t="shared" si="28"/>
        <v>2.7890299326739521E-3</v>
      </c>
      <c r="W23" s="42">
        <f t="shared" si="28"/>
        <v>2.7535269350261421E-3</v>
      </c>
      <c r="X23" s="42">
        <f t="shared" si="28"/>
        <v>2.7184758733103261E-3</v>
      </c>
      <c r="Y23" s="42">
        <f t="shared" si="28"/>
        <v>2.6838709946013948E-3</v>
      </c>
      <c r="Z23" s="42">
        <f t="shared" si="28"/>
        <v>2.6497066192061815E-3</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0.38152363794812311</v>
      </c>
      <c r="C24" s="42">
        <f t="shared" ref="C24:AH24" si="30">IFERROR(C$18*HLOOKUP(C$4,mecc2,7)/100*C$7*C$9*C$11*C$12,0)</f>
        <v>0</v>
      </c>
      <c r="D24" s="42">
        <f t="shared" si="30"/>
        <v>0</v>
      </c>
      <c r="E24" s="42">
        <f t="shared" si="30"/>
        <v>0</v>
      </c>
      <c r="F24" s="42">
        <f t="shared" si="30"/>
        <v>0</v>
      </c>
      <c r="G24" s="42">
        <f t="shared" si="30"/>
        <v>2.9133617527600974E-2</v>
      </c>
      <c r="H24" s="42">
        <f t="shared" si="30"/>
        <v>2.212398587309207E-2</v>
      </c>
      <c r="I24" s="42">
        <f t="shared" si="30"/>
        <v>1.6800891631430819E-2</v>
      </c>
      <c r="J24" s="42">
        <f t="shared" si="30"/>
        <v>1.2758549080181265E-2</v>
      </c>
      <c r="K24" s="42">
        <f t="shared" si="30"/>
        <v>9.6888057016490132E-3</v>
      </c>
      <c r="L24" s="42">
        <f t="shared" si="30"/>
        <v>1.160920287359981E-2</v>
      </c>
      <c r="M24" s="42">
        <f t="shared" si="30"/>
        <v>1.3910237805414956E-2</v>
      </c>
      <c r="N24" s="42">
        <f t="shared" si="30"/>
        <v>1.6667355882221412E-2</v>
      </c>
      <c r="O24" s="42">
        <f t="shared" si="30"/>
        <v>1.9970956355359986E-2</v>
      </c>
      <c r="P24" s="42">
        <f t="shared" si="30"/>
        <v>2.3929356315786351E-2</v>
      </c>
      <c r="Q24" s="42">
        <f t="shared" si="30"/>
        <v>2.3294031247457898E-2</v>
      </c>
      <c r="R24" s="42">
        <f t="shared" si="30"/>
        <v>2.2675574077167315E-2</v>
      </c>
      <c r="S24" s="42">
        <f t="shared" si="30"/>
        <v>2.2073536961757772E-2</v>
      </c>
      <c r="T24" s="42">
        <f t="shared" si="30"/>
        <v>2.1487483948320552E-2</v>
      </c>
      <c r="U24" s="42">
        <f t="shared" si="30"/>
        <v>2.0916990658508695E-2</v>
      </c>
      <c r="V24" s="42">
        <f t="shared" si="30"/>
        <v>2.0212700392740035E-2</v>
      </c>
      <c r="W24" s="42">
        <f t="shared" si="30"/>
        <v>1.953212409168812E-2</v>
      </c>
      <c r="X24" s="42">
        <f t="shared" si="30"/>
        <v>1.8874463288939436E-2</v>
      </c>
      <c r="Y24" s="42">
        <f t="shared" si="30"/>
        <v>1.8238946403024463E-2</v>
      </c>
      <c r="Z24" s="42">
        <f t="shared" si="30"/>
        <v>1.76248278321821E-2</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-0.44007754910990116</v>
      </c>
      <c r="C25" s="532">
        <f t="shared" ref="C25:AH25" si="32">IFERROR(C$18*HLOOKUP(C$4,mecc2,8)/100*C$7*C$9*C$11*C$12,0)</f>
        <v>0</v>
      </c>
      <c r="D25" s="532">
        <f t="shared" si="32"/>
        <v>0</v>
      </c>
      <c r="E25" s="532">
        <f t="shared" si="32"/>
        <v>0</v>
      </c>
      <c r="F25" s="532">
        <f t="shared" si="32"/>
        <v>0</v>
      </c>
      <c r="G25" s="532">
        <f t="shared" si="32"/>
        <v>-4.5266283490737594E-2</v>
      </c>
      <c r="H25" s="532">
        <f t="shared" si="32"/>
        <v>-4.1458704167136831E-2</v>
      </c>
      <c r="I25" s="532">
        <f t="shared" si="32"/>
        <v>-3.797139987359191E-2</v>
      </c>
      <c r="J25" s="532">
        <f t="shared" si="32"/>
        <v>-3.4777430634291555E-2</v>
      </c>
      <c r="K25" s="532">
        <f t="shared" si="32"/>
        <v>-3.1852122532993951E-2</v>
      </c>
      <c r="L25" s="532">
        <f t="shared" si="32"/>
        <v>-2.7992646699888945E-2</v>
      </c>
      <c r="M25" s="532">
        <f t="shared" si="32"/>
        <v>-2.4600817997391711E-2</v>
      </c>
      <c r="N25" s="532">
        <f t="shared" si="32"/>
        <v>-2.1619972295909864E-2</v>
      </c>
      <c r="O25" s="532">
        <f t="shared" si="32"/>
        <v>-1.900031137686024E-2</v>
      </c>
      <c r="P25" s="532">
        <f t="shared" si="32"/>
        <v>-1.6698071000116048E-2</v>
      </c>
      <c r="Q25" s="532">
        <f t="shared" si="32"/>
        <v>-1.6254844184362127E-2</v>
      </c>
      <c r="R25" s="532">
        <f t="shared" si="32"/>
        <v>-1.5823382201216828E-2</v>
      </c>
      <c r="S25" s="532">
        <f t="shared" si="32"/>
        <v>-1.5403372769740947E-2</v>
      </c>
      <c r="T25" s="532">
        <f t="shared" si="32"/>
        <v>-1.4994511898053694E-2</v>
      </c>
      <c r="U25" s="532">
        <f t="shared" si="32"/>
        <v>-1.4596503663311337E-2</v>
      </c>
      <c r="V25" s="532">
        <f t="shared" si="32"/>
        <v>-1.379209633260068E-2</v>
      </c>
      <c r="W25" s="532">
        <f t="shared" si="32"/>
        <v>-1.3032019559989862E-2</v>
      </c>
      <c r="X25" s="532">
        <f t="shared" si="32"/>
        <v>-1.2313830306602425E-2</v>
      </c>
      <c r="Y25" s="532">
        <f t="shared" si="32"/>
        <v>-1.1635220168432464E-2</v>
      </c>
      <c r="Z25" s="532">
        <f t="shared" si="32"/>
        <v>-1.0994007956672136E-2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8.3730872568253236</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0.46826019985099226</v>
      </c>
      <c r="H29" s="42">
        <f>IF(H4&lt;opening,0,1)*Absenteeism!$D$23*H7*H9*H11*H12*H10/1000</f>
        <v>0.46265578127548102</v>
      </c>
      <c r="I29" s="42">
        <f>IF(I4&lt;opening,0,1)*Absenteeism!$D$23*I7*I9*I11*I12*I10/1000</f>
        <v>0.45711843973871763</v>
      </c>
      <c r="J29" s="42">
        <f>IF(J4&lt;opening,0,1)*Absenteeism!$D$23*J7*J9*J11*J12*J10/1000</f>
        <v>0.45164737242252123</v>
      </c>
      <c r="K29" s="42">
        <f>IF(K4&lt;opening,0,1)*Absenteeism!$D$23*K7*K9*K11*K12*K10/1000</f>
        <v>0.44624178611731935</v>
      </c>
      <c r="L29" s="42">
        <f>IF(L4&lt;opening,0,1)*Absenteeism!$D$23*L7*L9*L11*L12*L10/1000</f>
        <v>0.44090089710714692</v>
      </c>
      <c r="M29" s="42">
        <f>IF(M4&lt;opening,0,1)*Absenteeism!$D$23*M7*M9*M11*M12*M10/1000</f>
        <v>0.43562393105602165</v>
      </c>
      <c r="N29" s="42">
        <f>IF(N4&lt;opening,0,1)*Absenteeism!$D$23*N7*N9*N11*N12*N10/1000</f>
        <v>0.43041012289567732</v>
      </c>
      <c r="O29" s="42">
        <f>IF(O4&lt;opening,0,1)*Absenteeism!$D$23*O7*O9*O11*O12*O10/1000</f>
        <v>0.42525871671464316</v>
      </c>
      <c r="P29" s="42">
        <f>IF(P4&lt;opening,0,1)*Absenteeism!$D$23*P7*P9*P11*P12*P10/1000</f>
        <v>0.42016896564865036</v>
      </c>
      <c r="Q29" s="42">
        <f>IF(Q4&lt;opening,0,1)*Absenteeism!$D$23*Q7*Q9*Q11*Q12*Q10/1000</f>
        <v>0.41514013177234832</v>
      </c>
      <c r="R29" s="42">
        <f>IF(R4&lt;opening,0,1)*Absenteeism!$D$23*R7*R9*R11*R12*R10/1000</f>
        <v>0.4101714859923194</v>
      </c>
      <c r="S29" s="42">
        <f>IF(S4&lt;opening,0,1)*Absenteeism!$D$23*S7*S9*S11*S12*S10/1000</f>
        <v>0.4052623079413728</v>
      </c>
      <c r="T29" s="42">
        <f>IF(T4&lt;opening,0,1)*Absenteeism!$D$23*T7*T9*T11*T12*T10/1000</f>
        <v>0.40041188587410337</v>
      </c>
      <c r="U29" s="42">
        <f>IF(U4&lt;opening,0,1)*Absenteeism!$D$23*U7*U9*U11*U12*U10/1000</f>
        <v>0.39561951656370203</v>
      </c>
      <c r="V29" s="42">
        <f>IF(V4&lt;opening,0,1)*Absenteeism!$D$23*V7*V9*V11*V12*V10/1000</f>
        <v>0.39088450519999884</v>
      </c>
      <c r="W29" s="42">
        <f>IF(W4&lt;opening,0,1)*Absenteeism!$D$23*W7*W9*W11*W12*W10/1000</f>
        <v>0.38620616528872831</v>
      </c>
      <c r="X29" s="42">
        <f>IF(X4&lt;opening,0,1)*Absenteeism!$D$23*X7*X9*X11*X12*X10/1000</f>
        <v>0.38158381855199974</v>
      </c>
      <c r="Y29" s="42">
        <f>IF(Y4&lt;opening,0,1)*Absenteeism!$D$23*Y7*Y9*Y11*Y12*Y10/1000</f>
        <v>0.37701679482995831</v>
      </c>
      <c r="Z29" s="42">
        <f>IF(Z4&lt;opening,0,1)*Absenteeism!$D$23*Z7*Z9*Z11*Z12*Z10/1000</f>
        <v>0.37250443198362387</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57.103114242288463</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0.6850544359523808</v>
      </c>
      <c r="H30" s="532">
        <f t="shared" si="34"/>
        <v>1.3599849147231995</v>
      </c>
      <c r="I30" s="532">
        <f t="shared" si="34"/>
        <v>2.0249036476605276</v>
      </c>
      <c r="J30" s="532">
        <f t="shared" si="34"/>
        <v>2.6799217405819142</v>
      </c>
      <c r="K30" s="532">
        <f t="shared" si="34"/>
        <v>3.3251492039855646</v>
      </c>
      <c r="L30" s="532">
        <f t="shared" si="34"/>
        <v>3.300579135975819</v>
      </c>
      <c r="M30" s="532">
        <f t="shared" si="34"/>
        <v>3.2761906201927484</v>
      </c>
      <c r="N30" s="532">
        <f t="shared" si="34"/>
        <v>3.2519823151174339</v>
      </c>
      <c r="O30" s="532">
        <f t="shared" si="34"/>
        <v>3.2279528891436597</v>
      </c>
      <c r="P30" s="532">
        <f t="shared" si="34"/>
        <v>3.2041010205046674</v>
      </c>
      <c r="Q30" s="532">
        <f t="shared" si="34"/>
        <v>3.1804253972004464</v>
      </c>
      <c r="R30" s="532">
        <f t="shared" si="34"/>
        <v>3.156924716925567</v>
      </c>
      <c r="S30" s="532">
        <f t="shared" si="34"/>
        <v>3.1335976869975464</v>
      </c>
      <c r="T30" s="532">
        <f>IF(T4&lt;opening,0,1)*T8*T9*T11*T12*T13*(VoL*YLLsC + VoL*YLLsP)/1000</f>
        <v>3.1104430242857415</v>
      </c>
      <c r="U30" s="532">
        <f t="shared" si="34"/>
        <v>3.0874594551407744</v>
      </c>
      <c r="V30" s="532">
        <f t="shared" si="34"/>
        <v>3.0646457153244646</v>
      </c>
      <c r="W30" s="532">
        <f t="shared" si="34"/>
        <v>3.0420005499402931</v>
      </c>
      <c r="X30" s="532">
        <f t="shared" si="34"/>
        <v>3.0195227133643803</v>
      </c>
      <c r="Y30" s="532">
        <f t="shared" si="34"/>
        <v>2.9972109691769599</v>
      </c>
      <c r="Z30" s="532">
        <f t="shared" si="34"/>
        <v>2.9750640900943717</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53.453113100871633</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2.9893353139092937</v>
      </c>
      <c r="H33" s="42">
        <f>IF(H4&lt;opening,0,'Journey Ambience'!$E$46)*H7*H9*H10*H11/1000</f>
        <v>2.9535571581594859</v>
      </c>
      <c r="I33" s="42">
        <f>IF(I4&lt;opening,0,'Journey Ambience'!$E$46)*I7*I9*I10*I11/1000</f>
        <v>2.9182072168100168</v>
      </c>
      <c r="J33" s="42">
        <f>IF(J4&lt;opening,0,'Journey Ambience'!$E$46)*J7*J9*J10*J11/1000</f>
        <v>2.8832803647344285</v>
      </c>
      <c r="K33" s="42">
        <f>IF(K4&lt;opening,0,'Journey Ambience'!$E$46)*K7*K9*K10*K11/1000</f>
        <v>2.8487715381468459</v>
      </c>
      <c r="L33" s="42">
        <f>IF(L4&lt;opening,0,'Journey Ambience'!$E$46)*L7*L9*L10*L11/1000</f>
        <v>2.814675733867817</v>
      </c>
      <c r="M33" s="42">
        <f>IF(M4&lt;opening,0,'Journey Ambience'!$E$46)*M7*M9*M10*M11/1000</f>
        <v>2.7809880085989414</v>
      </c>
      <c r="N33" s="42">
        <f>IF(N4&lt;opening,0,'Journey Ambience'!$E$46)*N7*N9*N10*N11/1000</f>
        <v>2.7477034782061689</v>
      </c>
      <c r="O33" s="42">
        <f>IF(O4&lt;opening,0,'Journey Ambience'!$E$46)*O7*O9*O10*O11/1000</f>
        <v>2.714817317011696</v>
      </c>
      <c r="P33" s="42">
        <f>IF(P4&lt;opening,0,'Journey Ambience'!$E$46)*P7*P9*P10*P11/1000</f>
        <v>2.6823247570943223</v>
      </c>
      <c r="Q33" s="42">
        <f>IF(Q4&lt;opening,0,'Journey Ambience'!$E$46)*Q7*Q9*Q10*Q11/1000</f>
        <v>2.6502210875981809</v>
      </c>
      <c r="R33" s="42">
        <f>IF(R4&lt;opening,0,'Journey Ambience'!$E$46)*R7*R9*R10*R11/1000</f>
        <v>2.6185016540497537</v>
      </c>
      <c r="S33" s="42">
        <f>IF(S4&lt;opening,0,'Journey Ambience'!$E$46)*S7*S9*S10*S11/1000</f>
        <v>2.5871618576830477</v>
      </c>
      <c r="T33" s="42">
        <f>IF(T4&lt;opening,0,'Journey Ambience'!$E$46)*T7*T9*T10*T11/1000</f>
        <v>2.5561971547728555</v>
      </c>
      <c r="U33" s="42">
        <f>IF(U4&lt;opening,0,'Journey Ambience'!$E$46)*U7*U9*U10*U11/1000</f>
        <v>2.525603055975997</v>
      </c>
      <c r="V33" s="42">
        <f>IF(V4&lt;opening,0,'Journey Ambience'!$E$46)*V7*V9*V10*V11/1000</f>
        <v>2.4953751256804395</v>
      </c>
      <c r="W33" s="42">
        <f>IF(W4&lt;opening,0,'Journey Ambience'!$E$46)*W7*W9*W10*W11/1000</f>
        <v>2.4655089813622109</v>
      </c>
      <c r="X33" s="42">
        <f>IF(X4&lt;opening,0,'Journey Ambience'!$E$46)*X7*X9*X10*X11/1000</f>
        <v>2.436000292950014</v>
      </c>
      <c r="Y33" s="42">
        <f>IF(Y4&lt;opening,0,'Journey Ambience'!$E$46)*Y7*Y9*Y10*Y11/1000</f>
        <v>2.4068447821974357</v>
      </c>
      <c r="Z33" s="42">
        <f>IF(Z4&lt;opening,0,'Journey Ambience'!$E$46)*Z7*Z9*Z10*Z11/1000</f>
        <v>2.3780382220626812</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6.9430885405336467</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0.38828832518414574</v>
      </c>
      <c r="H34" s="532">
        <f>IF(H4&lt;opening,0,'Journey Ambience'!$E$45)*H7*H9*H10*H11*H12/1000</f>
        <v>0.38364105791050457</v>
      </c>
      <c r="I34" s="532">
        <f>IF(I4&lt;opening,0,'Journey Ambience'!$E$45)*I7*I9*I10*I11*I12/1000</f>
        <v>0.37904941191546465</v>
      </c>
      <c r="J34" s="532">
        <f>IF(J4&lt;opening,0,'Journey Ambience'!$E$45)*J7*J9*J10*J11*J12/1000</f>
        <v>0.37451272149024456</v>
      </c>
      <c r="K34" s="532">
        <f>IF(K4&lt;opening,0,'Journey Ambience'!$E$45)*K7*K9*K10*K11*K12/1000</f>
        <v>0.37003032889366438</v>
      </c>
      <c r="L34" s="532">
        <f>IF(L4&lt;opening,0,'Journey Ambience'!$E$45)*L7*L9*L10*L11*L12/1000</f>
        <v>0.36560158425678485</v>
      </c>
      <c r="M34" s="532">
        <f>IF(M4&lt;opening,0,'Journey Ambience'!$E$45)*M7*M9*M10*M11*M12/1000</f>
        <v>0.36122584548868741</v>
      </c>
      <c r="N34" s="532">
        <f>IF(N4&lt;opening,0,'Journey Ambience'!$E$45)*N7*N9*N10*N11*N12/1000</f>
        <v>0.35690247818338205</v>
      </c>
      <c r="O34" s="532">
        <f>IF(O4&lt;opening,0,'Journey Ambience'!$E$45)*O7*O9*O10*O11*O12/1000</f>
        <v>0.35263085552782969</v>
      </c>
      <c r="P34" s="532">
        <f>IF(P4&lt;opening,0,'Journey Ambience'!$E$45)*P7*P9*P10*P11*P12/1000</f>
        <v>0.34841035821106542</v>
      </c>
      <c r="Q34" s="532">
        <f>IF(Q4&lt;opening,0,'Journey Ambience'!$E$45)*Q7*Q9*Q10*Q11*Q12/1000</f>
        <v>0.34424037433440885</v>
      </c>
      <c r="R34" s="532">
        <f>IF(R4&lt;opening,0,'Journey Ambience'!$E$45)*R7*R9*R10*R11*R12/1000</f>
        <v>0.34012029932274945</v>
      </c>
      <c r="S34" s="532">
        <f>IF(S4&lt;opening,0,'Journey Ambience'!$E$45)*S7*S9*S10*S11*S12/1000</f>
        <v>0.33604953583689401</v>
      </c>
      <c r="T34" s="532">
        <f>IF(T4&lt;opening,0,'Journey Ambience'!$E$45)*T7*T9*T10*T11*T12/1000</f>
        <v>0.33202749368696199</v>
      </c>
      <c r="U34" s="532">
        <f>IF(U4&lt;opening,0,'Journey Ambience'!$E$45)*U7*U9*U10*U11*U12/1000</f>
        <v>0.32805358974681981</v>
      </c>
      <c r="V34" s="532">
        <f>IF(V4&lt;opening,0,'Journey Ambience'!$E$45)*V7*V9*V10*V11*V12/1000</f>
        <v>0.32412724786953612</v>
      </c>
      <c r="W34" s="532">
        <f>IF(W4&lt;opening,0,'Journey Ambience'!$E$45)*W7*W9*W10*W11*W12/1000</f>
        <v>0.32024789880385113</v>
      </c>
      <c r="X34" s="532">
        <f>IF(X4&lt;opening,0,'Journey Ambience'!$E$45)*X7*X9*X10*X11*X12/1000</f>
        <v>0.31641498011164565</v>
      </c>
      <c r="Y34" s="532">
        <f>IF(Y4&lt;opening,0,'Journey Ambience'!$E$45)*Y7*Y9*Y10*Y11*Y12/1000</f>
        <v>0.31262793608639639</v>
      </c>
      <c r="Z34" s="532">
        <f>IF(Z4&lt;opening,0,'Journey Ambience'!$E$45)*Z7*Z9*Z10*Z11*Z12/1000</f>
        <v>0.30888621767260865</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5.4108195901041514</v>
      </c>
      <c r="F4" s="41"/>
      <c r="G4" s="104"/>
      <c r="H4" s="435" t="s">
        <v>16711</v>
      </c>
      <c r="I4" s="192">
        <f>SUM(E4:E9,E14)</f>
        <v>6.4756832073157291</v>
      </c>
      <c r="J4" s="436">
        <f>IFERROR(I4/SUM($I$4:$I$6),0)</f>
        <v>4.892917900071829E-2</v>
      </c>
      <c r="K4" s="41"/>
      <c r="L4" s="41"/>
      <c r="M4" s="41"/>
      <c r="N4" s="41"/>
      <c r="O4" s="41"/>
    </row>
    <row r="5" spans="1:15">
      <c r="A5" s="41"/>
      <c r="B5" s="674" t="s">
        <v>16712</v>
      </c>
      <c r="C5" s="675"/>
      <c r="D5" s="675"/>
      <c r="E5" s="124">
        <f>Discounting!B20</f>
        <v>2.9688934633951284E-2</v>
      </c>
      <c r="F5" s="41"/>
      <c r="G5" s="104"/>
      <c r="H5" s="107" t="s">
        <v>16713</v>
      </c>
      <c r="I5" s="124">
        <f>E10+E11</f>
        <v>65.476201499113785</v>
      </c>
      <c r="J5" s="430">
        <f>IFERROR(I5/SUM($I$4:$I$6),0)</f>
        <v>0.49472722504676375</v>
      </c>
      <c r="K5" s="41"/>
      <c r="L5" s="41"/>
      <c r="M5" s="41"/>
      <c r="N5" s="41"/>
      <c r="O5" s="41"/>
    </row>
    <row r="6" spans="1:15">
      <c r="A6" s="41"/>
      <c r="B6" s="674" t="s">
        <v>16441</v>
      </c>
      <c r="C6" s="675"/>
      <c r="D6" s="675"/>
      <c r="E6" s="124">
        <f>Discounting!B21</f>
        <v>0.91221839104672942</v>
      </c>
      <c r="F6" s="41"/>
      <c r="G6" s="104"/>
      <c r="H6" s="107" t="s">
        <v>16714</v>
      </c>
      <c r="I6" s="124">
        <f>E12</f>
        <v>60.396201641405277</v>
      </c>
      <c r="J6" s="430">
        <f>IFERROR(I6/SUM($I$4:$I$6),0)</f>
        <v>0.45634359595251794</v>
      </c>
      <c r="K6" s="41"/>
      <c r="L6" s="41"/>
      <c r="M6" s="41"/>
      <c r="N6" s="41"/>
      <c r="O6" s="41"/>
    </row>
    <row r="7" spans="1:15">
      <c r="A7" s="41"/>
      <c r="B7" s="674" t="s">
        <v>16715</v>
      </c>
      <c r="C7" s="675"/>
      <c r="D7" s="675"/>
      <c r="E7" s="124">
        <f>Discounting!B22</f>
        <v>0.12069564328955869</v>
      </c>
      <c r="F7" s="41"/>
      <c r="G7" s="104"/>
      <c r="H7" s="41"/>
      <c r="I7" s="41"/>
      <c r="J7" s="413"/>
      <c r="K7" s="41"/>
      <c r="L7" s="41"/>
      <c r="M7" s="41"/>
      <c r="N7" s="41"/>
      <c r="O7" s="41"/>
    </row>
    <row r="8" spans="1:15">
      <c r="A8" s="41"/>
      <c r="B8" s="674" t="s">
        <v>16443</v>
      </c>
      <c r="C8" s="675"/>
      <c r="D8" s="675"/>
      <c r="E8" s="124">
        <f>Discounting!B23</f>
        <v>6.0814559403115288E-2</v>
      </c>
      <c r="F8" s="41"/>
      <c r="G8" s="104"/>
      <c r="H8" s="41"/>
      <c r="I8" s="41"/>
      <c r="J8" s="413"/>
      <c r="K8" s="41"/>
      <c r="L8" s="41"/>
      <c r="M8" s="41"/>
      <c r="N8" s="41"/>
      <c r="O8" s="41"/>
    </row>
    <row r="9" spans="1:15">
      <c r="A9" s="41"/>
      <c r="B9" s="674" t="s">
        <v>16716</v>
      </c>
      <c r="C9" s="675"/>
      <c r="D9" s="675"/>
      <c r="E9" s="124">
        <f>Discounting!B24</f>
        <v>0.38152363794812311</v>
      </c>
      <c r="F9" s="41"/>
      <c r="G9" s="104"/>
      <c r="H9" s="41"/>
      <c r="I9" s="41"/>
      <c r="J9" s="413"/>
      <c r="K9" s="41"/>
      <c r="L9" s="41"/>
      <c r="M9" s="41"/>
      <c r="N9" s="41"/>
      <c r="O9" s="41"/>
    </row>
    <row r="10" spans="1:15">
      <c r="A10" s="41"/>
      <c r="B10" s="678" t="s">
        <v>16704</v>
      </c>
      <c r="C10" s="679"/>
      <c r="D10" s="679"/>
      <c r="E10" s="124">
        <f>Discounting!B30</f>
        <v>57.103114242288463</v>
      </c>
      <c r="F10" s="41"/>
      <c r="G10" s="104"/>
      <c r="H10" s="41"/>
      <c r="I10" s="41"/>
      <c r="J10" s="413"/>
      <c r="K10" s="41"/>
      <c r="L10" s="41"/>
      <c r="M10" s="41"/>
      <c r="N10" s="41"/>
      <c r="O10" s="41"/>
    </row>
    <row r="11" spans="1:15">
      <c r="A11" s="41"/>
      <c r="B11" s="678" t="s">
        <v>75</v>
      </c>
      <c r="C11" s="679"/>
      <c r="D11" s="679"/>
      <c r="E11" s="124">
        <f>_xlfn.IFNA(Discounting!B29, 0)</f>
        <v>8.3730872568253236</v>
      </c>
      <c r="F11" s="41"/>
      <c r="G11" s="104"/>
      <c r="H11" s="41"/>
      <c r="I11" s="41"/>
      <c r="J11" s="413"/>
      <c r="K11" s="41"/>
      <c r="L11" s="41"/>
      <c r="M11" s="41"/>
      <c r="N11" s="41"/>
      <c r="O11" s="41"/>
    </row>
    <row r="12" spans="1:15">
      <c r="A12" s="41"/>
      <c r="B12" s="678" t="s">
        <v>16423</v>
      </c>
      <c r="C12" s="679"/>
      <c r="D12" s="679"/>
      <c r="E12" s="124">
        <f>IFERROR(Discounting!B33+Discounting!B34,0)</f>
        <v>60.396201641405277</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-0.44007754910990116</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132.31839741320084</v>
      </c>
      <c r="F19" s="41"/>
      <c r="G19" s="104"/>
      <c r="H19" s="41"/>
      <c r="I19" s="41"/>
      <c r="J19" s="413"/>
      <c r="K19" s="41"/>
      <c r="L19" s="41"/>
      <c r="M19" s="41"/>
      <c r="N19" s="41"/>
      <c r="O19" s="41"/>
    </row>
    <row r="20" spans="1:15">
      <c r="A20" s="41"/>
      <c r="B20" s="674" t="s">
        <v>16719</v>
      </c>
      <c r="C20" s="675"/>
      <c r="D20" s="675"/>
      <c r="E20" s="124">
        <f>IFERROR((E15+E16)-E5,0)</f>
        <v>-2.9688934633951284E-2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-4456.8253810591741</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2023-01-12T09:54:11Z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