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k.wspgroup.com\central data\Projects\70099xxx\70099468 - Cambs JPSF - Barton Greenway Preliminary Design\03 WIP\OBC\04 Economic Appraisal Model\AMATs\"/>
    </mc:Choice>
  </mc:AlternateContent>
  <xr:revisionPtr revIDLastSave="0" documentId="13_ncr:1_{6951DCA5-47BE-4F16-BC5A-2A8A50ADBEF5}" xr6:coauthVersionLast="47" xr6:coauthVersionMax="47" xr10:uidLastSave="{00000000-0000-0000-0000-000000000000}"/>
  <bookViews>
    <workbookView xWindow="-120" yWindow="-120" windowWidth="29040" windowHeight="17640" tabRatio="850" activeTab="4"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F74" i="27" s="1"/>
  <c r="D15" i="25"/>
  <c r="D8" i="13" s="1"/>
  <c r="D14" i="27"/>
  <c r="J19" i="24"/>
  <c r="I20" i="24"/>
  <c r="E14" i="27"/>
  <c r="D23" i="14"/>
  <c r="H29" i="19" s="1"/>
  <c r="D24" i="25"/>
  <c r="D25" i="25" s="1"/>
  <c r="E28" i="25" s="1"/>
  <c r="I18" i="19" s="1"/>
  <c r="F75" i="27"/>
  <c r="F73" i="27"/>
  <c r="F14" i="27"/>
  <c r="AE18" i="11"/>
  <c r="AF15" i="11"/>
  <c r="I75"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<sst xmlns="http://schemas.openxmlformats.org/spreadsheetml/2006/main" count="55865" uniqueCount="16762">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</sst>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0" fillId="2" borderId="85" xfId="0" applyFill="1" applyBorder="1"/>
    <xf numFmtId="0" fontId="0" fillId="2" borderId="49"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0.69382320078382798</c:v>
                </c:pt>
                <c:pt idx="1">
                  <c:v>7.9372933506375762</c:v>
                </c:pt>
                <c:pt idx="2">
                  <c:v>4.8646298205677549</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abSelected="1" topLeftCell="A10" zoomScale="80" zoomScaleNormal="80" workbookViewId="0">
      <selection activeCell="H54" sqref="H54"/>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2</v>
      </c>
      <c r="G33" s="41" t="s">
        <v>16311</v>
      </c>
      <c r="H33" s="311" t="s">
        <v>16758</v>
      </c>
    </row>
    <row r="34" spans="1:69">
      <c r="A34" s="41"/>
      <c r="D34" s="146" t="s">
        <v>16312</v>
      </c>
      <c r="F34" s="383">
        <f>ROUND(F33*1.25,0)</f>
        <v>3</v>
      </c>
      <c r="G34" s="41" t="s">
        <v>16311</v>
      </c>
      <c r="H34" s="311" t="s">
        <v>16759</v>
      </c>
    </row>
    <row r="35" spans="1:69" ht="30.75" thickBot="1">
      <c r="A35" s="41"/>
      <c r="D35" s="146" t="s">
        <v>16313</v>
      </c>
      <c r="F35" s="384">
        <f>2.2/5.14</f>
        <v>0.42801556420233466</v>
      </c>
      <c r="G35" s="41" t="s">
        <v>16314</v>
      </c>
      <c r="H35" s="311" t="s">
        <v>16761</v>
      </c>
    </row>
    <row r="36" spans="1:69" ht="15.75" thickBot="1">
      <c r="A36" s="41"/>
    </row>
    <row r="37" spans="1:69">
      <c r="A37" s="41"/>
      <c r="D37" s="146" t="s">
        <v>16315</v>
      </c>
      <c r="F37" s="385" t="s">
        <v>16552</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10</v>
      </c>
      <c r="G46" s="41" t="s">
        <v>16311</v>
      </c>
      <c r="H46" s="311"/>
    </row>
    <row r="47" spans="1:69">
      <c r="A47" s="41"/>
      <c r="D47" s="146" t="s">
        <v>16312</v>
      </c>
      <c r="F47" s="536">
        <f>ROUND(F46*1.1,0)</f>
        <v>11</v>
      </c>
      <c r="G47" s="41" t="s">
        <v>16311</v>
      </c>
      <c r="H47" s="311"/>
    </row>
    <row r="48" spans="1:69" ht="15.75" thickBot="1">
      <c r="A48" s="41"/>
      <c r="D48" s="146" t="s">
        <v>16320</v>
      </c>
      <c r="F48" s="537">
        <f>1.1/1.1</f>
        <v>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54</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48</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48</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2</v>
      </c>
      <c r="E28" s="108" t="s">
        <v>16311</v>
      </c>
    </row>
    <row r="29" spans="2:8">
      <c r="C29" s="108" t="s">
        <v>16409</v>
      </c>
      <c r="D29" s="367">
        <f>'User Interface Intervention'!F34</f>
        <v>3</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0.42801556420233466</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No provision</v>
      </c>
      <c r="E42" s="108">
        <f>IFERROR(VLOOKUP('Input Summary'!D42,JQQQ,2, FALSE),0)</f>
        <v>0</v>
      </c>
    </row>
    <row r="43" spans="2:8">
      <c r="C43" s="108" t="s">
        <v>16423</v>
      </c>
      <c r="D43" s="205">
        <f>E41-E42</f>
        <v>7.03</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10</v>
      </c>
      <c r="E50" s="242" t="s">
        <v>16311</v>
      </c>
    </row>
    <row r="51" spans="2:6">
      <c r="C51" s="108" t="s">
        <v>16409</v>
      </c>
      <c r="D51" s="367">
        <f>'User Interface Intervention'!F47</f>
        <v>11</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0</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1</v>
      </c>
      <c r="E68" s="120">
        <f>IF('User Interface Intervention'!F66="Yes",1,0)</f>
        <v>1</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8" t="s">
        <v>16513</v>
      </c>
      <c r="D6" s="631" t="s">
        <v>103</v>
      </c>
      <c r="E6" s="632"/>
      <c r="F6" s="633"/>
      <c r="G6" s="631" t="s">
        <v>16514</v>
      </c>
      <c r="H6" s="632"/>
      <c r="I6" s="633"/>
      <c r="J6" s="631" t="s">
        <v>5086</v>
      </c>
      <c r="K6" s="632"/>
      <c r="L6" s="633"/>
      <c r="M6" s="631" t="s">
        <v>5164</v>
      </c>
      <c r="N6" s="632"/>
      <c r="O6" s="633"/>
      <c r="P6" s="634" t="s">
        <v>16515</v>
      </c>
    </row>
    <row r="7" spans="1:16" ht="26.25" thickBot="1">
      <c r="A7" s="344" t="s">
        <v>16516</v>
      </c>
      <c r="B7" s="345"/>
      <c r="C7" s="639"/>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35"/>
    </row>
    <row r="8" spans="1:16" ht="15.75" thickTop="1">
      <c r="A8" s="636"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7"/>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7"/>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7"/>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7"/>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7"/>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8" t="s">
        <v>16513</v>
      </c>
      <c r="D23" s="631" t="s">
        <v>103</v>
      </c>
      <c r="E23" s="632"/>
      <c r="F23" s="633"/>
      <c r="G23" s="631" t="s">
        <v>16524</v>
      </c>
      <c r="H23" s="632"/>
      <c r="I23" s="633" t="s">
        <v>16525</v>
      </c>
      <c r="J23" s="631" t="s">
        <v>5086</v>
      </c>
      <c r="K23" s="632"/>
      <c r="L23" s="633" t="s">
        <v>16526</v>
      </c>
      <c r="M23" s="631" t="s">
        <v>5164</v>
      </c>
      <c r="N23" s="632"/>
      <c r="O23" s="633" t="s">
        <v>16527</v>
      </c>
      <c r="P23" s="640" t="s">
        <v>16515</v>
      </c>
    </row>
    <row r="24" spans="1:16" ht="26.25" thickBot="1">
      <c r="A24" s="344" t="s">
        <v>16516</v>
      </c>
      <c r="B24" s="345"/>
      <c r="C24" s="639"/>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41"/>
    </row>
    <row r="25" spans="1:16" ht="15.75" thickTop="1">
      <c r="A25" s="636"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7"/>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7"/>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7"/>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7"/>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7"/>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8" t="s">
        <v>16513</v>
      </c>
      <c r="D40" s="631" t="s">
        <v>103</v>
      </c>
      <c r="E40" s="632"/>
      <c r="F40" s="633"/>
      <c r="G40" s="551" t="s">
        <v>16524</v>
      </c>
      <c r="H40" s="552"/>
      <c r="I40" s="553" t="s">
        <v>16525</v>
      </c>
      <c r="J40" s="551" t="s">
        <v>5086</v>
      </c>
      <c r="K40" s="552"/>
      <c r="L40" s="553" t="s">
        <v>16526</v>
      </c>
      <c r="M40" s="551" t="s">
        <v>5164</v>
      </c>
      <c r="N40" s="552"/>
      <c r="O40" s="553" t="s">
        <v>16527</v>
      </c>
      <c r="P40" s="640" t="s">
        <v>16515</v>
      </c>
    </row>
    <row r="41" spans="1:16" ht="26.25" thickBot="1">
      <c r="A41" s="344" t="s">
        <v>16516</v>
      </c>
      <c r="B41" s="345"/>
      <c r="C41" s="639"/>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41"/>
    </row>
    <row r="42" spans="1:16" ht="15.75" thickTop="1">
      <c r="A42" s="636"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7"/>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7"/>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7"/>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7"/>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7"/>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8" t="s">
        <v>16513</v>
      </c>
      <c r="D57" s="631" t="s">
        <v>103</v>
      </c>
      <c r="E57" s="632"/>
      <c r="F57" s="633"/>
      <c r="G57" s="551" t="s">
        <v>16524</v>
      </c>
      <c r="H57" s="552"/>
      <c r="I57" s="553" t="s">
        <v>16525</v>
      </c>
      <c r="J57" s="551" t="s">
        <v>5086</v>
      </c>
      <c r="K57" s="552"/>
      <c r="L57" s="553" t="s">
        <v>16526</v>
      </c>
      <c r="M57" s="551" t="s">
        <v>5164</v>
      </c>
      <c r="N57" s="552"/>
      <c r="O57" s="553" t="s">
        <v>16527</v>
      </c>
      <c r="P57" s="640" t="s">
        <v>16515</v>
      </c>
    </row>
    <row r="58" spans="1:16" ht="26.25" thickBot="1">
      <c r="A58" s="344" t="s">
        <v>16516</v>
      </c>
      <c r="B58" s="345"/>
      <c r="C58" s="639"/>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41"/>
    </row>
    <row r="59" spans="1:16" ht="15.75" thickTop="1">
      <c r="A59" s="636"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7"/>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7"/>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7"/>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7"/>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7"/>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8" t="s">
        <v>16513</v>
      </c>
      <c r="D74" s="631" t="s">
        <v>103</v>
      </c>
      <c r="E74" s="632"/>
      <c r="F74" s="633"/>
      <c r="G74" s="631" t="s">
        <v>16524</v>
      </c>
      <c r="H74" s="632"/>
      <c r="I74" s="633" t="s">
        <v>16525</v>
      </c>
      <c r="J74" s="631" t="s">
        <v>5086</v>
      </c>
      <c r="K74" s="632"/>
      <c r="L74" s="633" t="s">
        <v>16526</v>
      </c>
      <c r="M74" s="631" t="s">
        <v>5164</v>
      </c>
      <c r="N74" s="632"/>
      <c r="O74" s="633" t="s">
        <v>16527</v>
      </c>
      <c r="P74" s="640" t="s">
        <v>16515</v>
      </c>
    </row>
    <row r="75" spans="1:16" ht="26.25" thickBot="1">
      <c r="A75" s="344" t="s">
        <v>16516</v>
      </c>
      <c r="B75" s="345"/>
      <c r="C75" s="639"/>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41"/>
    </row>
    <row r="76" spans="1:16" ht="15.75" thickTop="1">
      <c r="A76" s="636"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7"/>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7"/>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7"/>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7"/>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7"/>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8" t="s">
        <v>16513</v>
      </c>
      <c r="D91" s="631" t="s">
        <v>103</v>
      </c>
      <c r="E91" s="632"/>
      <c r="F91" s="633"/>
      <c r="G91" s="551" t="s">
        <v>16524</v>
      </c>
      <c r="H91" s="552"/>
      <c r="I91" s="553" t="s">
        <v>16525</v>
      </c>
      <c r="J91" s="551" t="s">
        <v>5086</v>
      </c>
      <c r="K91" s="552"/>
      <c r="L91" s="553" t="s">
        <v>16526</v>
      </c>
      <c r="M91" s="631" t="s">
        <v>5164</v>
      </c>
      <c r="N91" s="632"/>
      <c r="O91" s="633" t="s">
        <v>16527</v>
      </c>
      <c r="P91" s="640" t="s">
        <v>16515</v>
      </c>
    </row>
    <row r="92" spans="1:16" ht="26.25" thickBot="1">
      <c r="A92" s="344" t="s">
        <v>16516</v>
      </c>
      <c r="B92" s="345"/>
      <c r="C92" s="639"/>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41"/>
    </row>
    <row r="93" spans="1:16" ht="15.75" thickTop="1">
      <c r="A93" s="636"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7"/>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7"/>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7"/>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7"/>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7"/>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8" t="s">
        <v>16513</v>
      </c>
      <c r="D108" s="631" t="s">
        <v>103</v>
      </c>
      <c r="E108" s="632"/>
      <c r="F108" s="633"/>
      <c r="G108" s="631" t="s">
        <v>16524</v>
      </c>
      <c r="H108" s="632"/>
      <c r="I108" s="633" t="s">
        <v>16525</v>
      </c>
      <c r="J108" s="631" t="s">
        <v>5086</v>
      </c>
      <c r="K108" s="632"/>
      <c r="L108" s="633" t="s">
        <v>16526</v>
      </c>
      <c r="M108" s="631" t="s">
        <v>5164</v>
      </c>
      <c r="N108" s="632"/>
      <c r="O108" s="633" t="s">
        <v>16527</v>
      </c>
      <c r="P108" s="640" t="s">
        <v>16515</v>
      </c>
    </row>
    <row r="109" spans="1:16" ht="26.25" thickBot="1">
      <c r="A109" s="344" t="s">
        <v>16516</v>
      </c>
      <c r="B109" s="345"/>
      <c r="C109" s="639"/>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41"/>
    </row>
    <row r="110" spans="1:16" ht="15.75" thickTop="1">
      <c r="A110" s="636"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7"/>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7"/>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7"/>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7"/>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7"/>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8" t="s">
        <v>16513</v>
      </c>
      <c r="D125" s="631" t="s">
        <v>103</v>
      </c>
      <c r="E125" s="632"/>
      <c r="F125" s="633"/>
      <c r="G125" s="631" t="s">
        <v>16524</v>
      </c>
      <c r="H125" s="632"/>
      <c r="I125" s="633" t="s">
        <v>16525</v>
      </c>
      <c r="J125" s="631" t="s">
        <v>5086</v>
      </c>
      <c r="K125" s="632"/>
      <c r="L125" s="633" t="s">
        <v>16526</v>
      </c>
      <c r="M125" s="631" t="s">
        <v>5164</v>
      </c>
      <c r="N125" s="632"/>
      <c r="O125" s="633" t="s">
        <v>16527</v>
      </c>
      <c r="P125" s="640" t="s">
        <v>16515</v>
      </c>
    </row>
    <row r="126" spans="1:16" ht="26.25" thickBot="1">
      <c r="A126" s="344" t="s">
        <v>16516</v>
      </c>
      <c r="B126" s="345"/>
      <c r="C126" s="639"/>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41"/>
    </row>
    <row r="127" spans="1:16" ht="15.75" thickTop="1">
      <c r="A127" s="636"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7"/>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7"/>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7"/>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7"/>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7"/>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57" t="s">
        <v>16323</v>
      </c>
      <c r="C5" s="658"/>
      <c r="D5" s="659"/>
      <c r="E5" s="59">
        <v>3.7310066730958975</v>
      </c>
      <c r="F5" s="65" t="s">
        <v>16540</v>
      </c>
      <c r="I5" s="548" t="s">
        <v>16323</v>
      </c>
      <c r="J5" s="111">
        <v>3.7310066730958975</v>
      </c>
      <c r="K5" s="544"/>
    </row>
    <row r="6" spans="1:11">
      <c r="B6" s="651" t="s">
        <v>16324</v>
      </c>
      <c r="C6" s="652"/>
      <c r="D6" s="653"/>
      <c r="E6" s="60">
        <v>2.6336517692441621</v>
      </c>
      <c r="F6" s="65" t="s">
        <v>16540</v>
      </c>
      <c r="I6" s="546" t="s">
        <v>16324</v>
      </c>
      <c r="J6" s="112">
        <v>2.6336517692441621</v>
      </c>
      <c r="K6" s="544"/>
    </row>
    <row r="7" spans="1:11">
      <c r="B7" s="651" t="s">
        <v>16325</v>
      </c>
      <c r="C7" s="652"/>
      <c r="D7" s="653"/>
      <c r="E7" s="60">
        <v>1.8655033365479488</v>
      </c>
      <c r="F7" s="65" t="s">
        <v>16540</v>
      </c>
      <c r="I7" s="546" t="s">
        <v>16325</v>
      </c>
      <c r="J7" s="112">
        <v>1.8655033365479488</v>
      </c>
      <c r="K7" s="544"/>
    </row>
    <row r="8" spans="1:11">
      <c r="B8" s="651" t="s">
        <v>16326</v>
      </c>
      <c r="C8" s="652"/>
      <c r="D8" s="653"/>
      <c r="E8" s="60">
        <v>0.87788392308138752</v>
      </c>
      <c r="F8" s="65" t="s">
        <v>16540</v>
      </c>
      <c r="I8" s="546" t="s">
        <v>16326</v>
      </c>
      <c r="J8" s="112">
        <v>0.87788392308138752</v>
      </c>
      <c r="K8" s="544"/>
    </row>
    <row r="9" spans="1:11">
      <c r="B9" s="651" t="s">
        <v>16327</v>
      </c>
      <c r="C9" s="652"/>
      <c r="D9" s="653"/>
      <c r="E9" s="60">
        <v>0.87788392308138752</v>
      </c>
      <c r="F9" s="65" t="s">
        <v>16540</v>
      </c>
      <c r="I9" s="546" t="s">
        <v>16327</v>
      </c>
      <c r="J9" s="112">
        <v>0.87788392308138752</v>
      </c>
      <c r="K9" s="544"/>
    </row>
    <row r="10" spans="1:11">
      <c r="B10" s="651" t="s">
        <v>16328</v>
      </c>
      <c r="C10" s="652"/>
      <c r="D10" s="653"/>
      <c r="E10" s="60">
        <v>0.54867745192586725</v>
      </c>
      <c r="F10" s="65" t="s">
        <v>16540</v>
      </c>
      <c r="I10" s="546" t="s">
        <v>16328</v>
      </c>
      <c r="J10" s="112">
        <v>0.54867745192586725</v>
      </c>
      <c r="K10" s="544"/>
    </row>
    <row r="11" spans="1:11" ht="15.75" thickBot="1">
      <c r="B11" s="654" t="s">
        <v>16329</v>
      </c>
      <c r="C11" s="655"/>
      <c r="D11" s="656"/>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42" t="s">
        <v>16544</v>
      </c>
      <c r="C18" s="643"/>
      <c r="D18" s="644"/>
      <c r="E18" s="84">
        <v>7.03</v>
      </c>
      <c r="F18" s="52" t="s">
        <v>16545</v>
      </c>
      <c r="G18" s="56"/>
      <c r="I18" s="102" t="s">
        <v>16544</v>
      </c>
      <c r="J18" s="103">
        <v>7.03</v>
      </c>
    </row>
    <row r="19" spans="2:10">
      <c r="B19" s="645" t="s">
        <v>16546</v>
      </c>
      <c r="C19" s="646"/>
      <c r="D19" s="647"/>
      <c r="E19" s="85">
        <v>2.99</v>
      </c>
      <c r="F19" s="52" t="s">
        <v>16545</v>
      </c>
      <c r="G19" s="56"/>
      <c r="I19" s="102" t="s">
        <v>16546</v>
      </c>
      <c r="J19" s="103">
        <v>2.99</v>
      </c>
    </row>
    <row r="20" spans="2:10" ht="25.5">
      <c r="B20" s="645" t="s">
        <v>16547</v>
      </c>
      <c r="C20" s="646"/>
      <c r="D20" s="647"/>
      <c r="E20" s="85">
        <v>2.97</v>
      </c>
      <c r="F20" s="52" t="s">
        <v>16548</v>
      </c>
      <c r="G20" s="56"/>
      <c r="I20" s="102" t="s">
        <v>16547</v>
      </c>
      <c r="J20" s="103">
        <v>2.97</v>
      </c>
    </row>
    <row r="21" spans="2:10">
      <c r="B21" s="645" t="s">
        <v>16549</v>
      </c>
      <c r="C21" s="646"/>
      <c r="D21" s="647"/>
      <c r="E21" s="85">
        <v>1.81</v>
      </c>
      <c r="F21" s="52" t="s">
        <v>16545</v>
      </c>
      <c r="G21" s="56"/>
      <c r="I21" s="102" t="s">
        <v>16549</v>
      </c>
      <c r="J21" s="103">
        <v>1.81</v>
      </c>
    </row>
    <row r="22" spans="2:10" ht="15.75" thickBot="1">
      <c r="B22" s="648" t="s">
        <v>16550</v>
      </c>
      <c r="C22" s="649"/>
      <c r="D22" s="650"/>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2</v>
      </c>
      <c r="E4" s="120">
        <f>useP</f>
        <v>10</v>
      </c>
      <c r="F4" s="108"/>
    </row>
    <row r="5" spans="1:6">
      <c r="C5" s="120" t="s">
        <v>16598</v>
      </c>
      <c r="D5" s="122">
        <f>use_new</f>
        <v>3</v>
      </c>
      <c r="E5" s="122">
        <f>use_newP</f>
        <v>11</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1</v>
      </c>
      <c r="E12" s="123">
        <f>use_newP-useP</f>
        <v>1</v>
      </c>
    </row>
    <row r="13" spans="1:6">
      <c r="C13" s="123" t="s">
        <v>16603</v>
      </c>
      <c r="D13" s="167">
        <f>D12/(1+return)</f>
        <v>0.52631578947368418</v>
      </c>
      <c r="E13" s="167">
        <f>E12/(1+return)</f>
        <v>0.52631578947368418</v>
      </c>
    </row>
    <row r="14" spans="1:6">
      <c r="C14" s="123" t="s">
        <v>16604</v>
      </c>
      <c r="D14" s="123">
        <f>use_new-D12</f>
        <v>2</v>
      </c>
      <c r="E14" s="123">
        <f>use_newP-E12</f>
        <v>10</v>
      </c>
    </row>
    <row r="15" spans="1:6">
      <c r="C15" s="123" t="s">
        <v>16605</v>
      </c>
      <c r="D15" s="123">
        <f>D14/(1+return)</f>
        <v>1.0526315789473684</v>
      </c>
      <c r="E15" s="123">
        <f>E14/(1+return)</f>
        <v>5.2631578947368425</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1224.52</v>
      </c>
      <c r="E23" s="107">
        <f>E7*E12*scheme_days</f>
        <v>278.3</v>
      </c>
      <c r="F23" s="41" t="s">
        <v>16611</v>
      </c>
    </row>
    <row r="24" spans="2:6">
      <c r="C24" s="125" t="s">
        <v>16612</v>
      </c>
      <c r="D24" s="107">
        <f>D23*car_share</f>
        <v>293.88479999999998</v>
      </c>
      <c r="E24" s="107">
        <f>E23*car_shareP</f>
        <v>66.792000000000002</v>
      </c>
    </row>
    <row r="25" spans="2:6">
      <c r="C25" s="125" t="s">
        <v>16613</v>
      </c>
      <c r="D25" s="107">
        <f>D24/'Input Summary'!D86</f>
        <v>183.67799999999997</v>
      </c>
      <c r="E25" s="107">
        <f>E24/'Input Summary'!D86</f>
        <v>41.744999999999997</v>
      </c>
    </row>
    <row r="26" spans="2:6" ht="15.75">
      <c r="C26" s="123" t="s">
        <v>16614</v>
      </c>
      <c r="D26" s="167">
        <f>D23*'Input Summary'!D34</f>
        <v>73.471199999999996</v>
      </c>
      <c r="E26" s="167">
        <f>E23*'Input Summary'!D56</f>
        <v>16.698</v>
      </c>
      <c r="F26" s="105"/>
    </row>
    <row r="27" spans="2:6">
      <c r="C27" s="123" t="s">
        <v>16615</v>
      </c>
      <c r="D27" s="167">
        <f>D26/'Input Summary'!D87</f>
        <v>30.613</v>
      </c>
      <c r="E27" s="167">
        <f>E26/'Input Summary'!D87</f>
        <v>6.9575000000000005</v>
      </c>
    </row>
    <row r="28" spans="2:6" ht="15.75">
      <c r="B28" s="105" t="s">
        <v>16616</v>
      </c>
      <c r="C28" s="125" t="s">
        <v>16617</v>
      </c>
      <c r="D28" s="126"/>
      <c r="E28" s="127">
        <f>SUM(D25:E25,D27:E27)</f>
        <v>262.99349999999993</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0</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1</v>
      </c>
      <c r="F41" s="130">
        <f>'Input Summary'!$E$68</f>
        <v>1</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No provision</v>
      </c>
      <c r="D45" s="496">
        <f>'Input Summary'!E42</f>
        <v>0</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0.52631578947368418</v>
      </c>
      <c r="E4" s="124">
        <f>'General Calculations'!E13</f>
        <v>0.52631578947368418</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0.37968842608219161</v>
      </c>
      <c r="E19" s="446">
        <f>E18*E4</f>
        <v>0.2588784723287671</v>
      </c>
      <c r="G19" s="301"/>
      <c r="H19" s="42"/>
    </row>
    <row r="20" spans="2:8">
      <c r="C20" s="134" t="s">
        <v>16638</v>
      </c>
      <c r="D20" s="140">
        <f>'TAG VoT'!F21*D10</f>
        <v>144.50209275358495</v>
      </c>
      <c r="E20" s="140">
        <f>'TAG VoT'!$F$21*E10</f>
        <v>144.50209275358495</v>
      </c>
    </row>
    <row r="21" spans="2:8">
      <c r="C21" s="134" t="s">
        <v>16639</v>
      </c>
      <c r="D21" s="141">
        <f>D19*D20</f>
        <v>54.865772163191536</v>
      </c>
      <c r="E21" s="142">
        <f>E19*E20</f>
        <v>37.408481020357875</v>
      </c>
    </row>
    <row r="22" spans="2:8">
      <c r="C22" s="138"/>
      <c r="D22" s="149"/>
      <c r="E22" s="143"/>
    </row>
    <row r="23" spans="2:8" ht="15.75">
      <c r="C23" s="144" t="s">
        <v>16523</v>
      </c>
      <c r="D23" s="145">
        <f>D21+E21</f>
        <v>92.274253183549405</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0.52631578947368418</v>
      </c>
      <c r="E7" s="500">
        <f>'General Calculations'!E13</f>
        <v>0.52631578947368418</v>
      </c>
      <c r="F7" s="492"/>
    </row>
    <row r="8" spans="1:6">
      <c r="A8" s="492"/>
      <c r="B8" s="492"/>
      <c r="C8" s="109" t="s">
        <v>16644</v>
      </c>
      <c r="D8" s="499">
        <f>'General Calculations'!D15</f>
        <v>1.0526315789473684</v>
      </c>
      <c r="E8" s="500">
        <f>'General Calculations'!E15</f>
        <v>5.2631578947368425</v>
      </c>
      <c r="F8" s="492"/>
    </row>
    <row r="9" spans="1:6">
      <c r="A9" s="492"/>
      <c r="B9" s="492"/>
      <c r="C9" s="109" t="s">
        <v>16645</v>
      </c>
      <c r="D9" s="499">
        <f>'General Calculations'!D12</f>
        <v>1</v>
      </c>
      <c r="E9" s="500">
        <f>'General Calculations'!E12</f>
        <v>1</v>
      </c>
      <c r="F9" s="492"/>
    </row>
    <row r="10" spans="1:6">
      <c r="A10" s="492"/>
      <c r="B10" s="492"/>
      <c r="C10" s="151" t="s">
        <v>16646</v>
      </c>
      <c r="D10" s="502">
        <f>'General Calculations'!D14</f>
        <v>2</v>
      </c>
      <c r="E10" s="527">
        <f>'General Calculations'!E14</f>
        <v>10</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0.42801556420233466</v>
      </c>
      <c r="E13" s="503">
        <f>'Input Summary'!D58</f>
        <v>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0</v>
      </c>
      <c r="E19" s="498">
        <f>SUMPRODUCT('General Calculations'!D35:D41,'General Calculations'!E35:E41)/100</f>
        <v>3.1823292211700292E-2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4.0602131442514171E-2</v>
      </c>
      <c r="F20" s="492"/>
      <c r="G20" s="492"/>
      <c r="H20" s="492"/>
    </row>
    <row r="21" spans="1:8">
      <c r="A21" s="492"/>
      <c r="B21" s="492"/>
      <c r="C21" s="505" t="s">
        <v>16652</v>
      </c>
      <c r="D21" s="499">
        <f>(D20-D19)</f>
        <v>7.0300000000000001E-2</v>
      </c>
      <c r="E21" s="506">
        <f>(E20-E19)</f>
        <v>8.7788392308138785E-3</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2.0715953307392998</v>
      </c>
      <c r="E25" s="508">
        <f>E5*E13</f>
        <v>1.1000000000000001</v>
      </c>
      <c r="F25" s="131" t="s">
        <v>16641</v>
      </c>
      <c r="G25" s="131"/>
      <c r="H25" s="131"/>
    </row>
    <row r="26" spans="1:8">
      <c r="A26" s="492"/>
      <c r="B26" s="492"/>
      <c r="C26" s="109" t="s">
        <v>16657</v>
      </c>
      <c r="D26" s="499">
        <f>60*D25/speed</f>
        <v>8.2863813229571992</v>
      </c>
      <c r="E26" s="499">
        <f>60*E25/speedP</f>
        <v>13.2</v>
      </c>
      <c r="F26" s="492" t="s">
        <v>16658</v>
      </c>
      <c r="G26" s="131"/>
      <c r="H26" s="131"/>
    </row>
    <row r="27" spans="1:8">
      <c r="A27" s="492"/>
      <c r="B27" s="492"/>
      <c r="C27" s="151" t="s">
        <v>16659</v>
      </c>
      <c r="D27" s="502">
        <f>D26*scheme_days</f>
        <v>2096.4544747081713</v>
      </c>
      <c r="E27" s="502">
        <f>E26*scheme_days</f>
        <v>3339.6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147.38074957198444</v>
      </c>
      <c r="E30" s="510">
        <f>E21*E25*scheme_days</f>
        <v>2.4431509579355026</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73.690374785992219</v>
      </c>
      <c r="E35" s="514">
        <f>E9*E30/2</f>
        <v>1.2215754789677513</v>
      </c>
      <c r="F35" s="492"/>
      <c r="G35" s="511"/>
    </row>
    <row r="36" spans="2:7">
      <c r="B36" s="492"/>
      <c r="C36" s="515" t="s">
        <v>16665</v>
      </c>
      <c r="D36" s="516">
        <f>D34+D35</f>
        <v>73.690374785992219</v>
      </c>
      <c r="E36" s="531">
        <f>E35</f>
        <v>1.2215754789677513</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294.76149914396888</v>
      </c>
      <c r="E41" s="514">
        <f>E30*E10</f>
        <v>24.431509579355026</v>
      </c>
      <c r="F41" s="492"/>
      <c r="G41" s="492"/>
    </row>
    <row r="42" spans="2:7">
      <c r="B42" s="492"/>
      <c r="C42" s="515" t="s">
        <v>16669</v>
      </c>
      <c r="D42" s="516">
        <f>D40+D41</f>
        <v>294.76149914396888</v>
      </c>
      <c r="E42" s="531">
        <f>E41</f>
        <v>24.431509579355026</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74.91195026495997</v>
      </c>
      <c r="F45" s="492"/>
      <c r="G45" s="492"/>
    </row>
    <row r="46" spans="2:7" ht="15">
      <c r="B46" s="492"/>
      <c r="C46" s="499" t="s">
        <v>16671</v>
      </c>
      <c r="D46" s="492"/>
      <c r="E46" s="239">
        <f>D42+E42</f>
        <v>319.19300872332389</v>
      </c>
      <c r="F46" s="492"/>
      <c r="G46" s="492"/>
    </row>
    <row r="47" spans="2:7" ht="15">
      <c r="B47" s="492"/>
      <c r="C47" s="499" t="s">
        <v>16672</v>
      </c>
      <c r="D47" s="154">
        <f>D36+D42</f>
        <v>368.4518739299611</v>
      </c>
      <c r="E47" s="239">
        <f>E36+E42</f>
        <v>25.653085058322777</v>
      </c>
      <c r="F47" s="492"/>
      <c r="G47" s="492"/>
    </row>
    <row r="48" spans="2:7" ht="15">
      <c r="B48" s="492"/>
      <c r="C48" s="155" t="s">
        <v>16673</v>
      </c>
      <c r="D48" s="117"/>
      <c r="E48" s="237">
        <f>D47+E47</f>
        <v>394.1049589882839</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0.52631578947368418</v>
      </c>
      <c r="E3" s="94"/>
      <c r="F3" s="167">
        <f>'General Calculations'!E13</f>
        <v>0.52631578947368418</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8.4210526315789472E-2</v>
      </c>
      <c r="E9" s="299">
        <f>'General Calculations'!$D$13*'Health Assumptions'!E25</f>
        <v>2.1052631578947368E-2</v>
      </c>
      <c r="F9" s="300">
        <f>'General Calculations'!$E$13*'Health Assumptions'!F25</f>
        <v>7.8947368421052627E-2</v>
      </c>
      <c r="G9" s="167">
        <f>'General Calculations'!$E$13*'Health Assumptions'!G25</f>
        <v>7.8947368421052627E-2</v>
      </c>
    </row>
    <row r="10" spans="1:7">
      <c r="B10" s="179"/>
      <c r="C10" s="125" t="s">
        <v>16583</v>
      </c>
      <c r="D10" s="167">
        <f>'General Calculations'!$D$13*'Health Assumptions'!D26</f>
        <v>0.20526315789473684</v>
      </c>
      <c r="E10" s="299">
        <f>'General Calculations'!$D$13*'Health Assumptions'!E26</f>
        <v>8.4210526315789472E-2</v>
      </c>
      <c r="F10" s="300">
        <f>'General Calculations'!$E$13*'Health Assumptions'!F26</f>
        <v>8.9473684210526316E-2</v>
      </c>
      <c r="G10" s="167">
        <f>'General Calculations'!$E$13*'Health Assumptions'!G26</f>
        <v>0.12631578947368419</v>
      </c>
    </row>
    <row r="11" spans="1:7">
      <c r="C11" s="125" t="s">
        <v>16584</v>
      </c>
      <c r="D11" s="167">
        <f>'General Calculations'!$D$13*'Health Assumptions'!D27</f>
        <v>6.8421052631578952E-2</v>
      </c>
      <c r="E11" s="299">
        <f>'General Calculations'!$D$13*'Health Assumptions'!E27</f>
        <v>2.6315789473684209E-2</v>
      </c>
      <c r="F11" s="300">
        <f>'General Calculations'!$E$13*'Health Assumptions'!F27</f>
        <v>3.6842105263157898E-2</v>
      </c>
      <c r="G11" s="167">
        <f>'General Calculations'!$E$13*'Health Assumptions'!G27</f>
        <v>4.7368421052631574E-2</v>
      </c>
    </row>
    <row r="12" spans="1:7">
      <c r="C12" s="125" t="s">
        <v>16585</v>
      </c>
      <c r="D12" s="167">
        <f>'General Calculations'!$D$13*'Health Assumptions'!D28</f>
        <v>2.6315789473684209E-2</v>
      </c>
      <c r="E12" s="299">
        <f>'General Calculations'!$D$13*'Health Assumptions'!E28</f>
        <v>5.263157894736842E-3</v>
      </c>
      <c r="F12" s="300">
        <f>'General Calculations'!$E$13*'Health Assumptions'!F28</f>
        <v>2.6315789473684209E-2</v>
      </c>
      <c r="G12" s="167">
        <f>'General Calculations'!$E$13*'Health Assumptions'!G28</f>
        <v>2.6315789473684209E-2</v>
      </c>
    </row>
    <row r="13" spans="1:7">
      <c r="C13" s="125" t="s">
        <v>16586</v>
      </c>
      <c r="D13" s="167">
        <f>'General Calculations'!$D$13*'Health Assumptions'!D29</f>
        <v>5.263157894736842E-3</v>
      </c>
      <c r="E13" s="299">
        <f>'General Calculations'!$D$13*'Health Assumptions'!E29</f>
        <v>0</v>
      </c>
      <c r="F13" s="300">
        <f>'General Calculations'!$E$13*'Health Assumptions'!F29</f>
        <v>5.263157894736842E-3</v>
      </c>
      <c r="G13" s="167">
        <f>'General Calculations'!$E$13*'Health Assumptions'!G29</f>
        <v>5.263157894736842E-3</v>
      </c>
    </row>
    <row r="14" spans="1:7">
      <c r="C14" s="125" t="s">
        <v>16523</v>
      </c>
      <c r="D14" s="167">
        <f>SUM(D9:D13)</f>
        <v>0.38947368421052631</v>
      </c>
      <c r="E14" s="299">
        <f>SUM(E9:E13)</f>
        <v>0.13684210526315788</v>
      </c>
      <c r="F14" s="300">
        <f>SUM(F9:F13)</f>
        <v>0.23684210526315788</v>
      </c>
      <c r="G14" s="167">
        <f>SUM(G9:G13)</f>
        <v>0.28421052631578947</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5.1850238386911353E-5</v>
      </c>
      <c r="E72" s="124">
        <f>E64*'Health Assumptions'!E60*E10</f>
        <v>1.0984411210281577E-5</v>
      </c>
      <c r="F72" s="162">
        <f>SUM(D72:E72)</f>
        <v>6.2834649597192933E-5</v>
      </c>
      <c r="G72" s="124">
        <f>F64*'Health Assumptions'!D60*F10</f>
        <v>7.8415826075344953E-6</v>
      </c>
      <c r="H72" s="124">
        <f>G64*'Health Assumptions'!E60*G10</f>
        <v>6.363447586612279E-6</v>
      </c>
      <c r="I72" s="124">
        <f>SUM(G72:H72)</f>
        <v>1.4205030194146774E-5</v>
      </c>
    </row>
    <row r="73" spans="2:12">
      <c r="C73" s="125" t="s">
        <v>16584</v>
      </c>
      <c r="D73" s="124">
        <f>D65*'Health Assumptions'!D61*D11</f>
        <v>9.760771436511989E-5</v>
      </c>
      <c r="E73" s="124">
        <f>E65*'Health Assumptions'!E61*E11</f>
        <v>1.9391422447428443E-5</v>
      </c>
      <c r="F73" s="162">
        <f>SUM(D73:E73)</f>
        <v>1.1699913681254833E-4</v>
      </c>
      <c r="G73" s="124">
        <f>F65*'Health Assumptions'!D61*F11</f>
        <v>1.8314996818461275E-5</v>
      </c>
      <c r="H73" s="124">
        <f>G65*'Health Assumptions'!E61*G11</f>
        <v>1.5900102814975091E-5</v>
      </c>
      <c r="I73" s="124">
        <f>SUM(G73:H73)</f>
        <v>3.4215099633436365E-5</v>
      </c>
    </row>
    <row r="74" spans="2:12">
      <c r="C74" s="125" t="s">
        <v>16585</v>
      </c>
      <c r="D74" s="124">
        <f>D66*'Health Assumptions'!D62*D12</f>
        <v>1.2727167123729666E-4</v>
      </c>
      <c r="E74" s="124">
        <f>E66*'Health Assumptions'!E62*E12</f>
        <v>1.3551955719714449E-5</v>
      </c>
      <c r="F74" s="162">
        <f>SUM(D74:E74)</f>
        <v>1.4082362695701112E-4</v>
      </c>
      <c r="G74" s="124">
        <f>F66*'Health Assumptions'!D62*F12</f>
        <v>5.1859747776449979E-5</v>
      </c>
      <c r="H74" s="124">
        <f>G66*'Health Assumptions'!E62*G12</f>
        <v>3.4750068237732303E-5</v>
      </c>
      <c r="I74" s="124">
        <f>SUM(G74:H74)</f>
        <v>8.6609816014182275E-5</v>
      </c>
    </row>
    <row r="75" spans="2:12">
      <c r="C75" s="125" t="s">
        <v>16586</v>
      </c>
      <c r="D75" s="124">
        <f>D67*'Health Assumptions'!D63*D13</f>
        <v>8.404046807451509E-5</v>
      </c>
      <c r="E75" s="124">
        <f>E67*'Health Assumptions'!E63*E13</f>
        <v>0</v>
      </c>
      <c r="F75" s="162">
        <f>SUM(D75:E75)</f>
        <v>8.404046807451509E-5</v>
      </c>
      <c r="G75" s="124">
        <f>F67*'Health Assumptions'!D63*F13</f>
        <v>4.6983795339672784E-5</v>
      </c>
      <c r="H75" s="124">
        <f>G67*'Health Assumptions'!E63*G13</f>
        <v>3.7358590007520492E-5</v>
      </c>
      <c r="I75" s="124">
        <f>SUM(G75:H75)</f>
        <v>8.4342385347193282E-5</v>
      </c>
    </row>
    <row r="76" spans="2:12">
      <c r="C76" s="125" t="s">
        <v>16683</v>
      </c>
      <c r="D76" s="124">
        <f t="shared" ref="D76:I76" si="2">SUM(D71:D75)</f>
        <v>3.6077009206384299E-4</v>
      </c>
      <c r="E76" s="124">
        <f t="shared" si="2"/>
        <v>4.3927789377424471E-5</v>
      </c>
      <c r="F76" s="162">
        <f t="shared" si="2"/>
        <v>4.046978814412675E-4</v>
      </c>
      <c r="G76" s="124">
        <f t="shared" si="2"/>
        <v>1.2500012254211854E-4</v>
      </c>
      <c r="H76" s="124">
        <f t="shared" si="2"/>
        <v>9.4372208646840159E-5</v>
      </c>
      <c r="I76" s="124">
        <f t="shared" si="2"/>
        <v>2.193723311889587E-4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1.8065628557044715E-3</v>
      </c>
      <c r="E82" s="124">
        <f>E72*'Health Assumptions'!E93</f>
        <v>3.7662682461368655E-4</v>
      </c>
      <c r="F82" s="162">
        <f>SUM(D82:E82)</f>
        <v>2.183189680318158E-3</v>
      </c>
      <c r="G82" s="124">
        <f>G72*'Health Assumptions'!D68</f>
        <v>2.7321594479469278E-4</v>
      </c>
      <c r="H82" s="124">
        <f>H72*'Health Assumptions'!E68</f>
        <v>2.1818602856911562E-4</v>
      </c>
      <c r="I82" s="124">
        <f>SUM(G82:H82)</f>
        <v>4.9140197336380842E-4</v>
      </c>
    </row>
    <row r="83" spans="3:11">
      <c r="C83" s="125" t="s">
        <v>16584</v>
      </c>
      <c r="D83" s="124">
        <f>D73*'Health Assumptions'!D94</f>
        <v>2.315910587449118E-3</v>
      </c>
      <c r="E83" s="124">
        <f>E73*'Health Assumptions'!E94</f>
        <v>4.6009478701353732E-4</v>
      </c>
      <c r="F83" s="162">
        <f>SUM(D83:E83)</f>
        <v>2.7760053744626551E-3</v>
      </c>
      <c r="G83" s="124">
        <f>G73*'Health Assumptions'!D69</f>
        <v>4.345547410556793E-4</v>
      </c>
      <c r="H83" s="124">
        <f>H73*'Health Assumptions'!E69</f>
        <v>3.7725723515035111E-4</v>
      </c>
      <c r="I83" s="124">
        <f>SUM(G83:H83)</f>
        <v>8.1181197620603046E-4</v>
      </c>
    </row>
    <row r="84" spans="3:11">
      <c r="C84" s="125" t="s">
        <v>16585</v>
      </c>
      <c r="D84" s="124">
        <f>D74*'Health Assumptions'!D95</f>
        <v>1.9257812629823055E-3</v>
      </c>
      <c r="E84" s="124">
        <f>E74*'Health Assumptions'!E95</f>
        <v>1.9437885857503015E-4</v>
      </c>
      <c r="F84" s="162">
        <f>SUM(D84:E84)</f>
        <v>2.1201601215573357E-3</v>
      </c>
      <c r="G84" s="124">
        <f>G74*'Health Assumptions'!D70</f>
        <v>7.8470353692981787E-4</v>
      </c>
      <c r="H84" s="124">
        <f>H74*'Health Assumptions'!E70</f>
        <v>4.9842832570863365E-4</v>
      </c>
      <c r="I84" s="124">
        <f>SUM(G84:H84)</f>
        <v>1.2831318626384514E-3</v>
      </c>
    </row>
    <row r="85" spans="3:11">
      <c r="C85" s="125" t="s">
        <v>16586</v>
      </c>
      <c r="D85" s="124">
        <f>D75*'Health Assumptions'!D96</f>
        <v>4.8597619023607965E-4</v>
      </c>
      <c r="E85" s="124">
        <f>E75*'Health Assumptions'!E96</f>
        <v>0</v>
      </c>
      <c r="F85" s="162">
        <f>SUM(D85:E85)</f>
        <v>4.8597619023607965E-4</v>
      </c>
      <c r="G85" s="124">
        <f>G75*'Health Assumptions'!D71</f>
        <v>2.7169060793141706E-4</v>
      </c>
      <c r="H85" s="124">
        <f>H75*'Health Assumptions'!E71</f>
        <v>2.1603146270376408E-4</v>
      </c>
      <c r="I85" s="124">
        <f>SUM(G85:H85)</f>
        <v>4.8772207063518114E-4</v>
      </c>
    </row>
    <row r="86" spans="3:11">
      <c r="C86" s="125" t="s">
        <v>16683</v>
      </c>
      <c r="D86" s="124">
        <f t="shared" ref="D86:I86" si="3">SUM(D81:D85)</f>
        <v>6.5342308963719752E-3</v>
      </c>
      <c r="E86" s="124">
        <f t="shared" si="3"/>
        <v>1.0311004702022539E-3</v>
      </c>
      <c r="F86" s="162">
        <f t="shared" si="3"/>
        <v>7.5653313665742282E-3</v>
      </c>
      <c r="G86" s="124">
        <f t="shared" si="3"/>
        <v>1.7641648307116068E-3</v>
      </c>
      <c r="H86" s="124">
        <f t="shared" si="3"/>
        <v>1.3099030521318642E-3</v>
      </c>
      <c r="I86" s="124">
        <f t="shared" si="3"/>
        <v>3.0740678828434717E-3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0.26299349999999994</v>
      </c>
      <c r="H18" s="94">
        <f>IF(H4&lt;opening,0,'General Calculations'!$E$28/1000)</f>
        <v>0.26299349999999994</v>
      </c>
      <c r="I18" s="94">
        <f>IF(I4&lt;opening,0,'General Calculations'!$E$28/1000)</f>
        <v>0.26299349999999994</v>
      </c>
      <c r="J18" s="94">
        <f>IF(J4&lt;opening,0,'General Calculations'!$E$28/1000)</f>
        <v>0.26299349999999994</v>
      </c>
      <c r="K18" s="94">
        <f>IF(K4&lt;opening,0,'General Calculations'!$E$28/1000)</f>
        <v>0.26299349999999994</v>
      </c>
      <c r="L18" s="94">
        <f>IF(L4&lt;opening,0,'General Calculations'!$E$28/1000)</f>
        <v>0.26299349999999994</v>
      </c>
      <c r="M18" s="94">
        <f>IF(M4&lt;opening,0,'General Calculations'!$E$28/1000)</f>
        <v>0.26299349999999994</v>
      </c>
      <c r="N18" s="94">
        <f>IF(N4&lt;opening,0,'General Calculations'!$E$28/1000)</f>
        <v>0.26299349999999994</v>
      </c>
      <c r="O18" s="94">
        <f>IF(O4&lt;opening,0,'General Calculations'!$E$28/1000)</f>
        <v>0.26299349999999994</v>
      </c>
      <c r="P18" s="94">
        <f>IF(P4&lt;opening,0,'General Calculations'!$E$28/1000)</f>
        <v>0.26299349999999994</v>
      </c>
      <c r="Q18" s="94">
        <f>IF(Q4&lt;opening,0,'General Calculations'!$E$28/1000)</f>
        <v>0.26299349999999994</v>
      </c>
      <c r="R18" s="94">
        <f>IF(R4&lt;opening,0,'General Calculations'!$E$28/1000)</f>
        <v>0.26299349999999994</v>
      </c>
      <c r="S18" s="94">
        <f>IF(S4&lt;opening,0,'General Calculations'!$E$28/1000)</f>
        <v>0.26299349999999994</v>
      </c>
      <c r="T18" s="94">
        <f>IF(T4&lt;opening,0,'General Calculations'!$E$28/1000)</f>
        <v>0.26299349999999994</v>
      </c>
      <c r="U18" s="94">
        <f>IF(U4&lt;opening,0,'General Calculations'!$E$28/1000)</f>
        <v>0.26299349999999994</v>
      </c>
      <c r="V18" s="94">
        <f>IF(V4&lt;opening,0,'General Calculations'!$E$28/1000)</f>
        <v>0.26299349999999994</v>
      </c>
      <c r="W18" s="94">
        <f>IF(W4&lt;opening,0,'General Calculations'!$E$28/1000)</f>
        <v>0.26299349999999994</v>
      </c>
      <c r="X18" s="94">
        <f>IF(X4&lt;opening,0,'General Calculations'!$E$28/1000)</f>
        <v>0.26299349999999994</v>
      </c>
      <c r="Y18" s="94">
        <f>IF(Y4&lt;opening,0,'General Calculations'!$E$28/1000)</f>
        <v>0.26299349999999994</v>
      </c>
      <c r="Z18" s="94">
        <f>IF(Z4&lt;opening,0,'General Calculations'!$E$28/1000)</f>
        <v>0.26299349999999994</v>
      </c>
      <c r="AA18" s="94">
        <f>IF(AA4&lt;opening,0,'General Calculations'!$E$28/1000)</f>
        <v>0.26299349999999994</v>
      </c>
      <c r="AB18" s="94">
        <f>IF(AB4&lt;opening,0,'General Calculations'!$E$28/1000)</f>
        <v>0.26299349999999994</v>
      </c>
      <c r="AC18" s="94">
        <f>IF(AC4&lt;opening,0,'General Calculations'!$E$28/1000)</f>
        <v>0.26299349999999994</v>
      </c>
      <c r="AD18" s="94">
        <f>IF(AD4&lt;opening,0,'General Calculations'!$E$28/1000)</f>
        <v>0.26299349999999994</v>
      </c>
      <c r="AE18" s="94">
        <f>IF(AE4&lt;opening,0,'General Calculations'!$E$28/1000)</f>
        <v>0.26299349999999994</v>
      </c>
      <c r="AF18" s="94">
        <f>IF(AF4&lt;opening,0,'General Calculations'!$E$28/1000)</f>
        <v>0.26299349999999994</v>
      </c>
      <c r="AG18" s="94">
        <f>IF(AG4&lt;opening,0,'General Calculations'!$E$28/1000)</f>
        <v>0.26299349999999994</v>
      </c>
      <c r="AH18" s="94">
        <f>IF(AH4&lt;opening,0,'General Calculations'!$E$28/1000)</f>
        <v>0.26299349999999994</v>
      </c>
      <c r="AI18" s="94">
        <f>IF(AI4&lt;opening,0,'General Calculations'!$E$28/1000)</f>
        <v>0.26299349999999994</v>
      </c>
      <c r="AJ18" s="94">
        <f>IF(AJ4&lt;opening,0,'General Calculations'!$E$28/1000)</f>
        <v>0.26299349999999994</v>
      </c>
      <c r="AK18" s="94">
        <f>IF(AK4&lt;opening,0,'General Calculations'!$E$28/1000)</f>
        <v>0.26299349999999994</v>
      </c>
      <c r="AL18" s="94">
        <f>IF(AL4&lt;opening,0,'General Calculations'!$E$28/1000)</f>
        <v>0.26299349999999994</v>
      </c>
      <c r="AM18" s="94">
        <f>IF(AM4&lt;opening,0,'General Calculations'!$E$28/1000)</f>
        <v>0.26299349999999994</v>
      </c>
      <c r="AN18" s="94">
        <f>IF(AN4&lt;opening,0,'General Calculations'!$E$28/1000)</f>
        <v>0.26299349999999994</v>
      </c>
      <c r="AO18" s="94">
        <f>IF(AO4&lt;opening,0,'General Calculations'!$E$28/1000)</f>
        <v>0.26299349999999994</v>
      </c>
      <c r="AP18" s="94">
        <f>IF(AP4&lt;opening,0,'General Calculations'!$E$28/1000)</f>
        <v>0.26299349999999994</v>
      </c>
      <c r="AQ18" s="94">
        <f>IF(AQ4&lt;opening,0,'General Calculations'!$E$28/1000)</f>
        <v>0.26299349999999994</v>
      </c>
      <c r="AR18" s="94">
        <f>IF(AR4&lt;opening,0,'General Calculations'!$E$28/1000)</f>
        <v>0.26299349999999994</v>
      </c>
      <c r="AS18" s="94">
        <f>IF(AS4&lt;opening,0,'General Calculations'!$E$28/1000)</f>
        <v>0.26299349999999994</v>
      </c>
      <c r="AT18" s="94">
        <f>IF(AT4&lt;opening,0,'General Calculations'!$E$28/1000)</f>
        <v>0.26299349999999994</v>
      </c>
      <c r="AU18" s="94">
        <f>IF(AU4&lt;opening,0,'General Calculations'!$E$28/1000)</f>
        <v>0.26299349999999994</v>
      </c>
      <c r="AV18" s="94">
        <f>IF(AV4&lt;opening,0,'General Calculations'!$E$28/1000)</f>
        <v>0.26299349999999994</v>
      </c>
      <c r="AW18" s="94">
        <f>IF(AW4&lt;opening,0,'General Calculations'!$E$28/1000)</f>
        <v>0.26299349999999994</v>
      </c>
      <c r="AX18" s="94">
        <f>IF(AX4&lt;opening,0,'General Calculations'!$E$28/1000)</f>
        <v>0.26299349999999994</v>
      </c>
      <c r="AY18" s="94">
        <f>IF(AY4&lt;opening,0,'General Calculations'!$E$28/1000)</f>
        <v>0.26299349999999994</v>
      </c>
      <c r="AZ18" s="94">
        <f>IF(AZ4&lt;opening,0,'General Calculations'!$E$28/1000)</f>
        <v>0.26299349999999994</v>
      </c>
      <c r="BA18" s="94">
        <f>IF(BA4&lt;opening,0,'General Calculations'!$E$28/1000)</f>
        <v>0.26299349999999994</v>
      </c>
      <c r="BB18" s="94">
        <f>IF(BB4&lt;opening,0,'General Calculations'!$E$28/1000)</f>
        <v>0.26299349999999994</v>
      </c>
      <c r="BC18" s="94">
        <f>IF(BC4&lt;opening,0,'General Calculations'!$E$28/1000)</f>
        <v>0.26299349999999994</v>
      </c>
      <c r="BD18" s="94">
        <f>IF(BD4&lt;opening,0,'General Calculations'!$E$28/1000)</f>
        <v>0.26299349999999994</v>
      </c>
      <c r="BE18" s="94">
        <f>IF(BE4&lt;opening,0,'General Calculations'!$E$28/1000)</f>
        <v>0.26299349999999994</v>
      </c>
      <c r="BF18" s="94">
        <f>IF(BF4&lt;opening,0,'General Calculations'!$E$28/1000)</f>
        <v>0.26299349999999994</v>
      </c>
      <c r="BG18" s="94">
        <f>IF(BG4&lt;opening,0,'General Calculations'!$E$28/1000)</f>
        <v>0.26299349999999994</v>
      </c>
      <c r="BH18" s="94">
        <f>IF(BH4&lt;opening,0,'General Calculations'!$E$28/1000)</f>
        <v>0.26299349999999994</v>
      </c>
      <c r="BI18" s="94">
        <f>IF(BI4&lt;opening,0,'General Calculations'!$E$28/1000)</f>
        <v>0.26299349999999994</v>
      </c>
      <c r="BJ18" s="94">
        <f>IF(BJ4&lt;opening,0,'General Calculations'!$E$28/1000)</f>
        <v>0.26299349999999994</v>
      </c>
      <c r="BK18" s="94">
        <f>IF(BK4&lt;opening,0,'General Calculations'!$E$28/1000)</f>
        <v>0.26299349999999994</v>
      </c>
      <c r="BL18" s="94">
        <f>IF(BL4&lt;opening,0,'General Calculations'!$E$28/1000)</f>
        <v>0.26299349999999994</v>
      </c>
      <c r="BM18" s="94">
        <f>IF(BM4&lt;opening,0,'General Calculations'!$E$28/1000)</f>
        <v>0.26299349999999994</v>
      </c>
      <c r="BN18" s="376">
        <f>IF(BN4&lt;opening,0,'General Calculations'!$E$28/1000)</f>
        <v>0.26299349999999994</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0.57973067036830195</v>
      </c>
      <c r="C19" s="42">
        <f>IFERROR(C$18*HLOOKUP(C$4,mecc2,2)/100*C$7*C$9*C$11*C$12,0)</f>
        <v>0</v>
      </c>
      <c r="D19" s="42">
        <f t="shared" ref="D19:AH19" si="19">IFERROR(D$18*HLOOKUP(D$4,mecc2,2)/100*D$7*D$9*D$11*D$12,0)</f>
        <v>0</v>
      </c>
      <c r="E19" s="42">
        <f t="shared" si="19"/>
        <v>0</v>
      </c>
      <c r="F19" s="42">
        <f t="shared" si="19"/>
        <v>0</v>
      </c>
      <c r="G19" s="42">
        <f t="shared" si="19"/>
        <v>2.9384103029701226E-2</v>
      </c>
      <c r="H19" s="42">
        <f t="shared" si="19"/>
        <v>2.9293444578845314E-2</v>
      </c>
      <c r="I19" s="42">
        <f t="shared" si="19"/>
        <v>2.9203065835513693E-2</v>
      </c>
      <c r="J19" s="42">
        <f t="shared" si="19"/>
        <v>2.911296593672779E-2</v>
      </c>
      <c r="K19" s="42">
        <f t="shared" si="19"/>
        <v>2.9023144022171581E-2</v>
      </c>
      <c r="L19" s="42">
        <f t="shared" si="19"/>
        <v>2.9388974070916039E-2</v>
      </c>
      <c r="M19" s="42">
        <f t="shared" si="19"/>
        <v>2.9759415323204207E-2</v>
      </c>
      <c r="N19" s="42">
        <f t="shared" si="19"/>
        <v>3.0134525902195158E-2</v>
      </c>
      <c r="O19" s="42">
        <f t="shared" si="19"/>
        <v>3.0514364663677011E-2</v>
      </c>
      <c r="P19" s="42">
        <f t="shared" si="19"/>
        <v>3.0898991205301568E-2</v>
      </c>
      <c r="Q19" s="42">
        <f t="shared" si="19"/>
        <v>3.0297062143042841E-2</v>
      </c>
      <c r="R19" s="42">
        <f t="shared" si="19"/>
        <v>2.9706858984506489E-2</v>
      </c>
      <c r="S19" s="42">
        <f t="shared" si="19"/>
        <v>2.9128153302745336E-2</v>
      </c>
      <c r="T19" s="42">
        <f t="shared" si="19"/>
        <v>2.8560721120692668E-2</v>
      </c>
      <c r="U19" s="42">
        <f t="shared" si="19"/>
        <v>2.800434282447626E-2</v>
      </c>
      <c r="V19" s="42">
        <f t="shared" si="19"/>
        <v>2.7822701114516957E-2</v>
      </c>
      <c r="W19" s="42">
        <f t="shared" si="19"/>
        <v>2.7642237568637543E-2</v>
      </c>
      <c r="X19" s="42">
        <f t="shared" si="19"/>
        <v>2.7462944545032647E-2</v>
      </c>
      <c r="Y19" s="42">
        <f t="shared" si="19"/>
        <v>2.7284814451463111E-2</v>
      </c>
      <c r="Z19" s="42">
        <f t="shared" si="19"/>
        <v>2.7107839744934567E-2</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3.1809572822090655E-3</v>
      </c>
      <c r="C20" s="42">
        <f t="shared" ref="C20:AH20" si="22">IFERROR(C$18*HLOOKUP(C$4,mecc2,3)/100*C$7*C$9*C$11*C$12,0)</f>
        <v>0</v>
      </c>
      <c r="D20" s="42">
        <f t="shared" si="22"/>
        <v>0</v>
      </c>
      <c r="E20" s="42">
        <f t="shared" si="22"/>
        <v>0</v>
      </c>
      <c r="F20" s="42">
        <f t="shared" si="22"/>
        <v>0</v>
      </c>
      <c r="G20" s="42">
        <f t="shared" si="22"/>
        <v>1.7579996404624998E-4</v>
      </c>
      <c r="H20" s="42">
        <f t="shared" si="22"/>
        <v>1.7358022637370353E-4</v>
      </c>
      <c r="I20" s="42">
        <f t="shared" si="22"/>
        <v>1.713885162116384E-4</v>
      </c>
      <c r="J20" s="42">
        <f t="shared" si="22"/>
        <v>1.6922447967078494E-4</v>
      </c>
      <c r="K20" s="42">
        <f t="shared" si="22"/>
        <v>1.6708776733025509E-4</v>
      </c>
      <c r="L20" s="42">
        <f t="shared" si="22"/>
        <v>1.6735579540352248E-4</v>
      </c>
      <c r="M20" s="42">
        <f t="shared" si="22"/>
        <v>1.6762425342477E-4</v>
      </c>
      <c r="N20" s="42">
        <f t="shared" si="22"/>
        <v>1.6789314208368381E-4</v>
      </c>
      <c r="O20" s="42">
        <f t="shared" si="22"/>
        <v>1.6816246207105638E-4</v>
      </c>
      <c r="P20" s="42">
        <f t="shared" si="22"/>
        <v>1.6843221407878843E-4</v>
      </c>
      <c r="Q20" s="42">
        <f t="shared" si="22"/>
        <v>1.6395696201389312E-4</v>
      </c>
      <c r="R20" s="42">
        <f t="shared" si="22"/>
        <v>1.5960061761255783E-4</v>
      </c>
      <c r="S20" s="42">
        <f t="shared" si="22"/>
        <v>1.5536002149241747E-4</v>
      </c>
      <c r="T20" s="42">
        <f t="shared" si="22"/>
        <v>1.5123209821604882E-4</v>
      </c>
      <c r="U20" s="42">
        <f t="shared" si="22"/>
        <v>1.4721385406055011E-4</v>
      </c>
      <c r="V20" s="42">
        <f t="shared" si="22"/>
        <v>1.4524410657976958E-4</v>
      </c>
      <c r="W20" s="42">
        <f t="shared" si="22"/>
        <v>1.4330071466968445E-4</v>
      </c>
      <c r="X20" s="42">
        <f t="shared" si="22"/>
        <v>1.4138332568808387E-4</v>
      </c>
      <c r="Y20" s="42">
        <f t="shared" si="22"/>
        <v>1.3949159171117211E-4</v>
      </c>
      <c r="Z20" s="42">
        <f t="shared" si="22"/>
        <v>1.3762516947043562E-4</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9.7737684755006715E-2</v>
      </c>
      <c r="C21" s="42">
        <f t="shared" ref="C21:AH21" si="24">IFERROR(C$18*HLOOKUP(C$4,mecc2,4)/100*C$7*C$9*C$11*C$12,0)</f>
        <v>0</v>
      </c>
      <c r="D21" s="42">
        <f t="shared" si="24"/>
        <v>0</v>
      </c>
      <c r="E21" s="42">
        <f t="shared" si="24"/>
        <v>0</v>
      </c>
      <c r="F21" s="42">
        <f t="shared" si="24"/>
        <v>0</v>
      </c>
      <c r="G21" s="42">
        <f t="shared" si="24"/>
        <v>5.3274201303576164E-3</v>
      </c>
      <c r="H21" s="42">
        <f t="shared" si="24"/>
        <v>5.2734075084849875E-3</v>
      </c>
      <c r="I21" s="42">
        <f t="shared" si="24"/>
        <v>5.2199424993874316E-3</v>
      </c>
      <c r="J21" s="42">
        <f t="shared" si="24"/>
        <v>5.1670195510339391E-3</v>
      </c>
      <c r="K21" s="42">
        <f t="shared" si="24"/>
        <v>5.1146331676833641E-3</v>
      </c>
      <c r="L21" s="42">
        <f t="shared" si="24"/>
        <v>5.1305176766843321E-3</v>
      </c>
      <c r="M21" s="42">
        <f t="shared" si="24"/>
        <v>5.1464515181824603E-3</v>
      </c>
      <c r="N21" s="42">
        <f t="shared" si="24"/>
        <v>5.1624348453896086E-3</v>
      </c>
      <c r="O21" s="42">
        <f t="shared" si="24"/>
        <v>5.1784678119934742E-3</v>
      </c>
      <c r="P21" s="42">
        <f t="shared" si="24"/>
        <v>5.1945505721590693E-3</v>
      </c>
      <c r="Q21" s="42">
        <f t="shared" si="24"/>
        <v>5.0565311125123314E-3</v>
      </c>
      <c r="R21" s="42">
        <f t="shared" si="24"/>
        <v>4.9221788365760152E-3</v>
      </c>
      <c r="S21" s="42">
        <f t="shared" si="24"/>
        <v>4.7913963071017744E-3</v>
      </c>
      <c r="T21" s="42">
        <f t="shared" si="24"/>
        <v>4.664088675753659E-3</v>
      </c>
      <c r="U21" s="42">
        <f t="shared" si="24"/>
        <v>4.5401636143205925E-3</v>
      </c>
      <c r="V21" s="42">
        <f t="shared" si="24"/>
        <v>4.4823695346545645E-3</v>
      </c>
      <c r="W21" s="42">
        <f t="shared" si="24"/>
        <v>4.4253111455777256E-3</v>
      </c>
      <c r="X21" s="42">
        <f t="shared" si="24"/>
        <v>4.3689790821058779E-3</v>
      </c>
      <c r="Y21" s="42">
        <f t="shared" si="24"/>
        <v>4.3133640984665223E-3</v>
      </c>
      <c r="Z21" s="42">
        <f t="shared" si="24"/>
        <v>4.2584570665813604E-3</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1.2931676066738429E-2</v>
      </c>
      <c r="C22" s="42">
        <f t="shared" ref="C22:AH22" si="26">IFERROR(C$18*HLOOKUP(C$4,mecc2,5)/100*C$7*C$9*C$11*C$12,0)</f>
        <v>0</v>
      </c>
      <c r="D22" s="42">
        <f t="shared" si="26"/>
        <v>0</v>
      </c>
      <c r="E22" s="42">
        <f t="shared" si="26"/>
        <v>0</v>
      </c>
      <c r="F22" s="42">
        <f t="shared" si="26"/>
        <v>0</v>
      </c>
      <c r="G22" s="42">
        <f t="shared" si="26"/>
        <v>8.6894584922628888E-4</v>
      </c>
      <c r="H22" s="42">
        <f t="shared" si="26"/>
        <v>8.0743466232315834E-4</v>
      </c>
      <c r="I22" s="42">
        <f t="shared" si="26"/>
        <v>7.5027774688308916E-4</v>
      </c>
      <c r="J22" s="42">
        <f t="shared" si="26"/>
        <v>6.971668714943895E-4</v>
      </c>
      <c r="K22" s="42">
        <f t="shared" si="26"/>
        <v>6.4781562391855239E-4</v>
      </c>
      <c r="L22" s="42">
        <f t="shared" si="26"/>
        <v>6.5189988306675422E-4</v>
      </c>
      <c r="M22" s="42">
        <f t="shared" si="26"/>
        <v>6.5600989209219551E-4</v>
      </c>
      <c r="N22" s="42">
        <f t="shared" si="26"/>
        <v>6.601458133391726E-4</v>
      </c>
      <c r="O22" s="42">
        <f t="shared" si="26"/>
        <v>6.6430781017550778E-4</v>
      </c>
      <c r="P22" s="42">
        <f t="shared" si="26"/>
        <v>6.6849604699900265E-4</v>
      </c>
      <c r="Q22" s="42">
        <f t="shared" si="26"/>
        <v>6.5073947684212731E-4</v>
      </c>
      <c r="R22" s="42">
        <f t="shared" si="26"/>
        <v>6.3345455612155211E-4</v>
      </c>
      <c r="S22" s="42">
        <f t="shared" si="26"/>
        <v>6.1662875690036176E-4</v>
      </c>
      <c r="T22" s="42">
        <f t="shared" si="26"/>
        <v>6.0024988400829123E-4</v>
      </c>
      <c r="U22" s="42">
        <f t="shared" si="26"/>
        <v>5.8430606620279101E-4</v>
      </c>
      <c r="V22" s="42">
        <f t="shared" si="26"/>
        <v>5.7422841453469865E-4</v>
      </c>
      <c r="W22" s="42">
        <f t="shared" si="26"/>
        <v>5.6432457427986677E-4</v>
      </c>
      <c r="X22" s="42">
        <f t="shared" si="26"/>
        <v>5.5459154767568421E-4</v>
      </c>
      <c r="Y22" s="42">
        <f t="shared" si="26"/>
        <v>5.4502638866259256E-4</v>
      </c>
      <c r="Z22" s="42">
        <f t="shared" si="26"/>
        <v>5.356262019923523E-4</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6.5158456503337809E-3</v>
      </c>
      <c r="C23" s="42">
        <f t="shared" ref="C23:AH23" si="28">IFERROR(C$18*HLOOKUP(C$4,mecc2,6)/100*C$7*C$9*C$11*C$12,0)</f>
        <v>0</v>
      </c>
      <c r="D23" s="42">
        <f t="shared" si="28"/>
        <v>0</v>
      </c>
      <c r="E23" s="42">
        <f t="shared" si="28"/>
        <v>0</v>
      </c>
      <c r="F23" s="42">
        <f t="shared" si="28"/>
        <v>0</v>
      </c>
      <c r="G23" s="42">
        <f t="shared" si="28"/>
        <v>3.5516134202384105E-4</v>
      </c>
      <c r="H23" s="42">
        <f t="shared" si="28"/>
        <v>3.5156050056566585E-4</v>
      </c>
      <c r="I23" s="42">
        <f t="shared" si="28"/>
        <v>3.4799616662582874E-4</v>
      </c>
      <c r="J23" s="42">
        <f t="shared" si="28"/>
        <v>3.4446797006892915E-4</v>
      </c>
      <c r="K23" s="42">
        <f t="shared" si="28"/>
        <v>3.409755445122243E-4</v>
      </c>
      <c r="L23" s="42">
        <f t="shared" si="28"/>
        <v>3.420345117789556E-4</v>
      </c>
      <c r="M23" s="42">
        <f t="shared" si="28"/>
        <v>3.430967678788306E-4</v>
      </c>
      <c r="N23" s="42">
        <f t="shared" si="28"/>
        <v>3.4416232302597393E-4</v>
      </c>
      <c r="O23" s="42">
        <f t="shared" si="28"/>
        <v>3.4523118746623171E-4</v>
      </c>
      <c r="P23" s="42">
        <f t="shared" si="28"/>
        <v>3.4630337147727131E-4</v>
      </c>
      <c r="Q23" s="42">
        <f t="shared" si="28"/>
        <v>3.3710207416748881E-4</v>
      </c>
      <c r="R23" s="42">
        <f t="shared" si="28"/>
        <v>3.2814525577173431E-4</v>
      </c>
      <c r="S23" s="42">
        <f t="shared" si="28"/>
        <v>3.1942642047345156E-4</v>
      </c>
      <c r="T23" s="42">
        <f t="shared" si="28"/>
        <v>3.1093924505024386E-4</v>
      </c>
      <c r="U23" s="42">
        <f t="shared" si="28"/>
        <v>3.0267757428803949E-4</v>
      </c>
      <c r="V23" s="42">
        <f t="shared" si="28"/>
        <v>2.9882463564363771E-4</v>
      </c>
      <c r="W23" s="42">
        <f t="shared" si="28"/>
        <v>2.9502074303851516E-4</v>
      </c>
      <c r="X23" s="42">
        <f t="shared" si="28"/>
        <v>2.9126527214039206E-4</v>
      </c>
      <c r="Y23" s="42">
        <f t="shared" si="28"/>
        <v>2.875576065644351E-4</v>
      </c>
      <c r="Z23" s="42">
        <f t="shared" si="28"/>
        <v>2.8389713777209085E-4</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4.0877532637298895E-2</v>
      </c>
      <c r="C24" s="42">
        <f t="shared" ref="C24:AH24" si="30">IFERROR(C$18*HLOOKUP(C$4,mecc2,7)/100*C$7*C$9*C$11*C$12,0)</f>
        <v>0</v>
      </c>
      <c r="D24" s="42">
        <f t="shared" si="30"/>
        <v>0</v>
      </c>
      <c r="E24" s="42">
        <f t="shared" si="30"/>
        <v>0</v>
      </c>
      <c r="F24" s="42">
        <f t="shared" si="30"/>
        <v>0</v>
      </c>
      <c r="G24" s="42">
        <f t="shared" si="30"/>
        <v>3.1214590208143893E-3</v>
      </c>
      <c r="H24" s="42">
        <f t="shared" si="30"/>
        <v>2.3704270578312932E-3</v>
      </c>
      <c r="I24" s="42">
        <f t="shared" si="30"/>
        <v>1.8000955319390159E-3</v>
      </c>
      <c r="J24" s="42">
        <f t="shared" si="30"/>
        <v>1.3669874014479928E-3</v>
      </c>
      <c r="K24" s="42">
        <f t="shared" si="30"/>
        <v>1.03808632517668E-3</v>
      </c>
      <c r="L24" s="42">
        <f t="shared" si="30"/>
        <v>1.2438431650285508E-3</v>
      </c>
      <c r="M24" s="42">
        <f t="shared" si="30"/>
        <v>1.4903826220087452E-3</v>
      </c>
      <c r="N24" s="42">
        <f t="shared" si="30"/>
        <v>1.7857881302380083E-3</v>
      </c>
      <c r="O24" s="42">
        <f t="shared" si="30"/>
        <v>2.1397453237885699E-3</v>
      </c>
      <c r="P24" s="42">
        <f t="shared" si="30"/>
        <v>2.5638596052628233E-3</v>
      </c>
      <c r="Q24" s="42">
        <f t="shared" si="30"/>
        <v>2.4957890622276315E-3</v>
      </c>
      <c r="R24" s="42">
        <f t="shared" si="30"/>
        <v>2.4295257939822121E-3</v>
      </c>
      <c r="S24" s="42">
        <f t="shared" si="30"/>
        <v>2.3650218173311894E-3</v>
      </c>
      <c r="T24" s="42">
        <f t="shared" si="30"/>
        <v>2.3022304230343451E-3</v>
      </c>
      <c r="U24" s="42">
        <f t="shared" si="30"/>
        <v>2.2411061419830747E-3</v>
      </c>
      <c r="V24" s="42">
        <f t="shared" si="30"/>
        <v>2.1656464706507174E-3</v>
      </c>
      <c r="W24" s="42">
        <f t="shared" si="30"/>
        <v>2.0927275812522984E-3</v>
      </c>
      <c r="X24" s="42">
        <f t="shared" si="30"/>
        <v>2.0222639238149397E-3</v>
      </c>
      <c r="Y24" s="42">
        <f t="shared" si="30"/>
        <v>1.954172828895478E-3</v>
      </c>
      <c r="Z24" s="42">
        <f t="shared" si="30"/>
        <v>1.888374410590939E-3</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-4.7151165976060831E-2</v>
      </c>
      <c r="C25" s="532">
        <f t="shared" ref="C25:AH25" si="32">IFERROR(C$18*HLOOKUP(C$4,mecc2,8)/100*C$7*C$9*C$11*C$12,0)</f>
        <v>0</v>
      </c>
      <c r="D25" s="532">
        <f t="shared" si="32"/>
        <v>0</v>
      </c>
      <c r="E25" s="532">
        <f t="shared" si="32"/>
        <v>0</v>
      </c>
      <c r="F25" s="532">
        <f t="shared" si="32"/>
        <v>0</v>
      </c>
      <c r="G25" s="532">
        <f t="shared" si="32"/>
        <v>-4.84995894543617E-3</v>
      </c>
      <c r="H25" s="532">
        <f t="shared" si="32"/>
        <v>-4.4420040179075169E-3</v>
      </c>
      <c r="I25" s="532">
        <f t="shared" si="32"/>
        <v>-4.0683642721705609E-3</v>
      </c>
      <c r="J25" s="532">
        <f t="shared" si="32"/>
        <v>-3.7261532822455237E-3</v>
      </c>
      <c r="K25" s="532">
        <f t="shared" si="32"/>
        <v>-3.4127274142493513E-3</v>
      </c>
      <c r="L25" s="532">
        <f t="shared" si="32"/>
        <v>-2.9992121464166716E-3</v>
      </c>
      <c r="M25" s="532">
        <f t="shared" si="32"/>
        <v>-2.6358019282919686E-3</v>
      </c>
      <c r="N25" s="532">
        <f t="shared" si="32"/>
        <v>-2.3164256031331992E-3</v>
      </c>
      <c r="O25" s="532">
        <f t="shared" si="32"/>
        <v>-2.0357476475207398E-3</v>
      </c>
      <c r="P25" s="532">
        <f t="shared" si="32"/>
        <v>-1.7890790357267194E-3</v>
      </c>
      <c r="Q25" s="532">
        <f t="shared" si="32"/>
        <v>-1.741590448324513E-3</v>
      </c>
      <c r="R25" s="532">
        <f t="shared" si="32"/>
        <v>-1.6953623787018029E-3</v>
      </c>
      <c r="S25" s="532">
        <f t="shared" si="32"/>
        <v>-1.65036136818653E-3</v>
      </c>
      <c r="T25" s="532">
        <f t="shared" si="32"/>
        <v>-1.6065548462200385E-3</v>
      </c>
      <c r="U25" s="532">
        <f t="shared" si="32"/>
        <v>-1.5639111067833576E-3</v>
      </c>
      <c r="V25" s="532">
        <f t="shared" si="32"/>
        <v>-1.4777246070643583E-3</v>
      </c>
      <c r="W25" s="532">
        <f t="shared" si="32"/>
        <v>-1.3962878099989138E-3</v>
      </c>
      <c r="X25" s="532">
        <f t="shared" si="32"/>
        <v>-1.3193389614216885E-3</v>
      </c>
      <c r="Y25" s="532">
        <f t="shared" si="32"/>
        <v>-1.2466307323320495E-3</v>
      </c>
      <c r="Z25" s="532">
        <f t="shared" si="32"/>
        <v>-1.1779294239291571E-3</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1.1389861342005037</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6.3697159538554093E-2</v>
      </c>
      <c r="H29" s="42">
        <f>IF(H4&lt;opening,0,1)*Absenteeism!$D$23*H7*H9*H11*H12*H10/1000</f>
        <v>6.2934793776444106E-2</v>
      </c>
      <c r="I29" s="42">
        <f>IF(I4&lt;opening,0,1)*Absenteeism!$D$23*I7*I9*I11*I12*I10/1000</f>
        <v>6.2181552464457918E-2</v>
      </c>
      <c r="J29" s="42">
        <f>IF(J4&lt;opening,0,1)*Absenteeism!$D$23*J7*J9*J11*J12*J10/1000</f>
        <v>6.1437326395710604E-2</v>
      </c>
      <c r="K29" s="42">
        <f>IF(K4&lt;opening,0,1)*Absenteeism!$D$23*K7*K9*K11*K12*K10/1000</f>
        <v>6.0702007670370643E-2</v>
      </c>
      <c r="L29" s="42">
        <f>IF(L4&lt;opening,0,1)*Absenteeism!$D$23*L7*L9*L11*L12*L10/1000</f>
        <v>5.9975489680016307E-2</v>
      </c>
      <c r="M29" s="42">
        <f>IF(M4&lt;opening,0,1)*Absenteeism!$D$23*M7*M9*M11*M12*M10/1000</f>
        <v>5.9257667092179417E-2</v>
      </c>
      <c r="N29" s="42">
        <f>IF(N4&lt;opening,0,1)*Absenteeism!$D$23*N7*N9*N11*N12*N10/1000</f>
        <v>5.8548435835073756E-2</v>
      </c>
      <c r="O29" s="42">
        <f>IF(O4&lt;opening,0,1)*Absenteeism!$D$23*O7*O9*O11*O12*O10/1000</f>
        <v>5.7847693082506618E-2</v>
      </c>
      <c r="P29" s="42">
        <f>IF(P4&lt;opening,0,1)*Absenteeism!$D$23*P7*P9*P11*P12*P10/1000</f>
        <v>5.7155337238970816E-2</v>
      </c>
      <c r="Q29" s="42">
        <f>IF(Q4&lt;opening,0,1)*Absenteeism!$D$23*Q7*Q9*Q11*Q12*Q10/1000</f>
        <v>5.6471267924915018E-2</v>
      </c>
      <c r="R29" s="42">
        <f>IF(R4&lt;opening,0,1)*Absenteeism!$D$23*R7*R9*R11*R12*R10/1000</f>
        <v>5.5795385962190497E-2</v>
      </c>
      <c r="S29" s="42">
        <f>IF(S4&lt;opening,0,1)*Absenteeism!$D$23*S7*S9*S11*S12*S10/1000</f>
        <v>5.5127593359672017E-2</v>
      </c>
      <c r="T29" s="42">
        <f>IF(T4&lt;opening,0,1)*Absenteeism!$D$23*T7*T9*T11*T12*T10/1000</f>
        <v>5.4467793299050812E-2</v>
      </c>
      <c r="U29" s="42">
        <f>IF(U4&lt;opening,0,1)*Absenteeism!$D$23*U7*U9*U11*U12*U10/1000</f>
        <v>5.3815890120797703E-2</v>
      </c>
      <c r="V29" s="42">
        <f>IF(V4&lt;opening,0,1)*Absenteeism!$D$23*V7*V9*V11*V12*V10/1000</f>
        <v>5.3171789310293954E-2</v>
      </c>
      <c r="W29" s="42">
        <f>IF(W4&lt;opening,0,1)*Absenteeism!$D$23*W7*W9*W11*W12*W10/1000</f>
        <v>5.2535397484128485E-2</v>
      </c>
      <c r="X29" s="42">
        <f>IF(X4&lt;opening,0,1)*Absenteeism!$D$23*X7*X9*X11*X12*X10/1000</f>
        <v>5.1906622376558777E-2</v>
      </c>
      <c r="Y29" s="42">
        <f>IF(Y4&lt;opening,0,1)*Absenteeism!$D$23*Y7*Y9*Y11*Y12*Y10/1000</f>
        <v>5.1285372826134032E-2</v>
      </c>
      <c r="Z29" s="42">
        <f>IF(Z4&lt;opening,0,1)*Absenteeism!$D$23*Z7*Z9*Z11*Z12*Z10/1000</f>
        <v>5.0671558762478246E-2</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6.798307216437073</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8.1557907609500213E-2</v>
      </c>
      <c r="H30" s="532">
        <f t="shared" si="34"/>
        <v>0.1619105259439832</v>
      </c>
      <c r="I30" s="532">
        <f t="shared" si="34"/>
        <v>0.24107121412102925</v>
      </c>
      <c r="J30" s="532">
        <f t="shared" si="34"/>
        <v>0.31905319964129658</v>
      </c>
      <c r="K30" s="532">
        <f t="shared" si="34"/>
        <v>0.395869579604195</v>
      </c>
      <c r="L30" s="532">
        <f t="shared" si="34"/>
        <v>0.39294443492731673</v>
      </c>
      <c r="M30" s="532">
        <f t="shared" si="34"/>
        <v>0.39004090461997221</v>
      </c>
      <c r="N30" s="532">
        <f t="shared" si="34"/>
        <v>0.38715882897007103</v>
      </c>
      <c r="O30" s="532">
        <f t="shared" si="34"/>
        <v>0.38429804944566165</v>
      </c>
      <c r="P30" s="532">
        <f t="shared" si="34"/>
        <v>0.381458408686211</v>
      </c>
      <c r="Q30" s="532">
        <f t="shared" si="34"/>
        <v>0.37863975049394843</v>
      </c>
      <c r="R30" s="532">
        <f t="shared" si="34"/>
        <v>0.37584191982527404</v>
      </c>
      <c r="S30" s="532">
        <f t="shared" si="34"/>
        <v>0.37306476278223027</v>
      </c>
      <c r="T30" s="532">
        <f>IF(T4&lt;opening,0,1)*T8*T9*T11*T12*T13*(VoL*YLLsC + VoL*YLLsP)/1000</f>
        <v>0.37030812660403639</v>
      </c>
      <c r="U30" s="532">
        <f t="shared" si="34"/>
        <v>0.36757185965868655</v>
      </c>
      <c r="V30" s="532">
        <f t="shared" si="34"/>
        <v>0.36485581143460777</v>
      </c>
      <c r="W30" s="532">
        <f t="shared" si="34"/>
        <v>0.36215983253238149</v>
      </c>
      <c r="X30" s="532">
        <f t="shared" si="34"/>
        <v>0.35948377465652653</v>
      </c>
      <c r="Y30" s="532">
        <f t="shared" si="34"/>
        <v>0.35682749060734048</v>
      </c>
      <c r="Z30" s="532">
        <f t="shared" si="34"/>
        <v>0.35419083427280357</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3.9399550635910314</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0.22033977300035593</v>
      </c>
      <c r="H33" s="42">
        <f>IF(H4&lt;opening,0,'Journey Ambience'!$E$46)*H7*H9*H10*H11/1000</f>
        <v>0.21770261460611257</v>
      </c>
      <c r="I33" s="42">
        <f>IF(I4&lt;opening,0,'Journey Ambience'!$E$46)*I7*I9*I10*I11/1000</f>
        <v>0.21509701930327854</v>
      </c>
      <c r="J33" s="42">
        <f>IF(J4&lt;opening,0,'Journey Ambience'!$E$46)*J7*J9*J10*J11/1000</f>
        <v>0.21252260932586856</v>
      </c>
      <c r="K33" s="42">
        <f>IF(K4&lt;opening,0,'Journey Ambience'!$E$46)*K7*K9*K10*K11/1000</f>
        <v>0.20997901142922681</v>
      </c>
      <c r="L33" s="42">
        <f>IF(L4&lt;opening,0,'Journey Ambience'!$E$46)*L7*L9*L10*L11/1000</f>
        <v>0.20746585683591318</v>
      </c>
      <c r="M33" s="42">
        <f>IF(M4&lt;opening,0,'Journey Ambience'!$E$46)*M7*M9*M10*M11/1000</f>
        <v>0.20498278118223703</v>
      </c>
      <c r="N33" s="42">
        <f>IF(N4&lt;opening,0,'Journey Ambience'!$E$46)*N7*N9*N10*N11/1000</f>
        <v>0.20252942446543035</v>
      </c>
      <c r="O33" s="42">
        <f>IF(O4&lt;opening,0,'Journey Ambience'!$E$46)*O7*O9*O10*O11/1000</f>
        <v>0.20010543099145395</v>
      </c>
      <c r="P33" s="42">
        <f>IF(P4&lt;opening,0,'Journey Ambience'!$E$46)*P7*P9*P10*P11/1000</f>
        <v>0.19771044932342821</v>
      </c>
      <c r="Q33" s="42">
        <f>IF(Q4&lt;opening,0,'Journey Ambience'!$E$46)*Q7*Q9*Q10*Q11/1000</f>
        <v>0.1953441322306804</v>
      </c>
      <c r="R33" s="42">
        <f>IF(R4&lt;opening,0,'Journey Ambience'!$E$46)*R7*R9*R10*R11/1000</f>
        <v>0.1930061366384026</v>
      </c>
      <c r="S33" s="42">
        <f>IF(S4&lt;opening,0,'Journey Ambience'!$E$46)*S7*S9*S10*S11/1000</f>
        <v>0.19069612357791163</v>
      </c>
      <c r="T33" s="42">
        <f>IF(T4&lt;opening,0,'Journey Ambience'!$E$46)*T7*T9*T10*T11/1000</f>
        <v>0.18841375813750447</v>
      </c>
      <c r="U33" s="42">
        <f>IF(U4&lt;opening,0,'Journey Ambience'!$E$46)*U7*U9*U10*U11/1000</f>
        <v>0.18615870941390225</v>
      </c>
      <c r="V33" s="42">
        <f>IF(V4&lt;opening,0,'Journey Ambience'!$E$46)*V7*V9*V10*V11/1000</f>
        <v>0.18393065046427454</v>
      </c>
      <c r="W33" s="42">
        <f>IF(W4&lt;opening,0,'Journey Ambience'!$E$46)*W7*W9*W10*W11/1000</f>
        <v>0.18172925825883859</v>
      </c>
      <c r="X33" s="42">
        <f>IF(X4&lt;opening,0,'Journey Ambience'!$E$46)*X7*X9*X10*X11/1000</f>
        <v>0.17955421363402574</v>
      </c>
      <c r="Y33" s="42">
        <f>IF(Y4&lt;opening,0,'Journey Ambience'!$E$46)*Y7*Y9*Y10*Y11/1000</f>
        <v>0.17740520124620784</v>
      </c>
      <c r="Z33" s="42">
        <f>IF(Z4&lt;opening,0,'Journey Ambience'!$E$46)*Z7*Z9*Z10*Z11/1000</f>
        <v>0.17528190952597847</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0.92467475697672308</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5.1711916192696709E-2</v>
      </c>
      <c r="H34" s="532">
        <f>IF(H4&lt;opening,0,'Journey Ambience'!$E$45)*H7*H9*H10*H11*H12/1000</f>
        <v>5.1092997002516009E-2</v>
      </c>
      <c r="I34" s="532">
        <f>IF(I4&lt;opening,0,'Journey Ambience'!$E$45)*I7*I9*I10*I11*I12/1000</f>
        <v>5.0481485407956911E-2</v>
      </c>
      <c r="J34" s="532">
        <f>IF(J4&lt;opening,0,'Journey Ambience'!$E$45)*J7*J9*J10*J11*J12/1000</f>
        <v>4.9877292750477628E-2</v>
      </c>
      <c r="K34" s="532">
        <f>IF(K4&lt;opening,0,'Journey Ambience'!$E$45)*K7*K9*K10*K11*K12/1000</f>
        <v>4.9280331432654867E-2</v>
      </c>
      <c r="L34" s="532">
        <f>IF(L4&lt;opening,0,'Journey Ambience'!$E$45)*L7*L9*L10*L11*L12/1000</f>
        <v>4.8690514905483831E-2</v>
      </c>
      <c r="M34" s="532">
        <f>IF(M4&lt;opening,0,'Journey Ambience'!$E$45)*M7*M9*M10*M11*M12/1000</f>
        <v>4.8107757655830058E-2</v>
      </c>
      <c r="N34" s="532">
        <f>IF(N4&lt;opening,0,'Journey Ambience'!$E$45)*N7*N9*N10*N11*N12/1000</f>
        <v>4.753197519403142E-2</v>
      </c>
      <c r="O34" s="532">
        <f>IF(O4&lt;opening,0,'Journey Ambience'!$E$45)*O7*O9*O10*O11*O12/1000</f>
        <v>4.6963084041648735E-2</v>
      </c>
      <c r="P34" s="532">
        <f>IF(P4&lt;opening,0,'Journey Ambience'!$E$45)*P7*P9*P10*P11*P12/1000</f>
        <v>4.6401001719362824E-2</v>
      </c>
      <c r="Q34" s="532">
        <f>IF(Q4&lt;opening,0,'Journey Ambience'!$E$45)*Q7*Q9*Q10*Q11*Q12/1000</f>
        <v>4.5845646735016336E-2</v>
      </c>
      <c r="R34" s="532">
        <f>IF(R4&lt;opening,0,'Journey Ambience'!$E$45)*R7*R9*R10*R11*R12/1000</f>
        <v>4.5296938571798943E-2</v>
      </c>
      <c r="S34" s="532">
        <f>IF(S4&lt;opening,0,'Journey Ambience'!$E$45)*S7*S9*S10*S11*S12/1000</f>
        <v>4.4754797676573678E-2</v>
      </c>
      <c r="T34" s="532">
        <f>IF(T4&lt;opening,0,'Journey Ambience'!$E$45)*T7*T9*T10*T11*T12/1000</f>
        <v>4.4219145448343183E-2</v>
      </c>
      <c r="U34" s="532">
        <f>IF(U4&lt;opening,0,'Journey Ambience'!$E$45)*U7*U9*U10*U11*U12/1000</f>
        <v>4.3689904226853961E-2</v>
      </c>
      <c r="V34" s="532">
        <f>IF(V4&lt;opening,0,'Journey Ambience'!$E$45)*V7*V9*V10*V11*V12/1000</f>
        <v>4.3166997281336911E-2</v>
      </c>
      <c r="W34" s="532">
        <f>IF(W4&lt;opening,0,'Journey Ambience'!$E$45)*W7*W9*W10*W11*W12/1000</f>
        <v>4.2650348799382738E-2</v>
      </c>
      <c r="X34" s="532">
        <f>IF(X4&lt;opening,0,'Journey Ambience'!$E$45)*X7*X9*X10*X11*X12/1000</f>
        <v>4.2139883875950523E-2</v>
      </c>
      <c r="Y34" s="532">
        <f>IF(Y4&lt;opening,0,'Journey Ambience'!$E$45)*Y7*Y9*Y10*Y11*Y12/1000</f>
        <v>4.1635528502507686E-2</v>
      </c>
      <c r="Z34" s="532">
        <f>IF(Z4&lt;opening,0,'Journey Ambience'!$E$45)*Z7*Z9*Z10*Z11*Z12/1000</f>
        <v>4.1137209556300139E-2</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zoomScaleNormal="100" workbookViewId="0">
      <selection activeCell="E19" sqref="E19"/>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76" t="s">
        <v>16702</v>
      </c>
      <c r="C4" s="677"/>
      <c r="D4" s="677"/>
      <c r="E4" s="192">
        <f>Discounting!B19</f>
        <v>0.57973067036830195</v>
      </c>
      <c r="F4" s="41"/>
      <c r="G4" s="104"/>
      <c r="H4" s="435" t="s">
        <v>16711</v>
      </c>
      <c r="I4" s="192">
        <f>SUM(E4:E9,E14)</f>
        <v>0.69382320078382798</v>
      </c>
      <c r="J4" s="436">
        <f>IFERROR(I4/SUM($I$4:$I$6),0)</f>
        <v>5.1410509775426688E-2</v>
      </c>
      <c r="K4" s="41"/>
      <c r="L4" s="41"/>
      <c r="M4" s="41"/>
      <c r="N4" s="41"/>
      <c r="O4" s="41"/>
    </row>
    <row r="5" spans="1:15">
      <c r="A5" s="41"/>
      <c r="B5" s="674" t="s">
        <v>16712</v>
      </c>
      <c r="C5" s="675"/>
      <c r="D5" s="675"/>
      <c r="E5" s="124">
        <f>Discounting!B20</f>
        <v>3.1809572822090655E-3</v>
      </c>
      <c r="F5" s="41"/>
      <c r="G5" s="104"/>
      <c r="H5" s="107" t="s">
        <v>16713</v>
      </c>
      <c r="I5" s="124">
        <f>E10+E11</f>
        <v>7.9372933506375762</v>
      </c>
      <c r="J5" s="430">
        <f>IFERROR(I5/SUM($I$4:$I$6),0)</f>
        <v>0.58813296662952075</v>
      </c>
      <c r="K5" s="41"/>
      <c r="L5" s="41"/>
      <c r="M5" s="41"/>
      <c r="N5" s="41"/>
      <c r="O5" s="41"/>
    </row>
    <row r="6" spans="1:15">
      <c r="A6" s="41"/>
      <c r="B6" s="674" t="s">
        <v>16441</v>
      </c>
      <c r="C6" s="675"/>
      <c r="D6" s="675"/>
      <c r="E6" s="124">
        <f>Discounting!B21</f>
        <v>9.7737684755006715E-2</v>
      </c>
      <c r="F6" s="41"/>
      <c r="G6" s="104"/>
      <c r="H6" s="107" t="s">
        <v>16714</v>
      </c>
      <c r="I6" s="124">
        <f>E12</f>
        <v>4.8646298205677549</v>
      </c>
      <c r="J6" s="430">
        <f>IFERROR(I6/SUM($I$4:$I$6),0)</f>
        <v>0.36045652359505254</v>
      </c>
      <c r="K6" s="41"/>
      <c r="L6" s="41"/>
      <c r="M6" s="41"/>
      <c r="N6" s="41"/>
      <c r="O6" s="41"/>
    </row>
    <row r="7" spans="1:15">
      <c r="A7" s="41"/>
      <c r="B7" s="674" t="s">
        <v>16715</v>
      </c>
      <c r="C7" s="675"/>
      <c r="D7" s="675"/>
      <c r="E7" s="124">
        <f>Discounting!B22</f>
        <v>1.2931676066738429E-2</v>
      </c>
      <c r="F7" s="41"/>
      <c r="G7" s="104"/>
      <c r="H7" s="41"/>
      <c r="I7" s="41"/>
      <c r="J7" s="413"/>
      <c r="K7" s="41"/>
      <c r="L7" s="41"/>
      <c r="M7" s="41"/>
      <c r="N7" s="41"/>
      <c r="O7" s="41"/>
    </row>
    <row r="8" spans="1:15">
      <c r="A8" s="41"/>
      <c r="B8" s="674" t="s">
        <v>16443</v>
      </c>
      <c r="C8" s="675"/>
      <c r="D8" s="675"/>
      <c r="E8" s="124">
        <f>Discounting!B23</f>
        <v>6.5158456503337809E-3</v>
      </c>
      <c r="F8" s="41"/>
      <c r="G8" s="104"/>
      <c r="H8" s="41"/>
      <c r="I8" s="41"/>
      <c r="J8" s="413"/>
      <c r="K8" s="41"/>
      <c r="L8" s="41"/>
      <c r="M8" s="41"/>
      <c r="N8" s="41"/>
      <c r="O8" s="41"/>
    </row>
    <row r="9" spans="1:15">
      <c r="A9" s="41"/>
      <c r="B9" s="674" t="s">
        <v>16716</v>
      </c>
      <c r="C9" s="675"/>
      <c r="D9" s="675"/>
      <c r="E9" s="124">
        <f>Discounting!B24</f>
        <v>4.0877532637298895E-2</v>
      </c>
      <c r="F9" s="41"/>
      <c r="G9" s="104"/>
      <c r="H9" s="41"/>
      <c r="I9" s="41"/>
      <c r="J9" s="413"/>
      <c r="K9" s="41"/>
      <c r="L9" s="41"/>
      <c r="M9" s="41"/>
      <c r="N9" s="41"/>
      <c r="O9" s="41"/>
    </row>
    <row r="10" spans="1:15">
      <c r="A10" s="41"/>
      <c r="B10" s="680" t="s">
        <v>16704</v>
      </c>
      <c r="C10" s="681"/>
      <c r="D10" s="681"/>
      <c r="E10" s="124">
        <f>Discounting!B30</f>
        <v>6.798307216437073</v>
      </c>
      <c r="F10" s="41"/>
      <c r="G10" s="104"/>
      <c r="H10" s="41"/>
      <c r="I10" s="41"/>
      <c r="J10" s="413"/>
      <c r="K10" s="41"/>
      <c r="L10" s="41"/>
      <c r="M10" s="41"/>
      <c r="N10" s="41"/>
      <c r="O10" s="41"/>
    </row>
    <row r="11" spans="1:15">
      <c r="A11" s="41"/>
      <c r="B11" s="680" t="s">
        <v>75</v>
      </c>
      <c r="C11" s="681"/>
      <c r="D11" s="681"/>
      <c r="E11" s="124">
        <f>_xlfn.IFNA(Discounting!B29, 0)</f>
        <v>1.1389861342005037</v>
      </c>
      <c r="F11" s="41"/>
      <c r="G11" s="104"/>
      <c r="H11" s="41"/>
      <c r="I11" s="41"/>
      <c r="J11" s="413"/>
      <c r="K11" s="41"/>
      <c r="L11" s="41"/>
      <c r="M11" s="41"/>
      <c r="N11" s="41"/>
      <c r="O11" s="41"/>
    </row>
    <row r="12" spans="1:15">
      <c r="A12" s="41"/>
      <c r="B12" s="680" t="s">
        <v>16423</v>
      </c>
      <c r="C12" s="681"/>
      <c r="D12" s="681"/>
      <c r="E12" s="124">
        <f>IFERROR(Discounting!B33+Discounting!B34,0)</f>
        <v>4.8646298205677549</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-4.7151165976060831E-2</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13.49256541470695</v>
      </c>
      <c r="F19" s="41"/>
      <c r="G19" s="104"/>
      <c r="H19" s="41"/>
      <c r="I19" s="41"/>
      <c r="J19" s="413"/>
      <c r="K19" s="41"/>
      <c r="L19" s="41"/>
      <c r="M19" s="41"/>
      <c r="N19" s="41"/>
      <c r="O19" s="41"/>
    </row>
    <row r="20" spans="1:15">
      <c r="A20" s="41"/>
      <c r="B20" s="674" t="s">
        <v>16719</v>
      </c>
      <c r="C20" s="675"/>
      <c r="D20" s="675"/>
      <c r="E20" s="124">
        <f>IFERROR((E15+E16)-E5,0)</f>
        <v>-3.1809572822090655E-3</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8" t="s">
        <v>16720</v>
      </c>
      <c r="C22" s="679"/>
      <c r="D22" s="679"/>
      <c r="E22" s="433">
        <f>IFERROR(E19/E20, 0)</f>
        <v>-4241.6682204977078</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2023-01-12T09:54:48Z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