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1EE204C9-706E-487F-B6D9-7BF40C816303}" xr6:coauthVersionLast="47" xr6:coauthVersionMax="47" xr10:uidLastSave="{00000000-0000-0000-0000-000000000000}"/>
  <bookViews>
    <workbookView xWindow="-13875" yWindow="17880" windowWidth="29040" windowHeight="158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D14" i="14" l="1"/>
  <c r="D15" i="14" s="1"/>
  <c r="D18" i="14" s="1"/>
  <c r="E5" i="25"/>
  <c r="J17" i="24"/>
  <c r="I18" i="24"/>
  <c r="D42" i="24"/>
  <c r="D43" i="24"/>
  <c r="D20" i="27" s="1"/>
  <c r="D29" i="27" s="1"/>
  <c r="D38" i="27" s="1"/>
  <c r="D47" i="27" s="1"/>
  <c r="D56" i="27" s="1"/>
  <c r="D64" i="27" s="1"/>
  <c r="E46" i="24"/>
  <c r="E45" i="24"/>
  <c r="E22" i="27" s="1"/>
  <c r="E31" i="27" s="1"/>
  <c r="E40" i="27" s="1"/>
  <c r="E49" i="27" s="1"/>
  <c r="E58" i="27" s="1"/>
  <c r="E66" i="27" s="1"/>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C44" i="25"/>
  <c r="AN21" i="11"/>
  <c r="F14" i="19"/>
  <c r="BN13" i="19"/>
  <c r="G19" i="27"/>
  <c r="C6" i="24"/>
  <c r="J24" i="11"/>
  <c r="T22" i="11"/>
  <c r="AD15" i="11"/>
  <c r="AD18" i="11" s="1"/>
  <c r="D12" i="25"/>
  <c r="D13" i="25" s="1"/>
  <c r="D11" i="27" s="1"/>
  <c r="J15" i="11"/>
  <c r="J18" i="11" s="1"/>
  <c r="T23" i="11"/>
  <c r="D23" i="27"/>
  <c r="D32" i="27" s="1"/>
  <c r="D41" i="27" s="1"/>
  <c r="D50" i="27" s="1"/>
  <c r="D59" i="27" s="1"/>
  <c r="D67" i="27" s="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<sst xmlns="http://schemas.openxmlformats.org/spreadsheetml/2006/main" count="55865" uniqueCount="16762">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</sst>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275.89423761675062</c:v>
                </c:pt>
                <c:pt idx="1">
                  <c:v>2760.7507485480155</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85" zoomScale="80" zoomScaleNormal="80" workbookViewId="0">
      <selection activeCell="F116" sqref="F116"/>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1438</v>
      </c>
      <c r="G33" s="41" t="s">
        <v>16311</v>
      </c>
      <c r="H33" s="311" t="s">
        <v>16758</v>
      </c>
    </row>
    <row r="34" spans="1:69">
      <c r="A34" s="41"/>
      <c r="D34" s="146" t="s">
        <v>16312</v>
      </c>
      <c r="F34" s="383">
        <f>ROUND(F33*1.25,0)</f>
        <v>1798</v>
      </c>
      <c r="G34" s="41" t="s">
        <v>16311</v>
      </c>
      <c r="H34" s="311" t="s">
        <v>16759</v>
      </c>
    </row>
    <row r="35" spans="1:69" ht="30.75" thickBot="1">
      <c r="A35" s="41"/>
      <c r="D35" s="146" t="s">
        <v>16313</v>
      </c>
      <c r="F35" s="384">
        <f>1.08/5.14</f>
        <v>0.21011673151750976</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994</v>
      </c>
      <c r="G46" s="41" t="s">
        <v>16311</v>
      </c>
      <c r="H46" s="311"/>
    </row>
    <row r="47" spans="1:69">
      <c r="A47" s="41"/>
      <c r="D47" s="146" t="s">
        <v>16312</v>
      </c>
      <c r="F47" s="536">
        <f>ROUND(F46*1.1,0)</f>
        <v>1093</v>
      </c>
      <c r="G47" s="41" t="s">
        <v>16311</v>
      </c>
      <c r="H47" s="311"/>
    </row>
    <row r="48" spans="1:69" ht="15.75" thickBot="1">
      <c r="A48" s="41"/>
      <c r="D48" s="146" t="s">
        <v>16320</v>
      </c>
      <c r="F48" s="537">
        <f>1.08/1.1</f>
        <v>0.98181818181818181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48</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48</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48</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48</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1438</v>
      </c>
      <c r="E28" s="108" t="s">
        <v>16311</v>
      </c>
    </row>
    <row r="29" spans="2:8">
      <c r="C29" s="108" t="s">
        <v>16409</v>
      </c>
      <c r="D29" s="367">
        <f>'User Interface Intervention'!F34</f>
        <v>1798</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0.21011673151750976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994</v>
      </c>
      <c r="E50" s="242" t="s">
        <v>16311</v>
      </c>
    </row>
    <row r="51" spans="2:6">
      <c r="C51" s="108" t="s">
        <v>16409</v>
      </c>
      <c r="D51" s="367">
        <f>'User Interface Intervention'!F47</f>
        <v>1093</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0.98181818181818181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1</v>
      </c>
      <c r="E62" s="120">
        <f>IF('User Interface Intervention'!F60="Yes",1,0)</f>
        <v>1</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1</v>
      </c>
      <c r="E67" s="120">
        <f>IF('User Interface Intervention'!F65="Yes",1,0)</f>
        <v>1</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1438</v>
      </c>
      <c r="E4" s="120">
        <f>useP</f>
        <v>994</v>
      </c>
      <c r="F4" s="108"/>
    </row>
    <row r="5" spans="1:6">
      <c r="C5" s="120" t="s">
        <v>16598</v>
      </c>
      <c r="D5" s="122">
        <f>use_new</f>
        <v>1798</v>
      </c>
      <c r="E5" s="122">
        <f>use_newP</f>
        <v>1093</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360</v>
      </c>
      <c r="E12" s="123">
        <f>use_newP-useP</f>
        <v>99</v>
      </c>
    </row>
    <row r="13" spans="1:6">
      <c r="C13" s="123" t="s">
        <v>16603</v>
      </c>
      <c r="D13" s="167">
        <f>D12/(1+return)</f>
        <v>189.47368421052633</v>
      </c>
      <c r="E13" s="167">
        <f>E12/(1+return)</f>
        <v>52.10526315789474</v>
      </c>
    </row>
    <row r="14" spans="1:6">
      <c r="C14" s="123" t="s">
        <v>16604</v>
      </c>
      <c r="D14" s="123">
        <f>use_new-D12</f>
        <v>1438</v>
      </c>
      <c r="E14" s="123">
        <f>use_newP-E12</f>
        <v>994</v>
      </c>
    </row>
    <row r="15" spans="1:6">
      <c r="C15" s="123" t="s">
        <v>16605</v>
      </c>
      <c r="D15" s="123">
        <f>D14/(1+return)</f>
        <v>756.84210526315792</v>
      </c>
      <c r="E15" s="123">
        <f>E14/(1+return)</f>
        <v>523.15789473684208</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564372</v>
      </c>
      <c r="E23" s="107">
        <f>E7*E12*scheme_days</f>
        <v>33214.5</v>
      </c>
      <c r="F23" s="41" t="s">
        <v>16611</v>
      </c>
    </row>
    <row r="24" spans="2:6">
      <c r="C24" s="125" t="s">
        <v>16612</v>
      </c>
      <c r="D24" s="107">
        <f>D23*car_share</f>
        <v>135449.28</v>
      </c>
      <c r="E24" s="107">
        <f>E23*car_shareP</f>
        <v>7971.48</v>
      </c>
    </row>
    <row r="25" spans="2:6">
      <c r="C25" s="125" t="s">
        <v>16613</v>
      </c>
      <c r="D25" s="107">
        <f>D24/'Input Summary'!D86</f>
        <v>84655.799999999988</v>
      </c>
      <c r="E25" s="107">
        <f>E24/'Input Summary'!D86</f>
        <v>4982.1749999999993</v>
      </c>
    </row>
    <row r="26" spans="2:6" ht="15.75">
      <c r="C26" s="123" t="s">
        <v>16614</v>
      </c>
      <c r="D26" s="167">
        <f>D23*'Input Summary'!D34</f>
        <v>33862.32</v>
      </c>
      <c r="E26" s="167">
        <f>E23*'Input Summary'!D56</f>
        <v>1992.87</v>
      </c>
      <c r="F26" s="105"/>
    </row>
    <row r="27" spans="2:6">
      <c r="C27" s="123" t="s">
        <v>16615</v>
      </c>
      <c r="D27" s="167">
        <f>D26/'Input Summary'!D87</f>
        <v>14109.300000000001</v>
      </c>
      <c r="E27" s="167">
        <f>E26/'Input Summary'!D87</f>
        <v>830.36249999999995</v>
      </c>
    </row>
    <row r="28" spans="2:6" ht="15.75">
      <c r="B28" s="105" t="s">
        <v>16616</v>
      </c>
      <c r="C28" s="125" t="s">
        <v>16617</v>
      </c>
      <c r="D28" s="126"/>
      <c r="E28" s="127">
        <f>SUM(D25:E25,D27:E27)</f>
        <v>104577.6375</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1</v>
      </c>
      <c r="F35" s="130">
        <f>'Input Summary'!$E$62</f>
        <v>1</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1</v>
      </c>
      <c r="F40" s="130">
        <f>'Input Summary'!$E$67</f>
        <v>1</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189.47368421052633</v>
      </c>
      <c r="E4" s="124">
        <f>'General Calculations'!E13</f>
        <v>52.10526315789474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174.99552184109584</v>
      </c>
      <c r="E19" s="446">
        <f>E18*E4</f>
        <v>30.896582893150679</v>
      </c>
      <c r="G19" s="301"/>
      <c r="H19" s="42"/>
    </row>
    <row r="20" spans="2:8">
      <c r="C20" s="134" t="s">
        <v>16638</v>
      </c>
      <c r="D20" s="140">
        <f>'TAG VoT'!F21*D10</f>
        <v>144.50209275358495</v>
      </c>
      <c r="E20" s="140">
        <f>'TAG VoT'!$F$21*E10</f>
        <v>144.50209275358495</v>
      </c>
    </row>
    <row r="21" spans="2:8">
      <c r="C21" s="134" t="s">
        <v>16639</v>
      </c>
      <c r="D21" s="141">
        <f>D19*D20</f>
        <v>25287.219128544031</v>
      </c>
      <c r="E21" s="142">
        <f>E19*E20</f>
        <v>4464.620886994885</v>
      </c>
    </row>
    <row r="22" spans="2:8">
      <c r="C22" s="138"/>
      <c r="D22" s="149"/>
      <c r="E22" s="143"/>
    </row>
    <row r="23" spans="2:8" ht="15.75">
      <c r="C23" s="144" t="s">
        <v>16523</v>
      </c>
      <c r="D23" s="145">
        <f>D21+E21</f>
        <v>29751.840015538917</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189.47368421052633</v>
      </c>
      <c r="E7" s="500">
        <f>'General Calculations'!E13</f>
        <v>52.10526315789474</v>
      </c>
      <c r="F7" s="492"/>
    </row>
    <row r="8" spans="1:6">
      <c r="A8" s="492"/>
      <c r="B8" s="492"/>
      <c r="C8" s="109" t="s">
        <v>16644</v>
      </c>
      <c r="D8" s="499">
        <f>'General Calculations'!D15</f>
        <v>756.84210526315792</v>
      </c>
      <c r="E8" s="500">
        <f>'General Calculations'!E15</f>
        <v>523.15789473684208</v>
      </c>
      <c r="F8" s="492"/>
    </row>
    <row r="9" spans="1:6">
      <c r="A9" s="492"/>
      <c r="B9" s="492"/>
      <c r="C9" s="109" t="s">
        <v>16645</v>
      </c>
      <c r="D9" s="499">
        <f>'General Calculations'!D12</f>
        <v>360</v>
      </c>
      <c r="E9" s="500">
        <f>'General Calculations'!E12</f>
        <v>99</v>
      </c>
      <c r="F9" s="492"/>
    </row>
    <row r="10" spans="1:6">
      <c r="A10" s="492"/>
      <c r="B10" s="492"/>
      <c r="C10" s="151" t="s">
        <v>16646</v>
      </c>
      <c r="D10" s="502">
        <f>'General Calculations'!D14</f>
        <v>1438</v>
      </c>
      <c r="E10" s="527">
        <f>'General Calculations'!E14</f>
        <v>994</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0.21011673151750976</v>
      </c>
      <c r="E13" s="503">
        <f>'Input Summary'!D58</f>
        <v>0.98181818181818181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7.7912198173473154E-2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7.7912198173473154E-2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1.08</v>
      </c>
      <c r="E25" s="508">
        <f>E5*E13</f>
        <v>1.08</v>
      </c>
      <c r="F25" s="131" t="s">
        <v>16641</v>
      </c>
      <c r="G25" s="131"/>
      <c r="H25" s="131"/>
    </row>
    <row r="26" spans="1:8">
      <c r="A26" s="492"/>
      <c r="B26" s="492"/>
      <c r="C26" s="109" t="s">
        <v>16657</v>
      </c>
      <c r="D26" s="499">
        <f>60*D25/speed</f>
        <v>4.3200000000000012</v>
      </c>
      <c r="E26" s="499">
        <f>60*E25/speedP</f>
        <v>12.960000000000003</v>
      </c>
      <c r="F26" s="492" t="s">
        <v>16658</v>
      </c>
      <c r="G26" s="131"/>
      <c r="H26" s="131"/>
    </row>
    <row r="27" spans="1:8">
      <c r="A27" s="492"/>
      <c r="B27" s="492"/>
      <c r="C27" s="151" t="s">
        <v>16659</v>
      </c>
      <c r="D27" s="502">
        <f>D26*scheme_days</f>
        <v>1317.6000000000004</v>
      </c>
      <c r="E27" s="502">
        <f>E26*scheme_days</f>
        <v>3952.8000000000006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189.47368421052633</v>
      </c>
      <c r="E3" s="94"/>
      <c r="F3" s="167">
        <f>'General Calculations'!E13</f>
        <v>52.10526315789474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30.315789473684212</v>
      </c>
      <c r="E9" s="299">
        <f>'General Calculations'!$D$13*'Health Assumptions'!E25</f>
        <v>7.5789473684210531</v>
      </c>
      <c r="F9" s="300">
        <f>'General Calculations'!$E$13*'Health Assumptions'!F25</f>
        <v>7.8157894736842106</v>
      </c>
      <c r="G9" s="167">
        <f>'General Calculations'!$E$13*'Health Assumptions'!G25</f>
        <v>7.8157894736842106</v>
      </c>
    </row>
    <row r="10" spans="1:7">
      <c r="B10" s="179"/>
      <c r="C10" s="125" t="s">
        <v>16583</v>
      </c>
      <c r="D10" s="167">
        <f>'General Calculations'!$D$13*'Health Assumptions'!D26</f>
        <v>73.894736842105274</v>
      </c>
      <c r="E10" s="299">
        <f>'General Calculations'!$D$13*'Health Assumptions'!E26</f>
        <v>30.315789473684212</v>
      </c>
      <c r="F10" s="300">
        <f>'General Calculations'!$E$13*'Health Assumptions'!F26</f>
        <v>8.8578947368421073</v>
      </c>
      <c r="G10" s="167">
        <f>'General Calculations'!$E$13*'Health Assumptions'!G26</f>
        <v>12.505263157894737</v>
      </c>
    </row>
    <row r="11" spans="1:7">
      <c r="C11" s="125" t="s">
        <v>16584</v>
      </c>
      <c r="D11" s="167">
        <f>'General Calculations'!$D$13*'Health Assumptions'!D27</f>
        <v>24.631578947368425</v>
      </c>
      <c r="E11" s="299">
        <f>'General Calculations'!$D$13*'Health Assumptions'!E27</f>
        <v>9.4736842105263168</v>
      </c>
      <c r="F11" s="300">
        <f>'General Calculations'!$E$13*'Health Assumptions'!F27</f>
        <v>3.647368421052632</v>
      </c>
      <c r="G11" s="167">
        <f>'General Calculations'!$E$13*'Health Assumptions'!G27</f>
        <v>4.689473684210526</v>
      </c>
    </row>
    <row r="12" spans="1:7">
      <c r="C12" s="125" t="s">
        <v>16585</v>
      </c>
      <c r="D12" s="167">
        <f>'General Calculations'!$D$13*'Health Assumptions'!D28</f>
        <v>9.4736842105263168</v>
      </c>
      <c r="E12" s="299">
        <f>'General Calculations'!$D$13*'Health Assumptions'!E28</f>
        <v>1.8947368421052633</v>
      </c>
      <c r="F12" s="300">
        <f>'General Calculations'!$E$13*'Health Assumptions'!F28</f>
        <v>2.6052631578947372</v>
      </c>
      <c r="G12" s="167">
        <f>'General Calculations'!$E$13*'Health Assumptions'!G28</f>
        <v>2.6052631578947372</v>
      </c>
    </row>
    <row r="13" spans="1:7">
      <c r="C13" s="125" t="s">
        <v>16586</v>
      </c>
      <c r="D13" s="167">
        <f>'General Calculations'!$D$13*'Health Assumptions'!D29</f>
        <v>1.8947368421052633</v>
      </c>
      <c r="E13" s="299">
        <f>'General Calculations'!$D$13*'Health Assumptions'!E29</f>
        <v>0</v>
      </c>
      <c r="F13" s="300">
        <f>'General Calculations'!$E$13*'Health Assumptions'!F29</f>
        <v>0.52105263157894743</v>
      </c>
      <c r="G13" s="167">
        <f>'General Calculations'!$E$13*'Health Assumptions'!G29</f>
        <v>0.52105263157894743</v>
      </c>
    </row>
    <row r="14" spans="1:7">
      <c r="C14" s="125" t="s">
        <v>16523</v>
      </c>
      <c r="D14" s="167">
        <f>SUM(D9:D13)</f>
        <v>140.21052631578951</v>
      </c>
      <c r="E14" s="299">
        <f>SUM(E9:E13)</f>
        <v>49.263157894736842</v>
      </c>
      <c r="F14" s="300">
        <f>SUM(F9:F13)</f>
        <v>23.447368421052634</v>
      </c>
      <c r="G14" s="167">
        <f>SUM(G9:G13)</f>
        <v>28.136842105263156</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2.3142128198277569E-2</v>
      </c>
      <c r="E72" s="124">
        <f>E64*'Health Assumptions'!E60*E10</f>
        <v>4.9263797490626459E-3</v>
      </c>
      <c r="F72" s="162">
        <f>SUM(D72:E72)</f>
        <v>2.8068507947340216E-2</v>
      </c>
      <c r="G72" s="124">
        <f>F64*'Health Assumptions'!D60*F10</f>
        <v>9.2860818952142344E-4</v>
      </c>
      <c r="H72" s="124">
        <f>G64*'Health Assumptions'!E60*G10</f>
        <v>7.5383160827340902E-4</v>
      </c>
      <c r="I72" s="124">
        <f>SUM(G72:H72)</f>
        <v>1.6824397977948324E-3</v>
      </c>
    </row>
    <row r="73" spans="2:12">
      <c r="C73" s="125" t="s">
        <v>16584</v>
      </c>
      <c r="D73" s="124">
        <f>D65*'Health Assumptions'!D61*D11</f>
        <v>4.3464517020108014E-2</v>
      </c>
      <c r="E73" s="124">
        <f>E65*'Health Assumptions'!E61*E11</f>
        <v>8.7069655281594716E-3</v>
      </c>
      <c r="F73" s="162">
        <f>SUM(D73:E73)</f>
        <v>5.2171482548267485E-2</v>
      </c>
      <c r="G73" s="124">
        <f>F65*'Health Assumptions'!D61*F11</f>
        <v>2.1676478476292112E-3</v>
      </c>
      <c r="H73" s="124">
        <f>G65*'Health Assumptions'!E61*G11</f>
        <v>1.8816707865475194E-3</v>
      </c>
      <c r="I73" s="124">
        <f>SUM(G73:H73)</f>
        <v>4.0493186341767308E-3</v>
      </c>
    </row>
    <row r="74" spans="2:12">
      <c r="C74" s="125" t="s">
        <v>16585</v>
      </c>
      <c r="D74" s="124">
        <f>D66*'Health Assumptions'!D62*D12</f>
        <v>5.6958490806618016E-2</v>
      </c>
      <c r="E74" s="124">
        <f>E66*'Health Assumptions'!E62*E12</f>
        <v>6.1055720243092682E-3</v>
      </c>
      <c r="F74" s="162">
        <f>SUM(D74:E74)</f>
        <v>6.3064062830927289E-2</v>
      </c>
      <c r="G74" s="124">
        <f>F66*'Health Assumptions'!D62*F12</f>
        <v>6.1372541752851232E-3</v>
      </c>
      <c r="H74" s="124">
        <f>G66*'Health Assumptions'!E62*G12</f>
        <v>4.112882995679309E-3</v>
      </c>
      <c r="I74" s="124">
        <f>SUM(G74:H74)</f>
        <v>1.0250137170964433E-2</v>
      </c>
    </row>
    <row r="75" spans="2:12">
      <c r="C75" s="125" t="s">
        <v>16586</v>
      </c>
      <c r="D75" s="124">
        <f>D67*'Health Assumptions'!D63*D13</f>
        <v>3.7951189084200559E-2</v>
      </c>
      <c r="E75" s="124">
        <f>E67*'Health Assumptions'!E63*E13</f>
        <v>0</v>
      </c>
      <c r="F75" s="162">
        <f>SUM(D75:E75)</f>
        <v>3.7951189084200559E-2</v>
      </c>
      <c r="G75" s="124">
        <f>F67*'Health Assumptions'!D63*F13</f>
        <v>5.5616093279804608E-3</v>
      </c>
      <c r="H75" s="124">
        <f>G67*'Health Assumptions'!E63*G13</f>
        <v>4.4253357354651426E-3</v>
      </c>
      <c r="I75" s="124">
        <f>SUM(G75:H75)</f>
        <v>9.9869450634456035E-3</v>
      </c>
    </row>
    <row r="76" spans="2:12">
      <c r="C76" s="125" t="s">
        <v>16683</v>
      </c>
      <c r="D76" s="124">
        <f t="shared" ref="D76:I76" si="2">SUM(D71:D75)</f>
        <v>0.16151632510920416</v>
      </c>
      <c r="E76" s="124">
        <f t="shared" si="2"/>
        <v>1.9738917301531385E-2</v>
      </c>
      <c r="F76" s="162">
        <f t="shared" si="2"/>
        <v>0.18125524241073557</v>
      </c>
      <c r="G76" s="124">
        <f t="shared" si="2"/>
        <v>1.4795119540416218E-2</v>
      </c>
      <c r="H76" s="124">
        <f t="shared" si="2"/>
        <v>1.117372112596538E-2</v>
      </c>
      <c r="I76" s="124">
        <f t="shared" si="2"/>
        <v>2.5968840666381599E-2</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0.80631662467945175</v>
      </c>
      <c r="E82" s="124">
        <f>E72*'Health Assumptions'!E93</f>
        <v>0.16891271878040631</v>
      </c>
      <c r="F82" s="162">
        <f>SUM(D82:E82)</f>
        <v>0.97522934345985801</v>
      </c>
      <c r="G82" s="124">
        <f>G72*'Health Assumptions'!D68</f>
        <v>3.2354510121516793E-2</v>
      </c>
      <c r="H82" s="124">
        <f>H72*'Health Assumptions'!E68</f>
        <v>2.5846920648026669E-2</v>
      </c>
      <c r="I82" s="124">
        <f>SUM(G82:H82)</f>
        <v>5.8201430769543462E-2</v>
      </c>
    </row>
    <row r="83" spans="3:11">
      <c r="C83" s="125" t="s">
        <v>16584</v>
      </c>
      <c r="D83" s="124">
        <f>D73*'Health Assumptions'!D94</f>
        <v>1.0312702822718833</v>
      </c>
      <c r="E83" s="124">
        <f>E73*'Health Assumptions'!E94</f>
        <v>0.20658770449013633</v>
      </c>
      <c r="F83" s="162">
        <f>SUM(D83:E83)</f>
        <v>1.2378579867620196</v>
      </c>
      <c r="G83" s="124">
        <f>G73*'Health Assumptions'!D69</f>
        <v>5.1431166407680043E-2</v>
      </c>
      <c r="H83" s="124">
        <f>H73*'Health Assumptions'!E69</f>
        <v>4.4645869693844223E-2</v>
      </c>
      <c r="I83" s="124">
        <f>SUM(G83:H83)</f>
        <v>9.6077036101524266E-2</v>
      </c>
    </row>
    <row r="84" spans="3:11">
      <c r="C84" s="125" t="s">
        <v>16585</v>
      </c>
      <c r="D84" s="124">
        <f>D74*'Health Assumptions'!D95</f>
        <v>0.86185396401858994</v>
      </c>
      <c r="E84" s="124">
        <f>E74*'Health Assumptions'!E95</f>
        <v>8.7573642179660141E-2</v>
      </c>
      <c r="F84" s="162">
        <f>SUM(D84:E84)</f>
        <v>0.94942760619825006</v>
      </c>
      <c r="G84" s="124">
        <f>G74*'Health Assumptions'!D70</f>
        <v>9.2864413439559521E-2</v>
      </c>
      <c r="H84" s="124">
        <f>H74*'Health Assumptions'!E70</f>
        <v>5.8992039133495634E-2</v>
      </c>
      <c r="I84" s="124">
        <f>SUM(G84:H84)</f>
        <v>0.15185645257305516</v>
      </c>
    </row>
    <row r="85" spans="3:11">
      <c r="C85" s="125" t="s">
        <v>16586</v>
      </c>
      <c r="D85" s="124">
        <f>D75*'Health Assumptions'!D96</f>
        <v>0.21945825277550726</v>
      </c>
      <c r="E85" s="124">
        <f>E75*'Health Assumptions'!E96</f>
        <v>0</v>
      </c>
      <c r="F85" s="162">
        <f>SUM(D85:E85)</f>
        <v>0.21945825277550726</v>
      </c>
      <c r="G85" s="124">
        <f>G75*'Health Assumptions'!D71</f>
        <v>3.2160812221999069E-2</v>
      </c>
      <c r="H85" s="124">
        <f>H75*'Health Assumptions'!E71</f>
        <v>2.5590145444336146E-2</v>
      </c>
      <c r="I85" s="124">
        <f>SUM(G85:H85)</f>
        <v>5.7750957666335215E-2</v>
      </c>
    </row>
    <row r="86" spans="3:11">
      <c r="C86" s="125" t="s">
        <v>16683</v>
      </c>
      <c r="D86" s="124">
        <f t="shared" ref="D86:I86" si="3">SUM(D81:D85)</f>
        <v>2.9188991237454323</v>
      </c>
      <c r="E86" s="124">
        <f t="shared" si="3"/>
        <v>0.4630740654502028</v>
      </c>
      <c r="F86" s="162">
        <f t="shared" si="3"/>
        <v>3.3819731891956351</v>
      </c>
      <c r="G86" s="124">
        <f t="shared" si="3"/>
        <v>0.20881090219075543</v>
      </c>
      <c r="H86" s="124">
        <f t="shared" si="3"/>
        <v>0.15507497491970268</v>
      </c>
      <c r="I86" s="124">
        <f t="shared" si="3"/>
        <v>0.36388587711045806</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104.57763749999999</v>
      </c>
      <c r="H18" s="94">
        <f>IF(H4&lt;opening,0,'General Calculations'!$E$28/1000)</f>
        <v>104.57763749999999</v>
      </c>
      <c r="I18" s="94">
        <f>IF(I4&lt;opening,0,'General Calculations'!$E$28/1000)</f>
        <v>104.57763749999999</v>
      </c>
      <c r="J18" s="94">
        <f>IF(J4&lt;opening,0,'General Calculations'!$E$28/1000)</f>
        <v>104.57763749999999</v>
      </c>
      <c r="K18" s="94">
        <f>IF(K4&lt;opening,0,'General Calculations'!$E$28/1000)</f>
        <v>104.57763749999999</v>
      </c>
      <c r="L18" s="94">
        <f>IF(L4&lt;opening,0,'General Calculations'!$E$28/1000)</f>
        <v>104.57763749999999</v>
      </c>
      <c r="M18" s="94">
        <f>IF(M4&lt;opening,0,'General Calculations'!$E$28/1000)</f>
        <v>104.57763749999999</v>
      </c>
      <c r="N18" s="94">
        <f>IF(N4&lt;opening,0,'General Calculations'!$E$28/1000)</f>
        <v>104.57763749999999</v>
      </c>
      <c r="O18" s="94">
        <f>IF(O4&lt;opening,0,'General Calculations'!$E$28/1000)</f>
        <v>104.57763749999999</v>
      </c>
      <c r="P18" s="94">
        <f>IF(P4&lt;opening,0,'General Calculations'!$E$28/1000)</f>
        <v>104.57763749999999</v>
      </c>
      <c r="Q18" s="94">
        <f>IF(Q4&lt;opening,0,'General Calculations'!$E$28/1000)</f>
        <v>104.57763749999999</v>
      </c>
      <c r="R18" s="94">
        <f>IF(R4&lt;opening,0,'General Calculations'!$E$28/1000)</f>
        <v>104.57763749999999</v>
      </c>
      <c r="S18" s="94">
        <f>IF(S4&lt;opening,0,'General Calculations'!$E$28/1000)</f>
        <v>104.57763749999999</v>
      </c>
      <c r="T18" s="94">
        <f>IF(T4&lt;opening,0,'General Calculations'!$E$28/1000)</f>
        <v>104.57763749999999</v>
      </c>
      <c r="U18" s="94">
        <f>IF(U4&lt;opening,0,'General Calculations'!$E$28/1000)</f>
        <v>104.57763749999999</v>
      </c>
      <c r="V18" s="94">
        <f>IF(V4&lt;opening,0,'General Calculations'!$E$28/1000)</f>
        <v>104.57763749999999</v>
      </c>
      <c r="W18" s="94">
        <f>IF(W4&lt;opening,0,'General Calculations'!$E$28/1000)</f>
        <v>104.57763749999999</v>
      </c>
      <c r="X18" s="94">
        <f>IF(X4&lt;opening,0,'General Calculations'!$E$28/1000)</f>
        <v>104.57763749999999</v>
      </c>
      <c r="Y18" s="94">
        <f>IF(Y4&lt;opening,0,'General Calculations'!$E$28/1000)</f>
        <v>104.57763749999999</v>
      </c>
      <c r="Z18" s="94">
        <f>IF(Z4&lt;opening,0,'General Calculations'!$E$28/1000)</f>
        <v>104.57763749999999</v>
      </c>
      <c r="AA18" s="94">
        <f>IF(AA4&lt;opening,0,'General Calculations'!$E$28/1000)</f>
        <v>104.57763749999999</v>
      </c>
      <c r="AB18" s="94">
        <f>IF(AB4&lt;opening,0,'General Calculations'!$E$28/1000)</f>
        <v>104.57763749999999</v>
      </c>
      <c r="AC18" s="94">
        <f>IF(AC4&lt;opening,0,'General Calculations'!$E$28/1000)</f>
        <v>104.57763749999999</v>
      </c>
      <c r="AD18" s="94">
        <f>IF(AD4&lt;opening,0,'General Calculations'!$E$28/1000)</f>
        <v>104.57763749999999</v>
      </c>
      <c r="AE18" s="94">
        <f>IF(AE4&lt;opening,0,'General Calculations'!$E$28/1000)</f>
        <v>104.57763749999999</v>
      </c>
      <c r="AF18" s="94">
        <f>IF(AF4&lt;opening,0,'General Calculations'!$E$28/1000)</f>
        <v>104.57763749999999</v>
      </c>
      <c r="AG18" s="94">
        <f>IF(AG4&lt;opening,0,'General Calculations'!$E$28/1000)</f>
        <v>104.57763749999999</v>
      </c>
      <c r="AH18" s="94">
        <f>IF(AH4&lt;opening,0,'General Calculations'!$E$28/1000)</f>
        <v>104.57763749999999</v>
      </c>
      <c r="AI18" s="94">
        <f>IF(AI4&lt;opening,0,'General Calculations'!$E$28/1000)</f>
        <v>104.57763749999999</v>
      </c>
      <c r="AJ18" s="94">
        <f>IF(AJ4&lt;opening,0,'General Calculations'!$E$28/1000)</f>
        <v>104.57763749999999</v>
      </c>
      <c r="AK18" s="94">
        <f>IF(AK4&lt;opening,0,'General Calculations'!$E$28/1000)</f>
        <v>104.57763749999999</v>
      </c>
      <c r="AL18" s="94">
        <f>IF(AL4&lt;opening,0,'General Calculations'!$E$28/1000)</f>
        <v>104.57763749999999</v>
      </c>
      <c r="AM18" s="94">
        <f>IF(AM4&lt;opening,0,'General Calculations'!$E$28/1000)</f>
        <v>104.57763749999999</v>
      </c>
      <c r="AN18" s="94">
        <f>IF(AN4&lt;opening,0,'General Calculations'!$E$28/1000)</f>
        <v>104.57763749999999</v>
      </c>
      <c r="AO18" s="94">
        <f>IF(AO4&lt;opening,0,'General Calculations'!$E$28/1000)</f>
        <v>104.57763749999999</v>
      </c>
      <c r="AP18" s="94">
        <f>IF(AP4&lt;opening,0,'General Calculations'!$E$28/1000)</f>
        <v>104.57763749999999</v>
      </c>
      <c r="AQ18" s="94">
        <f>IF(AQ4&lt;opening,0,'General Calculations'!$E$28/1000)</f>
        <v>104.57763749999999</v>
      </c>
      <c r="AR18" s="94">
        <f>IF(AR4&lt;opening,0,'General Calculations'!$E$28/1000)</f>
        <v>104.57763749999999</v>
      </c>
      <c r="AS18" s="94">
        <f>IF(AS4&lt;opening,0,'General Calculations'!$E$28/1000)</f>
        <v>104.57763749999999</v>
      </c>
      <c r="AT18" s="94">
        <f>IF(AT4&lt;opening,0,'General Calculations'!$E$28/1000)</f>
        <v>104.57763749999999</v>
      </c>
      <c r="AU18" s="94">
        <f>IF(AU4&lt;opening,0,'General Calculations'!$E$28/1000)</f>
        <v>104.57763749999999</v>
      </c>
      <c r="AV18" s="94">
        <f>IF(AV4&lt;opening,0,'General Calculations'!$E$28/1000)</f>
        <v>104.57763749999999</v>
      </c>
      <c r="AW18" s="94">
        <f>IF(AW4&lt;opening,0,'General Calculations'!$E$28/1000)</f>
        <v>104.57763749999999</v>
      </c>
      <c r="AX18" s="94">
        <f>IF(AX4&lt;opening,0,'General Calculations'!$E$28/1000)</f>
        <v>104.57763749999999</v>
      </c>
      <c r="AY18" s="94">
        <f>IF(AY4&lt;opening,0,'General Calculations'!$E$28/1000)</f>
        <v>104.57763749999999</v>
      </c>
      <c r="AZ18" s="94">
        <f>IF(AZ4&lt;opening,0,'General Calculations'!$E$28/1000)</f>
        <v>104.57763749999999</v>
      </c>
      <c r="BA18" s="94">
        <f>IF(BA4&lt;opening,0,'General Calculations'!$E$28/1000)</f>
        <v>104.57763749999999</v>
      </c>
      <c r="BB18" s="94">
        <f>IF(BB4&lt;opening,0,'General Calculations'!$E$28/1000)</f>
        <v>104.57763749999999</v>
      </c>
      <c r="BC18" s="94">
        <f>IF(BC4&lt;opening,0,'General Calculations'!$E$28/1000)</f>
        <v>104.57763749999999</v>
      </c>
      <c r="BD18" s="94">
        <f>IF(BD4&lt;opening,0,'General Calculations'!$E$28/1000)</f>
        <v>104.57763749999999</v>
      </c>
      <c r="BE18" s="94">
        <f>IF(BE4&lt;opening,0,'General Calculations'!$E$28/1000)</f>
        <v>104.57763749999999</v>
      </c>
      <c r="BF18" s="94">
        <f>IF(BF4&lt;opening,0,'General Calculations'!$E$28/1000)</f>
        <v>104.57763749999999</v>
      </c>
      <c r="BG18" s="94">
        <f>IF(BG4&lt;opening,0,'General Calculations'!$E$28/1000)</f>
        <v>104.57763749999999</v>
      </c>
      <c r="BH18" s="94">
        <f>IF(BH4&lt;opening,0,'General Calculations'!$E$28/1000)</f>
        <v>104.57763749999999</v>
      </c>
      <c r="BI18" s="94">
        <f>IF(BI4&lt;opening,0,'General Calculations'!$E$28/1000)</f>
        <v>104.57763749999999</v>
      </c>
      <c r="BJ18" s="94">
        <f>IF(BJ4&lt;opening,0,'General Calculations'!$E$28/1000)</f>
        <v>104.57763749999999</v>
      </c>
      <c r="BK18" s="94">
        <f>IF(BK4&lt;opening,0,'General Calculations'!$E$28/1000)</f>
        <v>104.57763749999999</v>
      </c>
      <c r="BL18" s="94">
        <f>IF(BL4&lt;opening,0,'General Calculations'!$E$28/1000)</f>
        <v>104.57763749999999</v>
      </c>
      <c r="BM18" s="94">
        <f>IF(BM4&lt;opening,0,'General Calculations'!$E$28/1000)</f>
        <v>104.57763749999999</v>
      </c>
      <c r="BN18" s="376">
        <f>IF(BN4&lt;opening,0,'General Calculations'!$E$28/1000)</f>
        <v>104.57763749999999</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230.52609244490188</v>
      </c>
      <c r="C19" s="42">
        <f>IFERROR(C$18*HLOOKUP(C$4,mecc2,2)/100*C$7*C$9*C$11*C$12,0)</f>
        <v>0</v>
      </c>
      <c r="D19" s="42">
        <f t="shared" ref="D19:AH19" si="19">IFERROR(D$18*HLOOKUP(D$4,mecc2,2)/100*D$7*D$9*D$11*D$12,0)</f>
        <v>0</v>
      </c>
      <c r="E19" s="42">
        <f t="shared" si="19"/>
        <v>0</v>
      </c>
      <c r="F19" s="42">
        <f t="shared" si="19"/>
        <v>0</v>
      </c>
      <c r="G19" s="42">
        <f t="shared" si="19"/>
        <v>11.684395526515852</v>
      </c>
      <c r="H19" s="42">
        <f t="shared" si="19"/>
        <v>11.648345789127209</v>
      </c>
      <c r="I19" s="42">
        <f t="shared" si="19"/>
        <v>11.612407275598013</v>
      </c>
      <c r="J19" s="42">
        <f t="shared" si="19"/>
        <v>11.576579642770513</v>
      </c>
      <c r="K19" s="42">
        <f t="shared" si="19"/>
        <v>11.540862548545695</v>
      </c>
      <c r="L19" s="42">
        <f t="shared" si="19"/>
        <v>11.686332464053894</v>
      </c>
      <c r="M19" s="42">
        <f t="shared" si="19"/>
        <v>11.833635994357257</v>
      </c>
      <c r="N19" s="42">
        <f t="shared" si="19"/>
        <v>11.98279625174815</v>
      </c>
      <c r="O19" s="42">
        <f t="shared" si="19"/>
        <v>12.133836639844041</v>
      </c>
      <c r="P19" s="42">
        <f t="shared" si="19"/>
        <v>12.286780857259652</v>
      </c>
      <c r="Q19" s="42">
        <f t="shared" si="19"/>
        <v>12.047427720115168</v>
      </c>
      <c r="R19" s="42">
        <f t="shared" si="19"/>
        <v>11.81273731155081</v>
      </c>
      <c r="S19" s="42">
        <f t="shared" si="19"/>
        <v>11.582618799091724</v>
      </c>
      <c r="T19" s="42">
        <f t="shared" si="19"/>
        <v>11.356983119728785</v>
      </c>
      <c r="U19" s="42">
        <f t="shared" si="19"/>
        <v>11.135742945448481</v>
      </c>
      <c r="V19" s="42">
        <f t="shared" si="19"/>
        <v>11.063514312805452</v>
      </c>
      <c r="W19" s="42">
        <f t="shared" si="19"/>
        <v>10.99175416936867</v>
      </c>
      <c r="X19" s="42">
        <f t="shared" si="19"/>
        <v>10.920459476424424</v>
      </c>
      <c r="Y19" s="42">
        <f t="shared" si="19"/>
        <v>10.849627214968699</v>
      </c>
      <c r="Z19" s="42">
        <f t="shared" si="19"/>
        <v>10.779254385579341</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1.2648867654974167</v>
      </c>
      <c r="C20" s="42">
        <f t="shared" ref="C20:AH20" si="22">IFERROR(C$18*HLOOKUP(C$4,mecc2,3)/100*C$7*C$9*C$11*C$12,0)</f>
        <v>0</v>
      </c>
      <c r="D20" s="42">
        <f t="shared" si="22"/>
        <v>0</v>
      </c>
      <c r="E20" s="42">
        <f t="shared" si="22"/>
        <v>0</v>
      </c>
      <c r="F20" s="42">
        <f t="shared" si="22"/>
        <v>0</v>
      </c>
      <c r="G20" s="42">
        <f t="shared" si="22"/>
        <v>6.9905700758922815E-2</v>
      </c>
      <c r="H20" s="42">
        <f t="shared" si="22"/>
        <v>6.9023036656332235E-2</v>
      </c>
      <c r="I20" s="42">
        <f t="shared" si="22"/>
        <v>6.8151517509153645E-2</v>
      </c>
      <c r="J20" s="42">
        <f t="shared" si="22"/>
        <v>6.7291002595643884E-2</v>
      </c>
      <c r="K20" s="42">
        <f t="shared" si="22"/>
        <v>6.6441352970882411E-2</v>
      </c>
      <c r="L20" s="42">
        <f t="shared" si="22"/>
        <v>6.6547932573366803E-2</v>
      </c>
      <c r="M20" s="42">
        <f t="shared" si="22"/>
        <v>6.6654683141840892E-2</v>
      </c>
      <c r="N20" s="42">
        <f t="shared" si="22"/>
        <v>6.6761604950553846E-2</v>
      </c>
      <c r="O20" s="42">
        <f t="shared" si="22"/>
        <v>6.6868698274194754E-2</v>
      </c>
      <c r="P20" s="42">
        <f t="shared" si="22"/>
        <v>6.6975963387893384E-2</v>
      </c>
      <c r="Q20" s="42">
        <f t="shared" si="22"/>
        <v>6.5196408805123285E-2</v>
      </c>
      <c r="R20" s="42">
        <f t="shared" si="22"/>
        <v>6.3464137073586196E-2</v>
      </c>
      <c r="S20" s="42">
        <f t="shared" si="22"/>
        <v>6.1777891885640687E-2</v>
      </c>
      <c r="T20" s="42">
        <f t="shared" si="22"/>
        <v>6.013645031379998E-2</v>
      </c>
      <c r="U20" s="42">
        <f t="shared" si="22"/>
        <v>5.8538621923819839E-2</v>
      </c>
      <c r="V20" s="42">
        <f t="shared" si="22"/>
        <v>5.7755364778637151E-2</v>
      </c>
      <c r="W20" s="42">
        <f t="shared" si="22"/>
        <v>5.698258775299464E-2</v>
      </c>
      <c r="X20" s="42">
        <f t="shared" si="22"/>
        <v>5.6220150621033887E-2</v>
      </c>
      <c r="Y20" s="42">
        <f t="shared" si="22"/>
        <v>5.5467915033143279E-2</v>
      </c>
      <c r="Z20" s="42">
        <f t="shared" si="22"/>
        <v>5.4725744490853531E-2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38.864748240539676</v>
      </c>
      <c r="C21" s="42">
        <f t="shared" ref="C21:AH21" si="24">IFERROR(C$18*HLOOKUP(C$4,mecc2,4)/100*C$7*C$9*C$11*C$12,0)</f>
        <v>0</v>
      </c>
      <c r="D21" s="42">
        <f t="shared" si="24"/>
        <v>0</v>
      </c>
      <c r="E21" s="42">
        <f t="shared" si="24"/>
        <v>0</v>
      </c>
      <c r="F21" s="42">
        <f t="shared" si="24"/>
        <v>0</v>
      </c>
      <c r="G21" s="42">
        <f t="shared" si="24"/>
        <v>2.1184136155560562</v>
      </c>
      <c r="H21" s="42">
        <f t="shared" si="24"/>
        <v>2.0969358513123759</v>
      </c>
      <c r="I21" s="42">
        <f t="shared" si="24"/>
        <v>2.075675841691079</v>
      </c>
      <c r="J21" s="42">
        <f t="shared" si="24"/>
        <v>2.0546313789635104</v>
      </c>
      <c r="K21" s="42">
        <f t="shared" si="24"/>
        <v>2.0338002777843092</v>
      </c>
      <c r="L21" s="42">
        <f t="shared" si="24"/>
        <v>2.0401166484328943</v>
      </c>
      <c r="M21" s="42">
        <f t="shared" si="24"/>
        <v>2.046452635824878</v>
      </c>
      <c r="N21" s="42">
        <f t="shared" si="24"/>
        <v>2.0528083008839499</v>
      </c>
      <c r="O21" s="42">
        <f t="shared" si="24"/>
        <v>2.0591837047230137</v>
      </c>
      <c r="P21" s="42">
        <f t="shared" si="24"/>
        <v>2.0655789086447722</v>
      </c>
      <c r="Q21" s="42">
        <f t="shared" si="24"/>
        <v>2.0106963772556599</v>
      </c>
      <c r="R21" s="42">
        <f t="shared" si="24"/>
        <v>1.9572720773768872</v>
      </c>
      <c r="S21" s="42">
        <f t="shared" si="24"/>
        <v>1.9052672637267769</v>
      </c>
      <c r="T21" s="42">
        <f t="shared" si="24"/>
        <v>1.8546442204876592</v>
      </c>
      <c r="U21" s="42">
        <f t="shared" si="24"/>
        <v>1.8053662339529639</v>
      </c>
      <c r="V21" s="42">
        <f t="shared" si="24"/>
        <v>1.7823847978605891</v>
      </c>
      <c r="W21" s="42">
        <f t="shared" si="24"/>
        <v>1.7596959042977762</v>
      </c>
      <c r="X21" s="42">
        <f t="shared" si="24"/>
        <v>1.7372958293400838</v>
      </c>
      <c r="Y21" s="42">
        <f t="shared" si="24"/>
        <v>1.7151808964668189</v>
      </c>
      <c r="Z21" s="42">
        <f t="shared" si="24"/>
        <v>1.6933474759576148</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5.1421960313650237</v>
      </c>
      <c r="C22" s="42">
        <f t="shared" ref="C22:AH22" si="26">IFERROR(C$18*HLOOKUP(C$4,mecc2,5)/100*C$7*C$9*C$11*C$12,0)</f>
        <v>0</v>
      </c>
      <c r="D22" s="42">
        <f t="shared" si="26"/>
        <v>0</v>
      </c>
      <c r="E22" s="42">
        <f t="shared" si="26"/>
        <v>0</v>
      </c>
      <c r="F22" s="42">
        <f t="shared" si="26"/>
        <v>0</v>
      </c>
      <c r="G22" s="42">
        <f t="shared" si="26"/>
        <v>0.34553060827555249</v>
      </c>
      <c r="H22" s="42">
        <f t="shared" si="26"/>
        <v>0.32107108891043379</v>
      </c>
      <c r="I22" s="42">
        <f t="shared" si="26"/>
        <v>0.29834301698656612</v>
      </c>
      <c r="J22" s="42">
        <f t="shared" si="26"/>
        <v>0.27722382630806214</v>
      </c>
      <c r="K22" s="42">
        <f t="shared" si="26"/>
        <v>0.25759962692990784</v>
      </c>
      <c r="L22" s="42">
        <f t="shared" si="26"/>
        <v>0.25922370574804099</v>
      </c>
      <c r="M22" s="42">
        <f t="shared" si="26"/>
        <v>0.26085802383569084</v>
      </c>
      <c r="N22" s="42">
        <f t="shared" si="26"/>
        <v>0.26250264574800014</v>
      </c>
      <c r="O22" s="42">
        <f t="shared" si="26"/>
        <v>0.26415763644711016</v>
      </c>
      <c r="P22" s="42">
        <f t="shared" si="26"/>
        <v>0.26582306130472688</v>
      </c>
      <c r="Q22" s="42">
        <f t="shared" si="26"/>
        <v>0.25876227783627981</v>
      </c>
      <c r="R22" s="42">
        <f t="shared" si="26"/>
        <v>0.25188904266760626</v>
      </c>
      <c r="S22" s="42">
        <f t="shared" si="26"/>
        <v>0.24519837414689594</v>
      </c>
      <c r="T22" s="42">
        <f t="shared" si="26"/>
        <v>0.23868542294481099</v>
      </c>
      <c r="U22" s="42">
        <f t="shared" si="26"/>
        <v>0.23234546853974147</v>
      </c>
      <c r="V22" s="42">
        <f t="shared" si="26"/>
        <v>0.22833815656055936</v>
      </c>
      <c r="W22" s="42">
        <f t="shared" si="26"/>
        <v>0.22439995954798023</v>
      </c>
      <c r="X22" s="42">
        <f t="shared" si="26"/>
        <v>0.22052968546139617</v>
      </c>
      <c r="Y22" s="42">
        <f t="shared" si="26"/>
        <v>0.21672616281957813</v>
      </c>
      <c r="Z22" s="42">
        <f t="shared" si="26"/>
        <v>0.21298824034608463</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2.5909832160359785</v>
      </c>
      <c r="C23" s="42">
        <f t="shared" ref="C23:AH23" si="28">IFERROR(C$18*HLOOKUP(C$4,mecc2,6)/100*C$7*C$9*C$11*C$12,0)</f>
        <v>0</v>
      </c>
      <c r="D23" s="42">
        <f t="shared" si="28"/>
        <v>0</v>
      </c>
      <c r="E23" s="42">
        <f t="shared" si="28"/>
        <v>0</v>
      </c>
      <c r="F23" s="42">
        <f t="shared" si="28"/>
        <v>0</v>
      </c>
      <c r="G23" s="42">
        <f t="shared" si="28"/>
        <v>0.14122757437040373</v>
      </c>
      <c r="H23" s="42">
        <f t="shared" si="28"/>
        <v>0.13979572342082505</v>
      </c>
      <c r="I23" s="42">
        <f t="shared" si="28"/>
        <v>0.13837838944607192</v>
      </c>
      <c r="J23" s="42">
        <f t="shared" si="28"/>
        <v>0.13697542526423404</v>
      </c>
      <c r="K23" s="42">
        <f t="shared" si="28"/>
        <v>0.13558668518562061</v>
      </c>
      <c r="L23" s="42">
        <f t="shared" si="28"/>
        <v>0.13600777656219296</v>
      </c>
      <c r="M23" s="42">
        <f t="shared" si="28"/>
        <v>0.13643017572165853</v>
      </c>
      <c r="N23" s="42">
        <f t="shared" si="28"/>
        <v>0.13685388672559667</v>
      </c>
      <c r="O23" s="42">
        <f t="shared" si="28"/>
        <v>0.13727891364820094</v>
      </c>
      <c r="P23" s="42">
        <f t="shared" si="28"/>
        <v>0.13770526057631813</v>
      </c>
      <c r="Q23" s="42">
        <f t="shared" si="28"/>
        <v>0.13404642515037735</v>
      </c>
      <c r="R23" s="42">
        <f t="shared" si="28"/>
        <v>0.13048480515845914</v>
      </c>
      <c r="S23" s="42">
        <f t="shared" si="28"/>
        <v>0.12701781758178513</v>
      </c>
      <c r="T23" s="42">
        <f t="shared" si="28"/>
        <v>0.12364294803251062</v>
      </c>
      <c r="U23" s="42">
        <f t="shared" si="28"/>
        <v>0.12035774893019759</v>
      </c>
      <c r="V23" s="42">
        <f t="shared" si="28"/>
        <v>0.11882565319070597</v>
      </c>
      <c r="W23" s="42">
        <f t="shared" si="28"/>
        <v>0.11731306028651847</v>
      </c>
      <c r="X23" s="42">
        <f t="shared" si="28"/>
        <v>0.11581972195600568</v>
      </c>
      <c r="Y23" s="42">
        <f t="shared" si="28"/>
        <v>0.11434539309778805</v>
      </c>
      <c r="Z23" s="42">
        <f t="shared" si="28"/>
        <v>0.11288983173050772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16.25468230217805</v>
      </c>
      <c r="C24" s="42">
        <f t="shared" ref="C24:AH24" si="30">IFERROR(C$18*HLOOKUP(C$4,mecc2,7)/100*C$7*C$9*C$11*C$12,0)</f>
        <v>0</v>
      </c>
      <c r="D24" s="42">
        <f t="shared" si="30"/>
        <v>0</v>
      </c>
      <c r="E24" s="42">
        <f t="shared" si="30"/>
        <v>0</v>
      </c>
      <c r="F24" s="42">
        <f t="shared" si="30"/>
        <v>0</v>
      </c>
      <c r="G24" s="42">
        <f t="shared" si="30"/>
        <v>1.241227672736521</v>
      </c>
      <c r="H24" s="42">
        <f t="shared" si="30"/>
        <v>0.94258474667272207</v>
      </c>
      <c r="I24" s="42">
        <f t="shared" si="30"/>
        <v>0.71579616227963105</v>
      </c>
      <c r="J24" s="42">
        <f t="shared" si="30"/>
        <v>0.54357355955829778</v>
      </c>
      <c r="K24" s="42">
        <f t="shared" si="30"/>
        <v>0.41278820734365673</v>
      </c>
      <c r="L24" s="42">
        <f t="shared" si="30"/>
        <v>0.49460606296052362</v>
      </c>
      <c r="M24" s="42">
        <f t="shared" si="30"/>
        <v>0.59264085835098634</v>
      </c>
      <c r="N24" s="42">
        <f t="shared" si="30"/>
        <v>0.71010691798783343</v>
      </c>
      <c r="O24" s="42">
        <f t="shared" si="30"/>
        <v>0.8508556706286704</v>
      </c>
      <c r="P24" s="42">
        <f t="shared" si="30"/>
        <v>1.0195019283749165</v>
      </c>
      <c r="Q24" s="42">
        <f t="shared" si="30"/>
        <v>0.99243412413655185</v>
      </c>
      <c r="R24" s="42">
        <f t="shared" si="30"/>
        <v>0.96608497084517875</v>
      </c>
      <c r="S24" s="42">
        <f t="shared" si="30"/>
        <v>0.94043538829838935</v>
      </c>
      <c r="T24" s="42">
        <f t="shared" si="30"/>
        <v>0.91546680287367344</v>
      </c>
      <c r="U24" s="42">
        <f t="shared" si="30"/>
        <v>0.89116113407871111</v>
      </c>
      <c r="V24" s="42">
        <f t="shared" si="30"/>
        <v>0.86115509151695835</v>
      </c>
      <c r="W24" s="42">
        <f t="shared" si="30"/>
        <v>0.83215937419919017</v>
      </c>
      <c r="X24" s="42">
        <f t="shared" si="30"/>
        <v>0.80413996374072516</v>
      </c>
      <c r="Y24" s="42">
        <f t="shared" si="30"/>
        <v>0.77706398718059899</v>
      </c>
      <c r="Z24" s="42">
        <f t="shared" si="30"/>
        <v>0.75089967841431593</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-18.749351383767372</v>
      </c>
      <c r="C25" s="532">
        <f t="shared" ref="C25:AH25" si="32">IFERROR(C$18*HLOOKUP(C$4,mecc2,8)/100*C$7*C$9*C$11*C$12,0)</f>
        <v>0</v>
      </c>
      <c r="D25" s="532">
        <f t="shared" si="32"/>
        <v>0</v>
      </c>
      <c r="E25" s="532">
        <f t="shared" si="32"/>
        <v>0</v>
      </c>
      <c r="F25" s="532">
        <f t="shared" si="32"/>
        <v>0</v>
      </c>
      <c r="G25" s="532">
        <f t="shared" si="32"/>
        <v>-1.9285543121244677</v>
      </c>
      <c r="H25" s="532">
        <f t="shared" si="32"/>
        <v>-1.7663337153134049</v>
      </c>
      <c r="I25" s="532">
        <f t="shared" si="32"/>
        <v>-1.6177583251031085</v>
      </c>
      <c r="J25" s="532">
        <f t="shared" si="32"/>
        <v>-1.4816803731655257</v>
      </c>
      <c r="K25" s="532">
        <f t="shared" si="32"/>
        <v>-1.3570486358548066</v>
      </c>
      <c r="L25" s="532">
        <f t="shared" si="32"/>
        <v>-1.1926170062513322</v>
      </c>
      <c r="M25" s="532">
        <f t="shared" si="32"/>
        <v>-1.0481093204916414</v>
      </c>
      <c r="N25" s="532">
        <f t="shared" si="32"/>
        <v>-0.92111142298263138</v>
      </c>
      <c r="O25" s="532">
        <f t="shared" si="32"/>
        <v>-0.80950167788900396</v>
      </c>
      <c r="P25" s="532">
        <f t="shared" si="32"/>
        <v>-0.71141552493532523</v>
      </c>
      <c r="Q25" s="532">
        <f t="shared" si="32"/>
        <v>-0.69253200013819149</v>
      </c>
      <c r="R25" s="532">
        <f t="shared" si="32"/>
        <v>-0.67414971195491491</v>
      </c>
      <c r="S25" s="532">
        <f t="shared" si="32"/>
        <v>-0.656255355764363</v>
      </c>
      <c r="T25" s="532">
        <f t="shared" si="32"/>
        <v>-0.63883598009786358</v>
      </c>
      <c r="U25" s="532">
        <f t="shared" si="32"/>
        <v>-0.62187897726526997</v>
      </c>
      <c r="V25" s="532">
        <f t="shared" si="32"/>
        <v>-0.58760748186706679</v>
      </c>
      <c r="W25" s="532">
        <f t="shared" si="32"/>
        <v>-0.55522467452516999</v>
      </c>
      <c r="X25" s="532">
        <f t="shared" si="32"/>
        <v>-0.52462647041536714</v>
      </c>
      <c r="Y25" s="532">
        <f t="shared" si="32"/>
        <v>-0.49571452078542105</v>
      </c>
      <c r="Z25" s="532">
        <f t="shared" si="32"/>
        <v>-0.46839589684249705</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367.24147934574529</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20.537773372878171</v>
      </c>
      <c r="H29" s="42">
        <f>IF(H4&lt;opening,0,1)*Absenteeism!$D$23*H7*H9*H11*H12*H10/1000</f>
        <v>20.291964998330801</v>
      </c>
      <c r="I29" s="42">
        <f>IF(I4&lt;opening,0,1)*Absenteeism!$D$23*I7*I9*I11*I12*I10/1000</f>
        <v>20.049098605657544</v>
      </c>
      <c r="J29" s="42">
        <f>IF(J4&lt;opening,0,1)*Absenteeism!$D$23*J7*J9*J11*J12*J10/1000</f>
        <v>19.809138983456986</v>
      </c>
      <c r="K29" s="42">
        <f>IF(K4&lt;opening,0,1)*Absenteeism!$D$23*K7*K9*K11*K12*K10/1000</f>
        <v>19.572051341758844</v>
      </c>
      <c r="L29" s="42">
        <f>IF(L4&lt;opening,0,1)*Absenteeism!$D$23*L7*L9*L11*L12*L10/1000</f>
        <v>19.337801306980058</v>
      </c>
      <c r="M29" s="42">
        <f>IF(M4&lt;opening,0,1)*Absenteeism!$D$23*M7*M9*M11*M12*M10/1000</f>
        <v>19.106354916941211</v>
      </c>
      <c r="N29" s="42">
        <f>IF(N4&lt;opening,0,1)*Absenteeism!$D$23*N7*N9*N11*N12*N10/1000</f>
        <v>18.877678615942553</v>
      </c>
      <c r="O29" s="42">
        <f>IF(O4&lt;opening,0,1)*Absenteeism!$D$23*O7*O9*O11*O12*O10/1000</f>
        <v>18.651739249899084</v>
      </c>
      <c r="P29" s="42">
        <f>IF(P4&lt;opening,0,1)*Absenteeism!$D$23*P7*P9*P11*P12*P10/1000</f>
        <v>18.428504061533751</v>
      </c>
      <c r="Q29" s="42">
        <f>IF(Q4&lt;opening,0,1)*Absenteeism!$D$23*Q7*Q9*Q11*Q12*Q10/1000</f>
        <v>18.207940685628191</v>
      </c>
      <c r="R29" s="42">
        <f>IF(R4&lt;opening,0,1)*Absenteeism!$D$23*R7*R9*R11*R12*R10/1000</f>
        <v>17.990017144330398</v>
      </c>
      <c r="S29" s="42">
        <f>IF(S4&lt;opening,0,1)*Absenteeism!$D$23*S7*S9*S11*S12*S10/1000</f>
        <v>17.774701842518429</v>
      </c>
      <c r="T29" s="42">
        <f>IF(T4&lt;opening,0,1)*Absenteeism!$D$23*T7*T9*T11*T12*T10/1000</f>
        <v>17.561963563219685</v>
      </c>
      <c r="U29" s="42">
        <f>IF(U4&lt;opening,0,1)*Absenteeism!$D$23*U7*U9*U11*U12*U10/1000</f>
        <v>17.351771463085019</v>
      </c>
      <c r="V29" s="42">
        <f>IF(V4&lt;opening,0,1)*Absenteeism!$D$23*V7*V9*V11*V12*V10/1000</f>
        <v>17.14409506791694</v>
      </c>
      <c r="W29" s="42">
        <f>IF(W4&lt;opening,0,1)*Absenteeism!$D$23*W7*W9*W11*W12*W10/1000</f>
        <v>16.938904268251409</v>
      </c>
      <c r="X29" s="42">
        <f>IF(X4&lt;opening,0,1)*Absenteeism!$D$23*X7*X9*X11*X12*X10/1000</f>
        <v>16.736169314992512</v>
      </c>
      <c r="Y29" s="42">
        <f>IF(Y4&lt;opening,0,1)*Absenteeism!$D$23*Y7*Y9*Y11*Y12*Y10/1000</f>
        <v>16.535860815099301</v>
      </c>
      <c r="Z29" s="42">
        <f>IF(Z4&lt;opening,0,1)*Absenteeism!$D$23*Z7*Z9*Z11*Z12*Z10/1000</f>
        <v>16.337949727324382</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2393.5092692022704</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28.714443408514963</v>
      </c>
      <c r="H30" s="532">
        <f t="shared" si="34"/>
        <v>57.004535436608528</v>
      </c>
      <c r="I30" s="532">
        <f t="shared" si="34"/>
        <v>84.874979486280452</v>
      </c>
      <c r="J30" s="532">
        <f t="shared" si="34"/>
        <v>112.33043262059452</v>
      </c>
      <c r="K30" s="532">
        <f t="shared" si="34"/>
        <v>139.37550599168594</v>
      </c>
      <c r="L30" s="532">
        <f t="shared" si="34"/>
        <v>138.34563772081142</v>
      </c>
      <c r="M30" s="532">
        <f t="shared" si="34"/>
        <v>137.32337931400747</v>
      </c>
      <c r="N30" s="532">
        <f t="shared" si="34"/>
        <v>136.3086745407513</v>
      </c>
      <c r="O30" s="532">
        <f t="shared" si="34"/>
        <v>135.30146758601668</v>
      </c>
      <c r="P30" s="532">
        <f t="shared" si="34"/>
        <v>134.30170304720374</v>
      </c>
      <c r="Q30" s="532">
        <f t="shared" si="34"/>
        <v>133.30932593109145</v>
      </c>
      <c r="R30" s="532">
        <f t="shared" si="34"/>
        <v>132.32428165081248</v>
      </c>
      <c r="S30" s="532">
        <f t="shared" si="34"/>
        <v>131.34651602285084</v>
      </c>
      <c r="T30" s="532">
        <f>IF(T4&lt;opening,0,1)*T8*T9*T11*T12*T13*(VoL*YLLsC + VoL*YLLsP)/1000</f>
        <v>130.37597526406131</v>
      </c>
      <c r="U30" s="532">
        <f t="shared" si="34"/>
        <v>129.41260598871114</v>
      </c>
      <c r="V30" s="532">
        <f t="shared" si="34"/>
        <v>128.45635520554339</v>
      </c>
      <c r="W30" s="532">
        <f t="shared" si="34"/>
        <v>127.50717031486199</v>
      </c>
      <c r="X30" s="532">
        <f t="shared" si="34"/>
        <v>126.56499910563892</v>
      </c>
      <c r="Y30" s="532">
        <f t="shared" si="34"/>
        <v>125.62978975264163</v>
      </c>
      <c r="Z30" s="532">
        <f t="shared" si="34"/>
        <v>124.70149081358271</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230.52609244490188</v>
      </c>
      <c r="F4" s="41"/>
      <c r="G4" s="104"/>
      <c r="H4" s="435" t="s">
        <v>16711</v>
      </c>
      <c r="I4" s="192">
        <f>SUM(E4:E9,E14)</f>
        <v>275.89423761675062</v>
      </c>
      <c r="J4" s="436">
        <f>IFERROR(I4/SUM($I$4:$I$6),0)</f>
        <v>9.0854953039868055E-2</v>
      </c>
      <c r="K4" s="41"/>
      <c r="L4" s="41"/>
      <c r="M4" s="41"/>
      <c r="N4" s="41"/>
      <c r="O4" s="41"/>
    </row>
    <row r="5" spans="1:15">
      <c r="A5" s="41"/>
      <c r="B5" s="674" t="s">
        <v>16712</v>
      </c>
      <c r="C5" s="675"/>
      <c r="D5" s="675"/>
      <c r="E5" s="124">
        <f>Discounting!B20</f>
        <v>1.2648867654974167</v>
      </c>
      <c r="F5" s="41"/>
      <c r="G5" s="104"/>
      <c r="H5" s="107" t="s">
        <v>16713</v>
      </c>
      <c r="I5" s="124">
        <f>E10+E11</f>
        <v>2760.7507485480155</v>
      </c>
      <c r="J5" s="430">
        <f>IFERROR(I5/SUM($I$4:$I$6),0)</f>
        <v>0.90914504696013199</v>
      </c>
      <c r="K5" s="41"/>
      <c r="L5" s="41"/>
      <c r="M5" s="41"/>
      <c r="N5" s="41"/>
      <c r="O5" s="41"/>
    </row>
    <row r="6" spans="1:15">
      <c r="A6" s="41"/>
      <c r="B6" s="674" t="s">
        <v>16441</v>
      </c>
      <c r="C6" s="675"/>
      <c r="D6" s="675"/>
      <c r="E6" s="124">
        <f>Discounting!B21</f>
        <v>38.864748240539676</v>
      </c>
      <c r="F6" s="41"/>
      <c r="G6" s="104"/>
      <c r="H6" s="107" t="s">
        <v>16714</v>
      </c>
      <c r="I6" s="124">
        <f>E12</f>
        <v>0</v>
      </c>
      <c r="J6" s="430">
        <f>IFERROR(I6/SUM($I$4:$I$6),0)</f>
        <v>0</v>
      </c>
      <c r="K6" s="41"/>
      <c r="L6" s="41"/>
      <c r="M6" s="41"/>
      <c r="N6" s="41"/>
      <c r="O6" s="41"/>
    </row>
    <row r="7" spans="1:15">
      <c r="A7" s="41"/>
      <c r="B7" s="674" t="s">
        <v>16715</v>
      </c>
      <c r="C7" s="675"/>
      <c r="D7" s="675"/>
      <c r="E7" s="124">
        <f>Discounting!B22</f>
        <v>5.1421960313650237</v>
      </c>
      <c r="F7" s="41"/>
      <c r="G7" s="104"/>
      <c r="H7" s="41"/>
      <c r="I7" s="41"/>
      <c r="J7" s="413"/>
      <c r="K7" s="41"/>
      <c r="L7" s="41"/>
      <c r="M7" s="41"/>
      <c r="N7" s="41"/>
      <c r="O7" s="41"/>
    </row>
    <row r="8" spans="1:15">
      <c r="A8" s="41"/>
      <c r="B8" s="674" t="s">
        <v>16443</v>
      </c>
      <c r="C8" s="675"/>
      <c r="D8" s="675"/>
      <c r="E8" s="124">
        <f>Discounting!B23</f>
        <v>2.5909832160359785</v>
      </c>
      <c r="F8" s="41"/>
      <c r="G8" s="104"/>
      <c r="H8" s="41"/>
      <c r="I8" s="41"/>
      <c r="J8" s="413"/>
      <c r="K8" s="41"/>
      <c r="L8" s="41"/>
      <c r="M8" s="41"/>
      <c r="N8" s="41"/>
      <c r="O8" s="41"/>
    </row>
    <row r="9" spans="1:15">
      <c r="A9" s="41"/>
      <c r="B9" s="674" t="s">
        <v>16716</v>
      </c>
      <c r="C9" s="675"/>
      <c r="D9" s="675"/>
      <c r="E9" s="124">
        <f>Discounting!B24</f>
        <v>16.25468230217805</v>
      </c>
      <c r="F9" s="41"/>
      <c r="G9" s="104"/>
      <c r="H9" s="41"/>
      <c r="I9" s="41"/>
      <c r="J9" s="413"/>
      <c r="K9" s="41"/>
      <c r="L9" s="41"/>
      <c r="M9" s="41"/>
      <c r="N9" s="41"/>
      <c r="O9" s="41"/>
    </row>
    <row r="10" spans="1:15">
      <c r="A10" s="41"/>
      <c r="B10" s="678" t="s">
        <v>16704</v>
      </c>
      <c r="C10" s="679"/>
      <c r="D10" s="679"/>
      <c r="E10" s="124">
        <f>Discounting!B30</f>
        <v>2393.5092692022704</v>
      </c>
      <c r="F10" s="41"/>
      <c r="G10" s="104"/>
      <c r="H10" s="41"/>
      <c r="I10" s="41"/>
      <c r="J10" s="413"/>
      <c r="K10" s="41"/>
      <c r="L10" s="41"/>
      <c r="M10" s="41"/>
      <c r="N10" s="41"/>
      <c r="O10" s="41"/>
    </row>
    <row r="11" spans="1:15">
      <c r="A11" s="41"/>
      <c r="B11" s="678" t="s">
        <v>75</v>
      </c>
      <c r="C11" s="679"/>
      <c r="D11" s="679"/>
      <c r="E11" s="124">
        <f>_xlfn.IFNA(Discounting!B29, 0)</f>
        <v>367.24147934574529</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-18.749351383767372</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3035.3800993992686</v>
      </c>
      <c r="F19" s="41"/>
      <c r="G19" s="104"/>
      <c r="H19" s="41"/>
      <c r="I19" s="41"/>
      <c r="J19" s="413"/>
      <c r="K19" s="41"/>
      <c r="L19" s="41"/>
      <c r="M19" s="41"/>
      <c r="N19" s="41"/>
      <c r="O19" s="41"/>
    </row>
    <row r="20" spans="1:15">
      <c r="A20" s="41"/>
      <c r="B20" s="674" t="s">
        <v>16719</v>
      </c>
      <c r="C20" s="675"/>
      <c r="D20" s="675"/>
      <c r="E20" s="124">
        <f>IFERROR((E15+E16)-E5,0)</f>
        <v>-1.2648867654974167</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-2399.7247676202901</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2023-01-16T16:06:37Z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