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Updated_AMATs\"/>
    </mc:Choice>
  </mc:AlternateContent>
  <xr:revisionPtr revIDLastSave="0" documentId="13_ncr:1_{ECE14028-4F5B-4836-9217-F5739C952A1F}" xr6:coauthVersionLast="47" xr6:coauthVersionMax="47" xr10:uidLastSave="{00000000-0000-0000-0000-000000000000}"/>
  <bookViews>
    <workbookView xWindow="1530" yWindow="600" windowWidth="21600" windowHeight="12735" tabRatio="850" firstSheet="1"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l="1"/>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D14" i="14" l="1"/>
  <c r="D15" i="14" s="1"/>
  <c r="D18" i="14" s="1"/>
  <c r="E5" i="25"/>
  <c r="J17" i="24"/>
  <c r="I18" i="24"/>
  <c r="D42" i="24"/>
  <c r="D43" i="24"/>
  <c r="D20" i="27" s="1"/>
  <c r="D29" i="27" s="1"/>
  <c r="D38" i="27" s="1"/>
  <c r="D47" i="27" s="1"/>
  <c r="D56" i="27" s="1"/>
  <c r="D64" i="27" s="1"/>
  <c r="E46" i="24"/>
  <c r="E45" i="24"/>
  <c r="E22" i="27" s="1"/>
  <c r="E31" i="27" s="1"/>
  <c r="E40" i="27" s="1"/>
  <c r="E49" i="27" s="1"/>
  <c r="E58" i="27" s="1"/>
  <c r="E66" i="27" s="1"/>
  <c r="D45" i="24"/>
  <c r="D22" i="27" s="1"/>
  <c r="E44" i="24"/>
  <c r="E21" i="27" s="1"/>
  <c r="E30" i="27" s="1"/>
  <c r="E39" i="27" s="1"/>
  <c r="E48" i="27" s="1"/>
  <c r="E57" i="27" s="1"/>
  <c r="E65" i="27" s="1"/>
  <c r="E43" i="24"/>
  <c r="E20" i="27" s="1"/>
  <c r="D46" i="24"/>
  <c r="D23" i="27" s="1"/>
  <c r="D32" i="27" s="1"/>
  <c r="D41" i="27" s="1"/>
  <c r="D50" i="27" s="1"/>
  <c r="D59" i="27" s="1"/>
  <c r="D67" i="27" s="1"/>
  <c r="E42" i="24"/>
  <c r="E19" i="27" s="1"/>
  <c r="E28" i="27" s="1"/>
  <c r="E37" i="27" s="1"/>
  <c r="E46" i="27" s="1"/>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C44" i="25"/>
  <c r="AN21" i="11"/>
  <c r="F14" i="19"/>
  <c r="BN13" i="19"/>
  <c r="G19" i="27"/>
  <c r="C6" i="24"/>
  <c r="J24" i="11"/>
  <c r="T22" i="11"/>
  <c r="AD15" i="11"/>
  <c r="AD18" i="11" s="1"/>
  <c r="D12" i="25"/>
  <c r="D13" i="25" s="1"/>
  <c r="D11" i="27" s="1"/>
  <c r="J15" i="11"/>
  <c r="J18" i="11" s="1"/>
  <c r="T23" i="11"/>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E80" i="2" a="1"/>
  <c r="E80" i="2" s="1"/>
  <c r="J9" i="11" s="1"/>
  <c r="J26" i="11" s="1"/>
  <c r="D30" i="27"/>
  <c r="D39" i="27" s="1"/>
  <c r="D48" i="27" s="1"/>
  <c r="D57" i="27" s="1"/>
  <c r="D65" i="27" s="1"/>
  <c r="D81" i="2" a="1"/>
  <c r="D81" i="2" s="1"/>
  <c r="E10" i="11" s="1"/>
  <c r="E27" i="11" s="1"/>
  <c r="F77" i="2" a="1"/>
  <c r="F77" i="2" s="1"/>
  <c r="O6" i="11" s="1"/>
  <c r="O23" i="11" s="1"/>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10" i="27" l="1"/>
  <c r="F3" i="27"/>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5" i="19" l="1"/>
  <c r="G20" i="19"/>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<sst xmlns="http://schemas.openxmlformats.org/spreadsheetml/2006/main" count="55865" uniqueCount="16762">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</sst>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82.096594914162154</c:v>
                </c:pt>
                <c:pt idx="1">
                  <c:v>782.09792411295177</c:v>
                </c:pt>
                <c:pt idx="2">
                  <c:v>155.50003869688578</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70" zoomScale="80" zoomScaleNormal="80" workbookViewId="0">
      <selection activeCell="G107" sqref="G107"/>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450</v>
      </c>
      <c r="G33" s="41" t="s">
        <v>16311</v>
      </c>
      <c r="H33" s="311" t="s">
        <v>16758</v>
      </c>
    </row>
    <row r="34" spans="1:69">
      <c r="A34" s="41"/>
      <c r="D34" s="146" t="s">
        <v>16312</v>
      </c>
      <c r="F34" s="383">
        <f>ROUND(F33*1.25,0)</f>
        <v>563</v>
      </c>
      <c r="G34" s="41" t="s">
        <v>16311</v>
      </c>
      <c r="H34" s="311" t="s">
        <v>16759</v>
      </c>
    </row>
    <row r="35" spans="1:69" ht="30.75" thickBot="1">
      <c r="A35" s="41"/>
      <c r="D35" s="146" t="s">
        <v>16313</v>
      </c>
      <c r="F35" s="384">
        <f>0.29/5.14</f>
        <v>5.642023346303502E-2</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19</v>
      </c>
      <c r="G46" s="41" t="s">
        <v>16311</v>
      </c>
      <c r="H46" s="311"/>
    </row>
    <row r="47" spans="1:69">
      <c r="A47" s="41"/>
      <c r="D47" s="146" t="s">
        <v>16312</v>
      </c>
      <c r="F47" s="536">
        <f>ROUND(F46*1.1,0)</f>
        <v>21</v>
      </c>
      <c r="G47" s="41" t="s">
        <v>16311</v>
      </c>
      <c r="H47" s="311"/>
    </row>
    <row r="48" spans="1:69" ht="15.75" thickBot="1">
      <c r="A48" s="41"/>
      <c r="D48" s="146" t="s">
        <v>16320</v>
      </c>
      <c r="F48" s="537">
        <f>0.29/1.1</f>
        <v>0.26363636363636361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54</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54</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5.14</v>
      </c>
      <c r="G83" s="41" t="s">
        <v>16340</v>
      </c>
      <c r="H83" s="311" t="s">
        <v>16341</v>
      </c>
      <c r="I83" s="41" t="str">
        <f>IF(NOT(F83=4.84),"Please provide local evidence","")</f>
        <v>Please provide local evidence</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305</v>
      </c>
      <c r="G110" s="41" t="s">
        <v>16362</v>
      </c>
      <c r="H110" s="311" t="s">
        <v>16363</v>
      </c>
      <c r="I110" s="41" t="str">
        <f>IF(NOT(F110=253),"Please provide local evidence","")</f>
        <v>Please provide local evidence</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3">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305</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450</v>
      </c>
      <c r="E28" s="108" t="s">
        <v>16311</v>
      </c>
    </row>
    <row r="29" spans="2:8">
      <c r="C29" s="108" t="s">
        <v>16409</v>
      </c>
      <c r="D29" s="367">
        <f>'User Interface Intervention'!F34</f>
        <v>563</v>
      </c>
      <c r="E29" s="108" t="s">
        <v>16311</v>
      </c>
    </row>
    <row r="30" spans="2:8">
      <c r="C30" s="108" t="s">
        <v>16410</v>
      </c>
      <c r="D30" s="366">
        <f>DS_km</f>
        <v>5.14</v>
      </c>
      <c r="E30" s="108" t="s">
        <v>16340</v>
      </c>
    </row>
    <row r="31" spans="2:8">
      <c r="C31" s="108" t="s">
        <v>16411</v>
      </c>
      <c r="D31" s="366">
        <f>'User Interface Intervention'!F83</f>
        <v>5.14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5.642023346303502E-2</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No provision</v>
      </c>
      <c r="E42" s="108">
        <f>IFERROR(VLOOKUP('Input Summary'!D42,JQQQ,2, FALSE),0)</f>
        <v>0</v>
      </c>
    </row>
    <row r="43" spans="2:8">
      <c r="C43" s="108" t="s">
        <v>16423</v>
      </c>
      <c r="D43" s="205">
        <f>E41-E42</f>
        <v>7.03</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19</v>
      </c>
      <c r="E50" s="242" t="s">
        <v>16311</v>
      </c>
    </row>
    <row r="51" spans="2:6">
      <c r="C51" s="108" t="s">
        <v>16409</v>
      </c>
      <c r="D51" s="367">
        <f>'User Interface Intervention'!F47</f>
        <v>21</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0.26363636363636361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0</v>
      </c>
      <c r="E63" s="120">
        <f>IF('User Interface Intervention'!F61="Yes",1,0)</f>
        <v>0</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5.14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1.0619834710743801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1.9221900826446279</v>
      </c>
      <c r="E42" s="488">
        <f>E34*$D$20</f>
        <v>1.6460743801652891</v>
      </c>
      <c r="F42" s="489">
        <f>F34*$F$20</f>
        <v>0.68</v>
      </c>
      <c r="G42" s="488">
        <f>G34*$F$20</f>
        <v>0.64</v>
      </c>
      <c r="I42" s="204">
        <f t="shared" si="2"/>
        <v>31</v>
      </c>
      <c r="J42" s="203">
        <f t="shared" ref="J42:J105" si="3">((1/(1+$C$5))^(I42))</f>
        <v>0.67210371334741592</v>
      </c>
    </row>
    <row r="43" spans="2:10">
      <c r="B43" s="670"/>
      <c r="C43" s="41" t="s">
        <v>16583</v>
      </c>
      <c r="D43" s="459">
        <f t="shared" ref="D43:E46" si="4">D35*$D$20</f>
        <v>3.9611983471074375</v>
      </c>
      <c r="E43" s="460">
        <f t="shared" si="4"/>
        <v>2.6443388429752064</v>
      </c>
      <c r="F43" s="361">
        <f t="shared" ref="F43:G46" si="5">F35*$F$20</f>
        <v>0.74</v>
      </c>
      <c r="G43" s="460">
        <f t="shared" si="5"/>
        <v>0.67</v>
      </c>
      <c r="I43" s="204">
        <f t="shared" si="2"/>
        <v>32</v>
      </c>
      <c r="J43" s="203">
        <f t="shared" si="3"/>
        <v>0.66354399580157575</v>
      </c>
    </row>
    <row r="44" spans="2:10">
      <c r="B44" s="235"/>
      <c r="C44" s="182" t="s">
        <v>16584</v>
      </c>
      <c r="D44" s="459">
        <f t="shared" si="4"/>
        <v>4.1629752066115699</v>
      </c>
      <c r="E44" s="460">
        <f t="shared" si="4"/>
        <v>2.4744214876033057</v>
      </c>
      <c r="F44" s="361">
        <f t="shared" si="5"/>
        <v>0.76</v>
      </c>
      <c r="G44" s="460">
        <f t="shared" si="5"/>
        <v>0.73</v>
      </c>
      <c r="I44" s="204">
        <f t="shared" si="2"/>
        <v>33</v>
      </c>
      <c r="J44" s="203">
        <f t="shared" si="3"/>
        <v>0.65509329233051217</v>
      </c>
    </row>
    <row r="45" spans="2:10">
      <c r="C45" s="182" t="s">
        <v>16585</v>
      </c>
      <c r="D45" s="459">
        <f t="shared" si="4"/>
        <v>2.9629338842975206</v>
      </c>
      <c r="E45" s="460">
        <f t="shared" si="4"/>
        <v>1.81599173553719</v>
      </c>
      <c r="F45" s="361">
        <f t="shared" si="5"/>
        <v>0.73</v>
      </c>
      <c r="G45" s="460">
        <f t="shared" si="5"/>
        <v>0.68</v>
      </c>
      <c r="I45" s="204">
        <f t="shared" si="2"/>
        <v>34</v>
      </c>
      <c r="J45" s="203">
        <f t="shared" si="3"/>
        <v>0.64675021456265402</v>
      </c>
    </row>
    <row r="46" spans="2:10">
      <c r="C46" s="160" t="s">
        <v>16586</v>
      </c>
      <c r="D46" s="461">
        <f t="shared" si="4"/>
        <v>2.1664462809917353</v>
      </c>
      <c r="E46" s="522">
        <f t="shared" si="4"/>
        <v>1.115082644628099</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450</v>
      </c>
      <c r="E4" s="120">
        <f>useP</f>
        <v>19</v>
      </c>
      <c r="F4" s="108"/>
    </row>
    <row r="5" spans="1:6">
      <c r="C5" s="120" t="s">
        <v>16598</v>
      </c>
      <c r="D5" s="122">
        <f>use_new</f>
        <v>563</v>
      </c>
      <c r="E5" s="122">
        <f>use_newP</f>
        <v>21</v>
      </c>
      <c r="F5" s="108"/>
    </row>
    <row r="6" spans="1:6">
      <c r="C6" s="120" t="s">
        <v>16410</v>
      </c>
      <c r="D6" s="120">
        <f>DN_km</f>
        <v>5.14</v>
      </c>
      <c r="E6" s="120">
        <f>DN_kmP</f>
        <v>1.1000000000000001</v>
      </c>
      <c r="F6" s="108" t="s">
        <v>16340</v>
      </c>
    </row>
    <row r="7" spans="1:6">
      <c r="C7" s="120" t="s">
        <v>16411</v>
      </c>
      <c r="D7" s="120">
        <f>DS_km</f>
        <v>5.14</v>
      </c>
      <c r="E7" s="120">
        <f>DS_kmP</f>
        <v>1.1000000000000001</v>
      </c>
      <c r="F7" s="108" t="s">
        <v>16340</v>
      </c>
    </row>
    <row r="8" spans="1:6">
      <c r="C8" s="120" t="s">
        <v>16412</v>
      </c>
      <c r="D8" s="321">
        <f>speed</f>
        <v>15</v>
      </c>
      <c r="E8" s="120">
        <f>speedP</f>
        <v>5</v>
      </c>
      <c r="F8" s="108" t="s">
        <v>16343</v>
      </c>
    </row>
    <row r="9" spans="1:6">
      <c r="C9" s="123" t="s">
        <v>16599</v>
      </c>
      <c r="D9" s="123">
        <f>scheme_days</f>
        <v>305</v>
      </c>
      <c r="E9" s="123">
        <f>scheme_days</f>
        <v>305</v>
      </c>
    </row>
    <row r="11" spans="1:6" ht="15.75">
      <c r="A11" s="105" t="s">
        <v>16600</v>
      </c>
    </row>
    <row r="12" spans="1:6" ht="15.75">
      <c r="B12" s="105" t="s">
        <v>16601</v>
      </c>
      <c r="C12" s="123" t="s">
        <v>16602</v>
      </c>
      <c r="D12" s="123">
        <f>use_new-use</f>
        <v>113</v>
      </c>
      <c r="E12" s="123">
        <f>use_newP-useP</f>
        <v>2</v>
      </c>
    </row>
    <row r="13" spans="1:6">
      <c r="C13" s="123" t="s">
        <v>16603</v>
      </c>
      <c r="D13" s="167">
        <f>D12/(1+return)</f>
        <v>59.473684210526315</v>
      </c>
      <c r="E13" s="167">
        <f>E12/(1+return)</f>
        <v>1.0526315789473684</v>
      </c>
    </row>
    <row r="14" spans="1:6">
      <c r="C14" s="123" t="s">
        <v>16604</v>
      </c>
      <c r="D14" s="123">
        <f>use_new-D12</f>
        <v>450</v>
      </c>
      <c r="E14" s="123">
        <f>use_newP-E12</f>
        <v>19</v>
      </c>
    </row>
    <row r="15" spans="1:6">
      <c r="C15" s="123" t="s">
        <v>16605</v>
      </c>
      <c r="D15" s="123">
        <f>D14/(1+return)</f>
        <v>236.84210526315792</v>
      </c>
      <c r="E15" s="123">
        <f>E14/(1+return)</f>
        <v>10</v>
      </c>
    </row>
    <row r="18" spans="2:6" ht="15.75">
      <c r="B18" s="105" t="s">
        <v>16606</v>
      </c>
      <c r="C18" s="123" t="s">
        <v>16607</v>
      </c>
      <c r="D18" s="123">
        <f>7*scheme_days/365</f>
        <v>5.8493150684931505</v>
      </c>
      <c r="E18" s="123">
        <f>7*scheme_days/365</f>
        <v>5.8493150684931505</v>
      </c>
    </row>
    <row r="19" spans="2:6">
      <c r="C19" s="123" t="s">
        <v>16608</v>
      </c>
      <c r="D19" s="124">
        <f>60*(1+return)*DS_km/speed</f>
        <v>39.063999999999993</v>
      </c>
      <c r="E19" s="124">
        <f>60*(1+return)*DS_kmP/speedP</f>
        <v>25.080000000000002</v>
      </c>
    </row>
    <row r="23" spans="2:6" ht="15.75">
      <c r="B23" s="105" t="s">
        <v>16609</v>
      </c>
      <c r="C23" s="123" t="s">
        <v>16610</v>
      </c>
      <c r="D23" s="107">
        <f>D7*D12*scheme_days</f>
        <v>177150.09999999998</v>
      </c>
      <c r="E23" s="107">
        <f>E7*E12*scheme_days</f>
        <v>671</v>
      </c>
      <c r="F23" s="41" t="s">
        <v>16611</v>
      </c>
    </row>
    <row r="24" spans="2:6">
      <c r="C24" s="125" t="s">
        <v>16612</v>
      </c>
      <c r="D24" s="107">
        <f>D23*car_share</f>
        <v>42516.02399999999</v>
      </c>
      <c r="E24" s="107">
        <f>E23*car_shareP</f>
        <v>161.04</v>
      </c>
    </row>
    <row r="25" spans="2:6">
      <c r="C25" s="125" t="s">
        <v>16613</v>
      </c>
      <c r="D25" s="107">
        <f>D24/'Input Summary'!D86</f>
        <v>26572.514999999992</v>
      </c>
      <c r="E25" s="107">
        <f>E24/'Input Summary'!D86</f>
        <v>100.64999999999999</v>
      </c>
    </row>
    <row r="26" spans="2:6" ht="15.75">
      <c r="C26" s="123" t="s">
        <v>16614</v>
      </c>
      <c r="D26" s="167">
        <f>D23*'Input Summary'!D34</f>
        <v>10629.005999999998</v>
      </c>
      <c r="E26" s="167">
        <f>E23*'Input Summary'!D56</f>
        <v>40.26</v>
      </c>
      <c r="F26" s="105"/>
    </row>
    <row r="27" spans="2:6">
      <c r="C27" s="123" t="s">
        <v>16615</v>
      </c>
      <c r="D27" s="167">
        <f>D26/'Input Summary'!D87</f>
        <v>4428.7524999999996</v>
      </c>
      <c r="E27" s="167">
        <f>E26/'Input Summary'!D87</f>
        <v>16.774999999999999</v>
      </c>
    </row>
    <row r="28" spans="2:6" ht="15.75">
      <c r="B28" s="105" t="s">
        <v>16616</v>
      </c>
      <c r="C28" s="125" t="s">
        <v>16617</v>
      </c>
      <c r="D28" s="126"/>
      <c r="E28" s="127">
        <f>SUM(D25:E25,D27:E27)</f>
        <v>31118.692499999994</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0</v>
      </c>
      <c r="F36" s="130">
        <f>'Input Summary'!$E$63</f>
        <v>0</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59.473684210526315</v>
      </c>
      <c r="E4" s="124">
        <f>'General Calculations'!E13</f>
        <v>1.0526315789473684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39.063999999999993</v>
      </c>
      <c r="E14" s="124">
        <f>60*(1+return)*DS_kmP/speedP</f>
        <v>25.080000000000002</v>
      </c>
    </row>
    <row r="15" spans="1:7">
      <c r="C15" s="123" t="s">
        <v>16635</v>
      </c>
      <c r="D15" s="124">
        <f>D14*scheme_days/(30*(5/7)*365)</f>
        <v>1.5233176255707759</v>
      </c>
      <c r="E15" s="124">
        <f>E14*scheme_days/(30*(5/7)*365)</f>
        <v>0.97800547945205474</v>
      </c>
      <c r="G15" s="301"/>
    </row>
    <row r="16" spans="1:7">
      <c r="D16" s="42"/>
      <c r="E16" s="42"/>
    </row>
    <row r="17" spans="2:8" ht="15.75">
      <c r="B17" s="105" t="s">
        <v>16629</v>
      </c>
    </row>
    <row r="18" spans="2:8">
      <c r="C18" s="134" t="s">
        <v>16636</v>
      </c>
      <c r="D18" s="444">
        <f>$D$9*D15*$D$8*$D$7</f>
        <v>0.92358747638356131</v>
      </c>
      <c r="E18" s="444">
        <f>$E$9*E15*$E$8*$E$7</f>
        <v>0.59296472219178065</v>
      </c>
      <c r="H18" s="42"/>
    </row>
    <row r="19" spans="2:8">
      <c r="C19" s="134" t="s">
        <v>16637</v>
      </c>
      <c r="D19" s="446">
        <f>D18*D4</f>
        <v>54.929149911232855</v>
      </c>
      <c r="E19" s="446">
        <f>E18*E4</f>
        <v>0.62417339178082165</v>
      </c>
      <c r="G19" s="301"/>
      <c r="H19" s="42"/>
    </row>
    <row r="20" spans="2:8">
      <c r="C20" s="134" t="s">
        <v>16638</v>
      </c>
      <c r="D20" s="140">
        <f>'TAG VoT'!F21*D10</f>
        <v>144.50209275358495</v>
      </c>
      <c r="E20" s="140">
        <f>'TAG VoT'!$F$21*E10</f>
        <v>144.50209275358495</v>
      </c>
    </row>
    <row r="21" spans="2:8">
      <c r="C21" s="134" t="s">
        <v>16639</v>
      </c>
      <c r="D21" s="141">
        <f>D19*D20</f>
        <v>7937.3771153485422</v>
      </c>
      <c r="E21" s="142">
        <f>E19*E20</f>
        <v>90.194361353432001</v>
      </c>
    </row>
    <row r="22" spans="2:8">
      <c r="C22" s="138"/>
      <c r="D22" s="149"/>
      <c r="E22" s="143"/>
    </row>
    <row r="23" spans="2:8" ht="15.75">
      <c r="C23" s="144" t="s">
        <v>16523</v>
      </c>
      <c r="D23" s="145">
        <f>D21+E21</f>
        <v>8027.5714767019745</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5.14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59.473684210526315</v>
      </c>
      <c r="E7" s="500">
        <f>'General Calculations'!E13</f>
        <v>1.0526315789473684</v>
      </c>
      <c r="F7" s="492"/>
    </row>
    <row r="8" spans="1:6">
      <c r="A8" s="492"/>
      <c r="B8" s="492"/>
      <c r="C8" s="109" t="s">
        <v>16644</v>
      </c>
      <c r="D8" s="499">
        <f>'General Calculations'!D15</f>
        <v>236.84210526315792</v>
      </c>
      <c r="E8" s="500">
        <f>'General Calculations'!E15</f>
        <v>10</v>
      </c>
      <c r="F8" s="492"/>
    </row>
    <row r="9" spans="1:6">
      <c r="A9" s="492"/>
      <c r="B9" s="492"/>
      <c r="C9" s="109" t="s">
        <v>16645</v>
      </c>
      <c r="D9" s="499">
        <f>'General Calculations'!D12</f>
        <v>113</v>
      </c>
      <c r="E9" s="500">
        <f>'General Calculations'!E12</f>
        <v>2</v>
      </c>
      <c r="F9" s="492"/>
    </row>
    <row r="10" spans="1:6">
      <c r="A10" s="492"/>
      <c r="B10" s="492"/>
      <c r="C10" s="151" t="s">
        <v>16646</v>
      </c>
      <c r="D10" s="502">
        <f>'General Calculations'!D14</f>
        <v>450</v>
      </c>
      <c r="E10" s="527">
        <f>'General Calculations'!E14</f>
        <v>19</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5.642023346303502E-2</v>
      </c>
      <c r="E13" s="503">
        <f>'Input Summary'!D58</f>
        <v>0.26363636363636361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8.778839230813875E-3</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8.778839230813875E-3</v>
      </c>
      <c r="F20" s="492"/>
      <c r="G20" s="492"/>
      <c r="H20" s="492"/>
    </row>
    <row r="21" spans="1:8">
      <c r="A21" s="492"/>
      <c r="B21" s="492"/>
      <c r="C21" s="505" t="s">
        <v>16652</v>
      </c>
      <c r="D21" s="499">
        <f>(D20-D19)</f>
        <v>7.0300000000000001E-2</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0.28999999999999998</v>
      </c>
      <c r="E25" s="508">
        <f>E5*E13</f>
        <v>0.28999999999999998</v>
      </c>
      <c r="F25" s="131" t="s">
        <v>16641</v>
      </c>
      <c r="G25" s="131"/>
      <c r="H25" s="131"/>
    </row>
    <row r="26" spans="1:8">
      <c r="A26" s="492"/>
      <c r="B26" s="492"/>
      <c r="C26" s="109" t="s">
        <v>16657</v>
      </c>
      <c r="D26" s="499">
        <f>60*D25/speed</f>
        <v>1.1599999999999999</v>
      </c>
      <c r="E26" s="499">
        <f>60*E25/speedP</f>
        <v>3.4799999999999995</v>
      </c>
      <c r="F26" s="492" t="s">
        <v>16658</v>
      </c>
      <c r="G26" s="131"/>
      <c r="H26" s="131"/>
    </row>
    <row r="27" spans="1:8">
      <c r="A27" s="492"/>
      <c r="B27" s="492"/>
      <c r="C27" s="151" t="s">
        <v>16659</v>
      </c>
      <c r="D27" s="502">
        <f>D26*scheme_days</f>
        <v>353.79999999999995</v>
      </c>
      <c r="E27" s="502">
        <f>E26*scheme_days</f>
        <v>1061.3999999999999</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24.872139999999998</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1405.2759099999998</v>
      </c>
      <c r="E35" s="514">
        <f>E9*E30/2</f>
        <v>0</v>
      </c>
      <c r="F35" s="492"/>
      <c r="G35" s="511"/>
    </row>
    <row r="36" spans="2:7">
      <c r="B36" s="492"/>
      <c r="C36" s="515" t="s">
        <v>16665</v>
      </c>
      <c r="D36" s="516">
        <f>D34+D35</f>
        <v>1405.2759099999998</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11192.463</v>
      </c>
      <c r="E41" s="514">
        <f>E30*E10</f>
        <v>0</v>
      </c>
      <c r="F41" s="492"/>
      <c r="G41" s="492"/>
    </row>
    <row r="42" spans="2:7">
      <c r="B42" s="492"/>
      <c r="C42" s="515" t="s">
        <v>16669</v>
      </c>
      <c r="D42" s="516">
        <f>D40+D41</f>
        <v>11192.463</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1405.2759099999998</v>
      </c>
      <c r="F45" s="492"/>
      <c r="G45" s="492"/>
    </row>
    <row r="46" spans="2:7" ht="15">
      <c r="B46" s="492"/>
      <c r="C46" s="499" t="s">
        <v>16671</v>
      </c>
      <c r="D46" s="492"/>
      <c r="E46" s="239">
        <f>D42+E42</f>
        <v>11192.463</v>
      </c>
      <c r="F46" s="492"/>
      <c r="G46" s="492"/>
    </row>
    <row r="47" spans="2:7" ht="15">
      <c r="B47" s="492"/>
      <c r="C47" s="499" t="s">
        <v>16672</v>
      </c>
      <c r="D47" s="154">
        <f>D36+D42</f>
        <v>12597.73891</v>
      </c>
      <c r="E47" s="239">
        <f>E36+E42</f>
        <v>0</v>
      </c>
      <c r="F47" s="492"/>
      <c r="G47" s="492"/>
    </row>
    <row r="48" spans="2:7" ht="15">
      <c r="B48" s="492"/>
      <c r="C48" s="155" t="s">
        <v>16673</v>
      </c>
      <c r="D48" s="117"/>
      <c r="E48" s="237">
        <f>D47+E47</f>
        <v>12597.73891</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59.473684210526315</v>
      </c>
      <c r="E3" s="94"/>
      <c r="F3" s="167">
        <f>'General Calculations'!E13</f>
        <v>1.0526315789473684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9.5157894736842099</v>
      </c>
      <c r="E9" s="299">
        <f>'General Calculations'!$D$13*'Health Assumptions'!E25</f>
        <v>2.3789473684210525</v>
      </c>
      <c r="F9" s="300">
        <f>'General Calculations'!$E$13*'Health Assumptions'!F25</f>
        <v>0.15789473684210525</v>
      </c>
      <c r="G9" s="167">
        <f>'General Calculations'!$E$13*'Health Assumptions'!G25</f>
        <v>0.15789473684210525</v>
      </c>
    </row>
    <row r="10" spans="1:7">
      <c r="B10" s="179"/>
      <c r="C10" s="125" t="s">
        <v>16583</v>
      </c>
      <c r="D10" s="167">
        <f>'General Calculations'!$D$13*'Health Assumptions'!D26</f>
        <v>23.194736842105264</v>
      </c>
      <c r="E10" s="299">
        <f>'General Calculations'!$D$13*'Health Assumptions'!E26</f>
        <v>9.5157894736842099</v>
      </c>
      <c r="F10" s="300">
        <f>'General Calculations'!$E$13*'Health Assumptions'!F26</f>
        <v>0.17894736842105263</v>
      </c>
      <c r="G10" s="167">
        <f>'General Calculations'!$E$13*'Health Assumptions'!G26</f>
        <v>0.25263157894736837</v>
      </c>
    </row>
    <row r="11" spans="1:7">
      <c r="C11" s="125" t="s">
        <v>16584</v>
      </c>
      <c r="D11" s="167">
        <f>'General Calculations'!$D$13*'Health Assumptions'!D27</f>
        <v>7.7315789473684209</v>
      </c>
      <c r="E11" s="299">
        <f>'General Calculations'!$D$13*'Health Assumptions'!E27</f>
        <v>2.9736842105263159</v>
      </c>
      <c r="F11" s="300">
        <f>'General Calculations'!$E$13*'Health Assumptions'!F27</f>
        <v>7.3684210526315796E-2</v>
      </c>
      <c r="G11" s="167">
        <f>'General Calculations'!$E$13*'Health Assumptions'!G27</f>
        <v>9.4736842105263147E-2</v>
      </c>
    </row>
    <row r="12" spans="1:7">
      <c r="C12" s="125" t="s">
        <v>16585</v>
      </c>
      <c r="D12" s="167">
        <f>'General Calculations'!$D$13*'Health Assumptions'!D28</f>
        <v>2.9736842105263159</v>
      </c>
      <c r="E12" s="299">
        <f>'General Calculations'!$D$13*'Health Assumptions'!E28</f>
        <v>0.59473684210526312</v>
      </c>
      <c r="F12" s="300">
        <f>'General Calculations'!$E$13*'Health Assumptions'!F28</f>
        <v>5.2631578947368418E-2</v>
      </c>
      <c r="G12" s="167">
        <f>'General Calculations'!$E$13*'Health Assumptions'!G28</f>
        <v>5.2631578947368418E-2</v>
      </c>
    </row>
    <row r="13" spans="1:7">
      <c r="C13" s="125" t="s">
        <v>16586</v>
      </c>
      <c r="D13" s="167">
        <f>'General Calculations'!$D$13*'Health Assumptions'!D29</f>
        <v>0.59473684210526312</v>
      </c>
      <c r="E13" s="299">
        <f>'General Calculations'!$D$13*'Health Assumptions'!E29</f>
        <v>0</v>
      </c>
      <c r="F13" s="300">
        <f>'General Calculations'!$E$13*'Health Assumptions'!F29</f>
        <v>1.0526315789473684E-2</v>
      </c>
      <c r="G13" s="167">
        <f>'General Calculations'!$E$13*'Health Assumptions'!G29</f>
        <v>1.0526315789473684E-2</v>
      </c>
    </row>
    <row r="14" spans="1:7">
      <c r="C14" s="125" t="s">
        <v>16523</v>
      </c>
      <c r="D14" s="167">
        <f>SUM(D9:D13)</f>
        <v>44.01052631578947</v>
      </c>
      <c r="E14" s="299">
        <f>SUM(E9:E13)</f>
        <v>15.463157894736842</v>
      </c>
      <c r="F14" s="300">
        <f>SUM(F9:F13)</f>
        <v>0.47368421052631576</v>
      </c>
      <c r="G14" s="167">
        <f>SUM(G9:G13)</f>
        <v>0.56842105263157894</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3.6521611570247927</v>
      </c>
      <c r="E19" s="462">
        <f>((1-return)+(return*2))*'Health Assumptions'!E42</f>
        <v>3.1275413223140491</v>
      </c>
      <c r="F19" s="462">
        <f>((1-return)+(return*2))*'Health Assumptions'!F42</f>
        <v>1.292</v>
      </c>
      <c r="G19" s="462">
        <f>((1-return)+(return*2))*'Health Assumptions'!G42</f>
        <v>1.216</v>
      </c>
    </row>
    <row r="20" spans="2:11">
      <c r="C20" s="125" t="s">
        <v>16583</v>
      </c>
      <c r="D20" s="462">
        <f>((1-return)+(return*2))*'Health Assumptions'!D43</f>
        <v>7.5262768595041312</v>
      </c>
      <c r="E20" s="462">
        <f>((1-return)+(return*2))*'Health Assumptions'!E43</f>
        <v>5.0242438016528919</v>
      </c>
      <c r="F20" s="462">
        <f>((1-return)+(return*2))*'Health Assumptions'!F43</f>
        <v>1.4059999999999999</v>
      </c>
      <c r="G20" s="462">
        <f>((1-return)+(return*2))*'Health Assumptions'!G43</f>
        <v>1.2729999999999999</v>
      </c>
    </row>
    <row r="21" spans="2:11">
      <c r="C21" s="125" t="s">
        <v>16584</v>
      </c>
      <c r="D21" s="462">
        <f>((1-return)+(return*2))*'Health Assumptions'!D44</f>
        <v>7.9096528925619829</v>
      </c>
      <c r="E21" s="462">
        <f>((1-return)+(return*2))*'Health Assumptions'!E44</f>
        <v>4.7014008264462808</v>
      </c>
      <c r="F21" s="462">
        <f>((1-return)+(return*2))*'Health Assumptions'!F44</f>
        <v>1.444</v>
      </c>
      <c r="G21" s="462">
        <f>((1-return)+(return*2))*'Health Assumptions'!G44</f>
        <v>1.387</v>
      </c>
    </row>
    <row r="22" spans="2:11">
      <c r="C22" s="125" t="s">
        <v>16585</v>
      </c>
      <c r="D22" s="462">
        <f>((1-return)+(return*2))*'Health Assumptions'!D45</f>
        <v>5.6295743801652884</v>
      </c>
      <c r="E22" s="462">
        <f>((1-return)+(return*2))*'Health Assumptions'!E45</f>
        <v>3.4503842975206607</v>
      </c>
      <c r="F22" s="462">
        <f>((1-return)+(return*2))*'Health Assumptions'!F45</f>
        <v>1.387</v>
      </c>
      <c r="G22" s="462">
        <f>((1-return)+(return*2))*'Health Assumptions'!G45</f>
        <v>1.292</v>
      </c>
    </row>
    <row r="23" spans="2:11">
      <c r="C23" s="125" t="s">
        <v>16586</v>
      </c>
      <c r="D23" s="462">
        <f>((1-return)+(return*2))*'Health Assumptions'!D46</f>
        <v>4.1162479338842966</v>
      </c>
      <c r="E23" s="462">
        <f>((1-return)+(return*2))*'Health Assumptions'!E46</f>
        <v>2.118657024793388</v>
      </c>
      <c r="F23" s="462">
        <f>((1-return)+(return*2))*'Health Assumptions'!F46</f>
        <v>1.1399999999999999</v>
      </c>
      <c r="G23" s="462">
        <f>((1-return)+(return*2))*'Health Assumptions'!G46</f>
        <v>1.0069999999999999</v>
      </c>
    </row>
    <row r="24" spans="2:11" ht="15" customHeight="1">
      <c r="C24" s="125" t="s">
        <v>16523</v>
      </c>
      <c r="D24" s="462">
        <f>SUM(D19:D23)</f>
        <v>28.833913223140492</v>
      </c>
      <c r="E24" s="463">
        <f>SUM(E19:E23)</f>
        <v>18.422227272727273</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21.362641288350499</v>
      </c>
      <c r="E28" s="123">
        <f>E19*'General Calculations'!$D$18</f>
        <v>18.293974583946561</v>
      </c>
      <c r="F28" s="156">
        <f>F19*'General Calculations'!$E$18</f>
        <v>7.5573150684931507</v>
      </c>
      <c r="G28" s="156">
        <f>G19*'General Calculations'!$E$18</f>
        <v>7.1127671232876706</v>
      </c>
    </row>
    <row r="29" spans="2:11">
      <c r="C29" s="125" t="s">
        <v>16583</v>
      </c>
      <c r="D29" s="123">
        <f>D20*'General Calculations'!$D$18</f>
        <v>44.023564643948824</v>
      </c>
      <c r="E29" s="123">
        <f>E20*'General Calculations'!$D$18</f>
        <v>29.388384976791571</v>
      </c>
      <c r="F29" s="156">
        <f>F20*'General Calculations'!$E$18</f>
        <v>8.2241369863013691</v>
      </c>
      <c r="G29" s="156">
        <f>G20*'General Calculations'!$E$18</f>
        <v>7.4461780821917802</v>
      </c>
    </row>
    <row r="30" spans="2:11">
      <c r="C30" s="125" t="s">
        <v>16584</v>
      </c>
      <c r="D30" s="123">
        <f>D21*'General Calculations'!$D$18</f>
        <v>46.266051851013238</v>
      </c>
      <c r="E30" s="123">
        <f>E21*'General Calculations'!$D$18</f>
        <v>27.499974697158382</v>
      </c>
      <c r="F30" s="156">
        <f>F21*'General Calculations'!$E$18</f>
        <v>8.4464109589041083</v>
      </c>
      <c r="G30" s="156">
        <f>G21*'General Calculations'!$E$18</f>
        <v>8.1129999999999995</v>
      </c>
    </row>
    <row r="31" spans="2:11">
      <c r="C31" s="125" t="s">
        <v>16585</v>
      </c>
      <c r="D31" s="123">
        <f>D22*'General Calculations'!$D$18</f>
        <v>32.92915425110381</v>
      </c>
      <c r="E31" s="123">
        <f>E22*'General Calculations'!$D$18</f>
        <v>20.182384863579756</v>
      </c>
      <c r="F31" s="156">
        <f>F22*'General Calculations'!$E$18</f>
        <v>8.1129999999999995</v>
      </c>
      <c r="G31" s="156">
        <f>G22*'General Calculations'!$E$18</f>
        <v>7.5573150684931507</v>
      </c>
    </row>
    <row r="32" spans="2:11" ht="15" customHeight="1">
      <c r="C32" s="125" t="s">
        <v>16586</v>
      </c>
      <c r="D32" s="123">
        <f>D23*'General Calculations'!$D$18</f>
        <v>24.077231065323215</v>
      </c>
      <c r="E32" s="123">
        <f>E23*'General Calculations'!$D$18</f>
        <v>12.392692460092832</v>
      </c>
      <c r="F32" s="156">
        <f>F23*'General Calculations'!$E$18</f>
        <v>6.6682191780821913</v>
      </c>
      <c r="G32" s="156">
        <f>G23*'General Calculations'!$E$18</f>
        <v>5.8902602739726015</v>
      </c>
    </row>
    <row r="33" spans="2:11">
      <c r="C33" s="125" t="s">
        <v>16523</v>
      </c>
      <c r="D33" s="123">
        <f>SUM(D28:D32)</f>
        <v>168.65864309973958</v>
      </c>
      <c r="E33" s="123">
        <f>SUM(E28:E32)</f>
        <v>107.7574115815691</v>
      </c>
      <c r="F33" s="156">
        <f>F24*'General Calculations'!$E$18</f>
        <v>39.00908219178082</v>
      </c>
      <c r="G33" s="156">
        <f>G24*'General Calculations'!$E$18</f>
        <v>36.1195205479452</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3.4906276614951794</v>
      </c>
      <c r="E37" s="123">
        <f>E28/'Health Assumptions'!E50</f>
        <v>4.1110055244823727</v>
      </c>
      <c r="F37" s="123">
        <f>F28/'Health Assumptions'!F50</f>
        <v>2.9636529680365298</v>
      </c>
      <c r="G37" s="123">
        <f>G28/'Health Assumptions'!G50</f>
        <v>2.8113704044615302</v>
      </c>
    </row>
    <row r="38" spans="2:11">
      <c r="C38" s="125" t="s">
        <v>16583</v>
      </c>
      <c r="D38" s="123">
        <f>D29/'Health Assumptions'!D51</f>
        <v>4.8271452460470208</v>
      </c>
      <c r="E38" s="123">
        <f>E29/'Health Assumptions'!E51</f>
        <v>4.0704134316885829</v>
      </c>
      <c r="F38" s="123">
        <f>F29/'Health Assumptions'!F51</f>
        <v>3.0015098490150982</v>
      </c>
      <c r="G38" s="123">
        <f>G29/'Health Assumptions'!G51</f>
        <v>2.8639146469968386</v>
      </c>
    </row>
    <row r="39" spans="2:11">
      <c r="C39" s="125" t="s">
        <v>16584</v>
      </c>
      <c r="D39" s="123">
        <f>D30/'Health Assumptions'!D52</f>
        <v>5.1925984120104642</v>
      </c>
      <c r="E39" s="123">
        <f>E30/'Health Assumptions'!E52</f>
        <v>3.8896711028512563</v>
      </c>
      <c r="F39" s="123">
        <f>F30/'Health Assumptions'!F52</f>
        <v>3.2238209766809574</v>
      </c>
      <c r="G39" s="123">
        <f>G30/'Health Assumptions'!G52</f>
        <v>3.2582329317269072</v>
      </c>
    </row>
    <row r="40" spans="2:11" ht="15" customHeight="1">
      <c r="C40" s="125" t="s">
        <v>16585</v>
      </c>
      <c r="D40" s="123">
        <f>D31/'Health Assumptions'!D53</f>
        <v>4.4022933490780494</v>
      </c>
      <c r="E40" s="123">
        <f>E31/'Health Assumptions'!E53</f>
        <v>3.3693463879098089</v>
      </c>
      <c r="F40" s="123">
        <f>F31/'Health Assumptions'!F53</f>
        <v>3.2582329317269072</v>
      </c>
      <c r="G40" s="123">
        <f>G31/'Health Assumptions'!G53</f>
        <v>3.2158787525502768</v>
      </c>
    </row>
    <row r="41" spans="2:11">
      <c r="C41" s="125" t="s">
        <v>16586</v>
      </c>
      <c r="D41" s="123">
        <f>D32/'Health Assumptions'!D54</f>
        <v>3.0134206589891384</v>
      </c>
      <c r="E41" s="123">
        <f>E32/'Health Assumptions'!E54</f>
        <v>2.9506410619268646</v>
      </c>
      <c r="F41" s="123">
        <f>F32/'Health Assumptions'!F54</f>
        <v>3.1602934493280528</v>
      </c>
      <c r="G41" s="123">
        <f>G32/'Health Assumptions'!G54</f>
        <v>2.8873824872414713</v>
      </c>
    </row>
    <row r="42" spans="2:11">
      <c r="C42" s="125" t="s">
        <v>16523</v>
      </c>
      <c r="D42" s="123">
        <f>SUM(D37:D41)</f>
        <v>20.926085327619852</v>
      </c>
      <c r="E42" s="123">
        <f>SUM(E37:E41)</f>
        <v>18.391077508858885</v>
      </c>
      <c r="F42" s="156">
        <f>SUM(F37:F41)</f>
        <v>15.607510174787546</v>
      </c>
      <c r="G42" s="123">
        <f>SUM(G37:G41)</f>
        <v>15.036779222977023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23.736268098167219</v>
      </c>
      <c r="E46" s="123">
        <f>'Health Assumptions'!$C$11*'Health Calculations'!E37</f>
        <v>27.954837566480133</v>
      </c>
      <c r="F46" s="156">
        <f>'Health Assumptions'!$D$11*'Health Calculations'!F37</f>
        <v>9.7800547945205469</v>
      </c>
      <c r="G46" s="123">
        <f>'Health Assumptions'!$D$11*'Health Calculations'!G37</f>
        <v>9.2775223347230487</v>
      </c>
    </row>
    <row r="47" spans="2:11">
      <c r="C47" s="125" t="s">
        <v>16583</v>
      </c>
      <c r="D47" s="123">
        <f>'Health Assumptions'!$C$11*'Health Calculations'!D38</f>
        <v>32.824587673119737</v>
      </c>
      <c r="E47" s="123">
        <f>'Health Assumptions'!$C$11*'Health Calculations'!E38</f>
        <v>27.678811335482361</v>
      </c>
      <c r="F47" s="156">
        <f>'Health Assumptions'!$D$11*'Health Calculations'!F38</f>
        <v>9.9049825017498243</v>
      </c>
      <c r="G47" s="123">
        <f>'Health Assumptions'!$D$11*'Health Calculations'!G38</f>
        <v>9.4509183350895665</v>
      </c>
    </row>
    <row r="48" spans="2:11" ht="15" customHeight="1">
      <c r="C48" s="125" t="s">
        <v>16584</v>
      </c>
      <c r="D48" s="123">
        <f>'Health Assumptions'!$C$11*'Health Calculations'!D39</f>
        <v>35.309669201671156</v>
      </c>
      <c r="E48" s="123">
        <f>'Health Assumptions'!$C$11*'Health Calculations'!E39</f>
        <v>26.449763499388542</v>
      </c>
      <c r="F48" s="156">
        <f>'Health Assumptions'!$D$11*'Health Calculations'!F39</f>
        <v>10.638609223047158</v>
      </c>
      <c r="G48" s="123">
        <f>'Health Assumptions'!$D$11*'Health Calculations'!G39</f>
        <v>10.752168674698794</v>
      </c>
    </row>
    <row r="49" spans="2:12">
      <c r="C49" s="125" t="s">
        <v>16585</v>
      </c>
      <c r="D49" s="123">
        <f>'Health Assumptions'!$C$11*'Health Calculations'!D40</f>
        <v>29.935594773730735</v>
      </c>
      <c r="E49" s="123">
        <f>'Health Assumptions'!$C$11*'Health Calculations'!E40</f>
        <v>22.911555437786699</v>
      </c>
      <c r="F49" s="156">
        <f>'Health Assumptions'!$D$11*'Health Calculations'!F40</f>
        <v>10.752168674698794</v>
      </c>
      <c r="G49" s="123">
        <f>'Health Assumptions'!$D$11*'Health Calculations'!G40</f>
        <v>10.612399883415913</v>
      </c>
    </row>
    <row r="50" spans="2:12">
      <c r="C50" s="125" t="s">
        <v>16586</v>
      </c>
      <c r="D50" s="123">
        <f>'Health Assumptions'!$C$11*'Health Calculations'!D41</f>
        <v>20.49126048112614</v>
      </c>
      <c r="E50" s="123">
        <f>'Health Assumptions'!$C$11*'Health Calculations'!E41</f>
        <v>20.064359221102677</v>
      </c>
      <c r="F50" s="156">
        <f>'Health Assumptions'!$D$11*'Health Calculations'!F41</f>
        <v>10.428968382782573</v>
      </c>
      <c r="G50" s="123">
        <f>'Health Assumptions'!$D$11*'Health Calculations'!G41</f>
        <v>9.5283622078968548</v>
      </c>
    </row>
    <row r="51" spans="2:12">
      <c r="C51" s="125" t="s">
        <v>16523</v>
      </c>
      <c r="D51" s="123">
        <f>SUM(D46:D50)</f>
        <v>142.29738022781498</v>
      </c>
      <c r="E51" s="123">
        <f>SUM(E46:E50)</f>
        <v>125.05932706024042</v>
      </c>
      <c r="F51" s="156">
        <f>SUM(F46:F50)</f>
        <v>51.5047835767989</v>
      </c>
      <c r="G51" s="123">
        <f>SUM(G46:G50)</f>
        <v>49.621371435824173</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0.80067580568834507</v>
      </c>
      <c r="E55" s="124">
        <f>IF(EXP(-(-(LN('Health Assumptions'!$C$12))/'Health Assumptions'!$C$8)*E46)&lt; 'Health Assumptions'!$C$13,'Health Assumptions'!$C$13,EXP(-(-(LN('Health Assumptions'!$C$12))/'Health Assumptions'!$C$8)*E46))</f>
        <v>0.76965905074609575</v>
      </c>
      <c r="F55" s="124">
        <f>IF(EXP(-(-(LN('Health Assumptions'!$C$12))/'Health Assumptions'!$C$8)*F46)&lt; 'Health Assumptions'!$C$13,'Health Assumptions'!$C$13,EXP(-(-(LN('Health Assumptions'!$C$12))/'Health Assumptions'!$C$8)*F46))</f>
        <v>0.91247561109482045</v>
      </c>
      <c r="G55" s="124">
        <f>IF(EXP(-(-(LN('Health Assumptions'!$C$12))/'Health Assumptions'!$C$8)*G46)&lt; 'Health Assumptions'!$C$13,'Health Assumptions'!$C$13,EXP(-(-(LN('Health Assumptions'!$C$12))/'Health Assumptions'!$C$8)*G46))</f>
        <v>0.91678021438844859</v>
      </c>
    </row>
    <row r="56" spans="2:12" ht="15" customHeight="1">
      <c r="C56" s="125" t="s">
        <v>16583</v>
      </c>
      <c r="D56" s="124">
        <f>IF(EXP(-(-(LN('Health Assumptions'!$C$12))/'Health Assumptions'!$C$8)*D47)&lt; 'Health Assumptions'!$C$13,'Health Assumptions'!$C$13,EXP(-(-(LN('Health Assumptions'!$C$12))/'Health Assumptions'!$C$8)*D47))</f>
        <v>0.73534558275977013</v>
      </c>
      <c r="E56" s="124">
        <f>IF(EXP(-(-(LN('Health Assumptions'!$C$12))/'Health Assumptions'!$C$8)*E47)&lt; 'Health Assumptions'!$C$13,'Health Assumptions'!$C$13,EXP(-(-(LN('Health Assumptions'!$C$12))/'Health Assumptions'!$C$8)*E47))</f>
        <v>0.77165126281791729</v>
      </c>
      <c r="F56" s="124">
        <f>IF(EXP(-(-(LN('Health Assumptions'!$C$12))/'Health Assumptions'!$C$8)*F47)&lt; 'Health Assumptions'!$C$13,'Health Assumptions'!$C$13,EXP(-(-(LN('Health Assumptions'!$C$12))/'Health Assumptions'!$C$8)*F47))</f>
        <v>0.91140864317106507</v>
      </c>
      <c r="G56" s="124">
        <f>IF(EXP(-(-(LN('Health Assumptions'!$C$12))/'Health Assumptions'!$C$8)*G47)&lt; 'Health Assumptions'!$C$13,'Health Assumptions'!$C$13,EXP(-(-(LN('Health Assumptions'!$C$12))/'Health Assumptions'!$C$8)*G47))</f>
        <v>0.91529264548650935</v>
      </c>
    </row>
    <row r="57" spans="2:12">
      <c r="C57" s="125" t="s">
        <v>16584</v>
      </c>
      <c r="D57" s="124">
        <f>IF(EXP(-(-(LN('Health Assumptions'!$C$12))/'Health Assumptions'!$C$8)*D48)&lt; 'Health Assumptions'!$C$13,'Health Assumptions'!$C$13,EXP(-(-(LN('Health Assumptions'!$C$12))/'Health Assumptions'!$C$8)*D48))</f>
        <v>0.71842896759838115</v>
      </c>
      <c r="E57" s="124">
        <f>IF(EXP(-(-(LN('Health Assumptions'!$C$12))/'Health Assumptions'!$C$8)*E48)&lt; 'Health Assumptions'!$C$13,'Health Assumptions'!$C$13,EXP(-(-(LN('Health Assumptions'!$C$12))/'Health Assumptions'!$C$8)*E48))</f>
        <v>0.78058466925866687</v>
      </c>
      <c r="F57" s="124">
        <f>IF(EXP(-(-(LN('Health Assumptions'!$C$12))/'Health Assumptions'!$C$8)*F48)&lt; 'Health Assumptions'!$C$13,'Health Assumptions'!$C$13,EXP(-(-(LN('Health Assumptions'!$C$12))/'Health Assumptions'!$C$8)*F48))</f>
        <v>0.90516809770413797</v>
      </c>
      <c r="G57" s="124">
        <f>IF(EXP(-(-(LN('Health Assumptions'!$C$12))/'Health Assumptions'!$C$8)*G48)&lt; 'Health Assumptions'!$C$13,'Health Assumptions'!$C$13,EXP(-(-(LN('Health Assumptions'!$C$12))/'Health Assumptions'!$C$8)*G48))</f>
        <v>0.90420593843234287</v>
      </c>
    </row>
    <row r="58" spans="2:12">
      <c r="C58" s="125" t="s">
        <v>16585</v>
      </c>
      <c r="D58" s="124">
        <f>IF(EXP(-(-(LN('Health Assumptions'!$C$12))/'Health Assumptions'!$C$8)*D49)&lt; 'Health Assumptions'!$C$13,'Health Assumptions'!$C$13,EXP(-(-(LN('Health Assumptions'!$C$12))/'Health Assumptions'!$C$8)*D49))</f>
        <v>0.75551307143132285</v>
      </c>
      <c r="E58" s="124">
        <f>IF(EXP(-(-(LN('Health Assumptions'!$C$12))/'Health Assumptions'!$C$8)*E49)&lt; 'Health Assumptions'!$C$13,'Health Assumptions'!$C$13,EXP(-(-(LN('Health Assumptions'!$C$12))/'Health Assumptions'!$C$8)*E49))</f>
        <v>0.80688396712717003</v>
      </c>
      <c r="F58" s="124">
        <f>IF(EXP(-(-(LN('Health Assumptions'!$C$12))/'Health Assumptions'!$C$8)*F49)&lt; 'Health Assumptions'!$C$13,'Health Assumptions'!$C$13,EXP(-(-(LN('Health Assumptions'!$C$12))/'Health Assumptions'!$C$8)*F49))</f>
        <v>0.90420593843234287</v>
      </c>
      <c r="G58" s="124">
        <f>IF(EXP(-(-(LN('Health Assumptions'!$C$12))/'Health Assumptions'!$C$8)*G49)&lt; 'Health Assumptions'!$C$13,'Health Assumptions'!$C$13,EXP(-(-(LN('Health Assumptions'!$C$12))/'Health Assumptions'!$C$8)*G49))</f>
        <v>0.90539030790135999</v>
      </c>
    </row>
    <row r="59" spans="2:12">
      <c r="C59" s="125" t="s">
        <v>16586</v>
      </c>
      <c r="D59" s="124">
        <f>IF(EXP(-(-(LN('Health Assumptions'!$C$12))/'Health Assumptions'!$C$8)*D50)&lt; 'Health Assumptions'!$C$13,'Health Assumptions'!$C$13,EXP(-(-(LN('Health Assumptions'!$C$12))/'Health Assumptions'!$C$8)*D50))</f>
        <v>0.82538245019764234</v>
      </c>
      <c r="E59" s="124">
        <f>IF(EXP(-(-(LN('Health Assumptions'!$C$12))/'Health Assumptions'!$C$8)*E50)&lt; 'Health Assumptions'!$C$13,'Health Assumptions'!$C$13,EXP(-(-(LN('Health Assumptions'!$C$12))/'Health Assumptions'!$C$8)*E50))</f>
        <v>0.82868901087008118</v>
      </c>
      <c r="F59" s="124">
        <f>IF(EXP(-(-(LN('Health Assumptions'!$C$12))/'Health Assumptions'!$C$8)*F50)&lt; 'Health Assumptions'!$C$13,'Health Assumptions'!$C$13,EXP(-(-(LN('Health Assumptions'!$C$12))/'Health Assumptions'!$C$8)*F50))</f>
        <v>0.90694701969989266</v>
      </c>
      <c r="G59" s="124">
        <f>IF(EXP(-(-(LN('Health Assumptions'!$C$12))/'Health Assumptions'!$C$8)*G50)&lt; 'Health Assumptions'!$C$13,'Health Assumptions'!$C$13,EXP(-(-(LN('Health Assumptions'!$C$12))/'Health Assumptions'!$C$8)*G50))</f>
        <v>0.91462903244037763</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0.19932419431165493</v>
      </c>
      <c r="E63" s="124">
        <f t="shared" ref="D63:E67" si="0">(1-E55)/1</f>
        <v>0.23034094925390425</v>
      </c>
      <c r="F63" s="162">
        <f t="shared" ref="F63:G67" si="1">(1-F55)/1</f>
        <v>8.7524388905179551E-2</v>
      </c>
      <c r="G63" s="124">
        <f t="shared" si="1"/>
        <v>8.3219785611551411E-2</v>
      </c>
    </row>
    <row r="64" spans="2:12">
      <c r="C64" s="125" t="s">
        <v>16583</v>
      </c>
      <c r="D64" s="124">
        <f t="shared" si="0"/>
        <v>0.26465441724022987</v>
      </c>
      <c r="E64" s="124">
        <f t="shared" si="0"/>
        <v>0.22834873718208271</v>
      </c>
      <c r="F64" s="162">
        <f t="shared" si="1"/>
        <v>8.8591356828934931E-2</v>
      </c>
      <c r="G64" s="124">
        <f t="shared" si="1"/>
        <v>8.4707354513490651E-2</v>
      </c>
    </row>
    <row r="65" spans="2:12">
      <c r="C65" s="125" t="s">
        <v>16584</v>
      </c>
      <c r="D65" s="124">
        <f t="shared" si="0"/>
        <v>0.28157103240161885</v>
      </c>
      <c r="E65" s="124">
        <f t="shared" si="0"/>
        <v>0.21941533074133313</v>
      </c>
      <c r="F65" s="162">
        <f t="shared" si="1"/>
        <v>9.4831902295862025E-2</v>
      </c>
      <c r="G65" s="124">
        <f t="shared" si="1"/>
        <v>9.5794061567657129E-2</v>
      </c>
    </row>
    <row r="66" spans="2:12">
      <c r="C66" s="125" t="s">
        <v>16585</v>
      </c>
      <c r="D66" s="124">
        <f t="shared" si="0"/>
        <v>0.24448692856867715</v>
      </c>
      <c r="E66" s="124">
        <f t="shared" si="0"/>
        <v>0.19311603287282997</v>
      </c>
      <c r="F66" s="162">
        <f t="shared" si="1"/>
        <v>9.5794061567657129E-2</v>
      </c>
      <c r="G66" s="124">
        <f t="shared" si="1"/>
        <v>9.4609692098640008E-2</v>
      </c>
    </row>
    <row r="67" spans="2:12">
      <c r="C67" s="125" t="s">
        <v>16586</v>
      </c>
      <c r="D67" s="124">
        <f t="shared" si="0"/>
        <v>0.17461754980235766</v>
      </c>
      <c r="E67" s="124">
        <f t="shared" si="0"/>
        <v>0.17131098912991882</v>
      </c>
      <c r="F67" s="162">
        <f t="shared" si="1"/>
        <v>9.3052980300107335E-2</v>
      </c>
      <c r="G67" s="124">
        <f t="shared" si="1"/>
        <v>8.5370967559622368E-2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7.2640569066815697E-3</v>
      </c>
      <c r="E72" s="124">
        <f>E64*'Health Assumptions'!E60*E10</f>
        <v>1.546335865677997E-3</v>
      </c>
      <c r="F72" s="162">
        <f>SUM(D72:E72)</f>
        <v>8.8103927723595672E-3</v>
      </c>
      <c r="G72" s="124">
        <f>F64*'Health Assumptions'!D60*F10</f>
        <v>1.8759761404473197E-5</v>
      </c>
      <c r="H72" s="124">
        <f>G64*'Health Assumptions'!E60*G10</f>
        <v>1.5228921379260786E-5</v>
      </c>
      <c r="I72" s="124">
        <f>SUM(G72:H72)</f>
        <v>3.3988682783733985E-5</v>
      </c>
    </row>
    <row r="73" spans="2:12">
      <c r="C73" s="125" t="s">
        <v>16584</v>
      </c>
      <c r="D73" s="124">
        <f>D65*'Health Assumptions'!D61*D11</f>
        <v>1.3643028953533903E-2</v>
      </c>
      <c r="E73" s="124">
        <f>E65*'Health Assumptions'!E61*E11</f>
        <v>2.7330197352278341E-3</v>
      </c>
      <c r="F73" s="162">
        <f>SUM(D73:E73)</f>
        <v>1.6376048688761736E-2</v>
      </c>
      <c r="G73" s="124">
        <f>F65*'Health Assumptions'!D61*F11</f>
        <v>4.3790865608670936E-5</v>
      </c>
      <c r="H73" s="124">
        <f>G65*'Health Assumptions'!E61*G11</f>
        <v>3.8013551243384229E-5</v>
      </c>
      <c r="I73" s="124">
        <f>SUM(G73:H73)</f>
        <v>8.1804416852055171E-5</v>
      </c>
    </row>
    <row r="74" spans="2:12">
      <c r="C74" s="125" t="s">
        <v>16585</v>
      </c>
      <c r="D74" s="124">
        <f>D66*'Health Assumptions'!D62*D12</f>
        <v>1.7878637392077321E-2</v>
      </c>
      <c r="E74" s="124">
        <f>E66*'Health Assumptions'!E62*E12</f>
        <v>1.91647121874152E-3</v>
      </c>
      <c r="F74" s="162">
        <f>SUM(D74:E74)</f>
        <v>1.9795108610818842E-2</v>
      </c>
      <c r="G74" s="124">
        <f>F66*'Health Assumptions'!D62*F12</f>
        <v>1.2398493283404286E-4</v>
      </c>
      <c r="H74" s="124">
        <f>G66*'Health Assumptions'!E62*G12</f>
        <v>8.308854536725876E-5</v>
      </c>
      <c r="I74" s="124">
        <f>SUM(G74:H74)</f>
        <v>2.0707347820130164E-4</v>
      </c>
    </row>
    <row r="75" spans="2:12">
      <c r="C75" s="125" t="s">
        <v>16586</v>
      </c>
      <c r="D75" s="124">
        <f>D67*'Health Assumptions'!D63*D13</f>
        <v>1.1912456573651841E-2</v>
      </c>
      <c r="E75" s="124">
        <f>E67*'Health Assumptions'!E63*E13</f>
        <v>0</v>
      </c>
      <c r="F75" s="162">
        <f>SUM(D75:E75)</f>
        <v>1.1912456573651841E-2</v>
      </c>
      <c r="G75" s="124">
        <f>F67*'Health Assumptions'!D63*F13</f>
        <v>1.1235574399960525E-4</v>
      </c>
      <c r="H75" s="124">
        <f>G67*'Health Assumptions'!E63*G13</f>
        <v>8.9400721928588732E-5</v>
      </c>
      <c r="I75" s="124">
        <f>SUM(G75:H75)</f>
        <v>2.0175646592819399E-4</v>
      </c>
    </row>
    <row r="76" spans="2:12">
      <c r="C76" s="125" t="s">
        <v>16683</v>
      </c>
      <c r="D76" s="124">
        <f t="shared" ref="D76:I76" si="2">SUM(D71:D75)</f>
        <v>5.0698179825944635E-2</v>
      </c>
      <c r="E76" s="124">
        <f t="shared" si="2"/>
        <v>6.1958268196473506E-3</v>
      </c>
      <c r="F76" s="162">
        <f t="shared" si="2"/>
        <v>5.6894006645591987E-2</v>
      </c>
      <c r="G76" s="124">
        <f t="shared" si="2"/>
        <v>2.9889130384679226E-4</v>
      </c>
      <c r="H76" s="124">
        <f t="shared" si="2"/>
        <v>2.2573173991849254E-4</v>
      </c>
      <c r="I76" s="124">
        <f t="shared" si="2"/>
        <v>5.2462304376528479E-4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0.2530938294132723</v>
      </c>
      <c r="E82" s="124">
        <f>E72*'Health Assumptions'!E93</f>
        <v>5.3019825617183082E-2</v>
      </c>
      <c r="F82" s="162">
        <f>SUM(D82:E82)</f>
        <v>0.3061136550304554</v>
      </c>
      <c r="G82" s="124">
        <f>G72*'Health Assumptions'!D68</f>
        <v>6.5362646710134917E-4</v>
      </c>
      <c r="H82" s="124">
        <f>H72*'Health Assumptions'!E68</f>
        <v>5.2216001309144777E-4</v>
      </c>
      <c r="I82" s="124">
        <f>SUM(G82:H82)</f>
        <v>1.1757864801927968E-3</v>
      </c>
    </row>
    <row r="83" spans="3:11">
      <c r="C83" s="125" t="s">
        <v>16584</v>
      </c>
      <c r="D83" s="124">
        <f>D73*'Health Assumptions'!D94</f>
        <v>0.32370428304645221</v>
      </c>
      <c r="E83" s="124">
        <f>E73*'Health Assumptions'!E94</f>
        <v>6.4845585020515017E-2</v>
      </c>
      <c r="F83" s="162">
        <f>SUM(D83:E83)</f>
        <v>0.38854986806696723</v>
      </c>
      <c r="G83" s="124">
        <f>G73*'Health Assumptions'!D69</f>
        <v>1.0390134627814151E-3</v>
      </c>
      <c r="H83" s="124">
        <f>H73*'Health Assumptions'!E69</f>
        <v>9.0193676149180255E-4</v>
      </c>
      <c r="I83" s="124">
        <f>SUM(G83:H83)</f>
        <v>1.9409502242732175E-3</v>
      </c>
    </row>
    <row r="84" spans="3:11">
      <c r="C84" s="125" t="s">
        <v>16585</v>
      </c>
      <c r="D84" s="124">
        <f>D74*'Health Assumptions'!D95</f>
        <v>0.2705263831502796</v>
      </c>
      <c r="E84" s="124">
        <f>E74*'Health Assumptions'!E95</f>
        <v>2.7488393239726652E-2</v>
      </c>
      <c r="F84" s="162">
        <f>SUM(D84:E84)</f>
        <v>0.29801477639000623</v>
      </c>
      <c r="G84" s="124">
        <f>G74*'Health Assumptions'!D70</f>
        <v>1.8760487563547373E-3</v>
      </c>
      <c r="H84" s="124">
        <f>H74*'Health Assumptions'!E70</f>
        <v>1.191758366333245E-3</v>
      </c>
      <c r="I84" s="124">
        <f>SUM(G84:H84)</f>
        <v>3.0678071226879823E-3</v>
      </c>
    </row>
    <row r="85" spans="3:11">
      <c r="C85" s="125" t="s">
        <v>16586</v>
      </c>
      <c r="D85" s="124">
        <f>D75*'Health Assumptions'!D96</f>
        <v>6.8885507121200881E-2</v>
      </c>
      <c r="E85" s="124">
        <f>E75*'Health Assumptions'!E96</f>
        <v>0</v>
      </c>
      <c r="F85" s="162">
        <f>SUM(D85:E85)</f>
        <v>6.8885507121200881E-2</v>
      </c>
      <c r="G85" s="124">
        <f>G75*'Health Assumptions'!D71</f>
        <v>6.4971337822220334E-4</v>
      </c>
      <c r="H85" s="124">
        <f>H75*'Health Assumptions'!E71</f>
        <v>5.1697263523911401E-4</v>
      </c>
      <c r="I85" s="124">
        <f>SUM(G85:H85)</f>
        <v>1.1666860134613172E-3</v>
      </c>
    </row>
    <row r="86" spans="3:11">
      <c r="C86" s="125" t="s">
        <v>16683</v>
      </c>
      <c r="D86" s="124">
        <f t="shared" ref="D86:I86" si="3">SUM(D81:D85)</f>
        <v>0.91621000273120501</v>
      </c>
      <c r="E86" s="124">
        <f t="shared" si="3"/>
        <v>0.14535380387742475</v>
      </c>
      <c r="F86" s="162">
        <f t="shared" si="3"/>
        <v>1.0615638066086297</v>
      </c>
      <c r="G86" s="124">
        <f t="shared" si="3"/>
        <v>4.2184020644597045E-3</v>
      </c>
      <c r="H86" s="124">
        <f t="shared" si="3"/>
        <v>3.1328277761556093E-3</v>
      </c>
      <c r="I86" s="124">
        <f t="shared" si="3"/>
        <v>7.3512298406153143E-3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31.118692499999995</v>
      </c>
      <c r="H18" s="94">
        <f>IF(H4&lt;opening,0,'General Calculations'!$E$28/1000)</f>
        <v>31.118692499999995</v>
      </c>
      <c r="I18" s="94">
        <f>IF(I4&lt;opening,0,'General Calculations'!$E$28/1000)</f>
        <v>31.118692499999995</v>
      </c>
      <c r="J18" s="94">
        <f>IF(J4&lt;opening,0,'General Calculations'!$E$28/1000)</f>
        <v>31.118692499999995</v>
      </c>
      <c r="K18" s="94">
        <f>IF(K4&lt;opening,0,'General Calculations'!$E$28/1000)</f>
        <v>31.118692499999995</v>
      </c>
      <c r="L18" s="94">
        <f>IF(L4&lt;opening,0,'General Calculations'!$E$28/1000)</f>
        <v>31.118692499999995</v>
      </c>
      <c r="M18" s="94">
        <f>IF(M4&lt;opening,0,'General Calculations'!$E$28/1000)</f>
        <v>31.118692499999995</v>
      </c>
      <c r="N18" s="94">
        <f>IF(N4&lt;opening,0,'General Calculations'!$E$28/1000)</f>
        <v>31.118692499999995</v>
      </c>
      <c r="O18" s="94">
        <f>IF(O4&lt;opening,0,'General Calculations'!$E$28/1000)</f>
        <v>31.118692499999995</v>
      </c>
      <c r="P18" s="94">
        <f>IF(P4&lt;opening,0,'General Calculations'!$E$28/1000)</f>
        <v>31.118692499999995</v>
      </c>
      <c r="Q18" s="94">
        <f>IF(Q4&lt;opening,0,'General Calculations'!$E$28/1000)</f>
        <v>31.118692499999995</v>
      </c>
      <c r="R18" s="94">
        <f>IF(R4&lt;opening,0,'General Calculations'!$E$28/1000)</f>
        <v>31.118692499999995</v>
      </c>
      <c r="S18" s="94">
        <f>IF(S4&lt;opening,0,'General Calculations'!$E$28/1000)</f>
        <v>31.118692499999995</v>
      </c>
      <c r="T18" s="94">
        <f>IF(T4&lt;opening,0,'General Calculations'!$E$28/1000)</f>
        <v>31.118692499999995</v>
      </c>
      <c r="U18" s="94">
        <f>IF(U4&lt;opening,0,'General Calculations'!$E$28/1000)</f>
        <v>31.118692499999995</v>
      </c>
      <c r="V18" s="94">
        <f>IF(V4&lt;opening,0,'General Calculations'!$E$28/1000)</f>
        <v>31.118692499999995</v>
      </c>
      <c r="W18" s="94">
        <f>IF(W4&lt;opening,0,'General Calculations'!$E$28/1000)</f>
        <v>31.118692499999995</v>
      </c>
      <c r="X18" s="94">
        <f>IF(X4&lt;opening,0,'General Calculations'!$E$28/1000)</f>
        <v>31.118692499999995</v>
      </c>
      <c r="Y18" s="94">
        <f>IF(Y4&lt;opening,0,'General Calculations'!$E$28/1000)</f>
        <v>31.118692499999995</v>
      </c>
      <c r="Z18" s="94">
        <f>IF(Z4&lt;opening,0,'General Calculations'!$E$28/1000)</f>
        <v>31.118692499999995</v>
      </c>
      <c r="AA18" s="94">
        <f>IF(AA4&lt;opening,0,'General Calculations'!$E$28/1000)</f>
        <v>31.118692499999995</v>
      </c>
      <c r="AB18" s="94">
        <f>IF(AB4&lt;opening,0,'General Calculations'!$E$28/1000)</f>
        <v>31.118692499999995</v>
      </c>
      <c r="AC18" s="94">
        <f>IF(AC4&lt;opening,0,'General Calculations'!$E$28/1000)</f>
        <v>31.118692499999995</v>
      </c>
      <c r="AD18" s="94">
        <f>IF(AD4&lt;opening,0,'General Calculations'!$E$28/1000)</f>
        <v>31.118692499999995</v>
      </c>
      <c r="AE18" s="94">
        <f>IF(AE4&lt;opening,0,'General Calculations'!$E$28/1000)</f>
        <v>31.118692499999995</v>
      </c>
      <c r="AF18" s="94">
        <f>IF(AF4&lt;opening,0,'General Calculations'!$E$28/1000)</f>
        <v>31.118692499999995</v>
      </c>
      <c r="AG18" s="94">
        <f>IF(AG4&lt;opening,0,'General Calculations'!$E$28/1000)</f>
        <v>31.118692499999995</v>
      </c>
      <c r="AH18" s="94">
        <f>IF(AH4&lt;opening,0,'General Calculations'!$E$28/1000)</f>
        <v>31.118692499999995</v>
      </c>
      <c r="AI18" s="94">
        <f>IF(AI4&lt;opening,0,'General Calculations'!$E$28/1000)</f>
        <v>31.118692499999995</v>
      </c>
      <c r="AJ18" s="94">
        <f>IF(AJ4&lt;opening,0,'General Calculations'!$E$28/1000)</f>
        <v>31.118692499999995</v>
      </c>
      <c r="AK18" s="94">
        <f>IF(AK4&lt;opening,0,'General Calculations'!$E$28/1000)</f>
        <v>31.118692499999995</v>
      </c>
      <c r="AL18" s="94">
        <f>IF(AL4&lt;opening,0,'General Calculations'!$E$28/1000)</f>
        <v>31.118692499999995</v>
      </c>
      <c r="AM18" s="94">
        <f>IF(AM4&lt;opening,0,'General Calculations'!$E$28/1000)</f>
        <v>31.118692499999995</v>
      </c>
      <c r="AN18" s="94">
        <f>IF(AN4&lt;opening,0,'General Calculations'!$E$28/1000)</f>
        <v>31.118692499999995</v>
      </c>
      <c r="AO18" s="94">
        <f>IF(AO4&lt;opening,0,'General Calculations'!$E$28/1000)</f>
        <v>31.118692499999995</v>
      </c>
      <c r="AP18" s="94">
        <f>IF(AP4&lt;opening,0,'General Calculations'!$E$28/1000)</f>
        <v>31.118692499999995</v>
      </c>
      <c r="AQ18" s="94">
        <f>IF(AQ4&lt;opening,0,'General Calculations'!$E$28/1000)</f>
        <v>31.118692499999995</v>
      </c>
      <c r="AR18" s="94">
        <f>IF(AR4&lt;opening,0,'General Calculations'!$E$28/1000)</f>
        <v>31.118692499999995</v>
      </c>
      <c r="AS18" s="94">
        <f>IF(AS4&lt;opening,0,'General Calculations'!$E$28/1000)</f>
        <v>31.118692499999995</v>
      </c>
      <c r="AT18" s="94">
        <f>IF(AT4&lt;opening,0,'General Calculations'!$E$28/1000)</f>
        <v>31.118692499999995</v>
      </c>
      <c r="AU18" s="94">
        <f>IF(AU4&lt;opening,0,'General Calculations'!$E$28/1000)</f>
        <v>31.118692499999995</v>
      </c>
      <c r="AV18" s="94">
        <f>IF(AV4&lt;opening,0,'General Calculations'!$E$28/1000)</f>
        <v>31.118692499999995</v>
      </c>
      <c r="AW18" s="94">
        <f>IF(AW4&lt;opening,0,'General Calculations'!$E$28/1000)</f>
        <v>31.118692499999995</v>
      </c>
      <c r="AX18" s="94">
        <f>IF(AX4&lt;opening,0,'General Calculations'!$E$28/1000)</f>
        <v>31.118692499999995</v>
      </c>
      <c r="AY18" s="94">
        <f>IF(AY4&lt;opening,0,'General Calculations'!$E$28/1000)</f>
        <v>31.118692499999995</v>
      </c>
      <c r="AZ18" s="94">
        <f>IF(AZ4&lt;opening,0,'General Calculations'!$E$28/1000)</f>
        <v>31.118692499999995</v>
      </c>
      <c r="BA18" s="94">
        <f>IF(BA4&lt;opening,0,'General Calculations'!$E$28/1000)</f>
        <v>31.118692499999995</v>
      </c>
      <c r="BB18" s="94">
        <f>IF(BB4&lt;opening,0,'General Calculations'!$E$28/1000)</f>
        <v>31.118692499999995</v>
      </c>
      <c r="BC18" s="94">
        <f>IF(BC4&lt;opening,0,'General Calculations'!$E$28/1000)</f>
        <v>31.118692499999995</v>
      </c>
      <c r="BD18" s="94">
        <f>IF(BD4&lt;opening,0,'General Calculations'!$E$28/1000)</f>
        <v>31.118692499999995</v>
      </c>
      <c r="BE18" s="94">
        <f>IF(BE4&lt;opening,0,'General Calculations'!$E$28/1000)</f>
        <v>31.118692499999995</v>
      </c>
      <c r="BF18" s="94">
        <f>IF(BF4&lt;opening,0,'General Calculations'!$E$28/1000)</f>
        <v>31.118692499999995</v>
      </c>
      <c r="BG18" s="94">
        <f>IF(BG4&lt;opening,0,'General Calculations'!$E$28/1000)</f>
        <v>31.118692499999995</v>
      </c>
      <c r="BH18" s="94">
        <f>IF(BH4&lt;opening,0,'General Calculations'!$E$28/1000)</f>
        <v>31.118692499999995</v>
      </c>
      <c r="BI18" s="94">
        <f>IF(BI4&lt;opening,0,'General Calculations'!$E$28/1000)</f>
        <v>31.118692499999995</v>
      </c>
      <c r="BJ18" s="94">
        <f>IF(BJ4&lt;opening,0,'General Calculations'!$E$28/1000)</f>
        <v>31.118692499999995</v>
      </c>
      <c r="BK18" s="94">
        <f>IF(BK4&lt;opening,0,'General Calculations'!$E$28/1000)</f>
        <v>31.118692499999995</v>
      </c>
      <c r="BL18" s="94">
        <f>IF(BL4&lt;opening,0,'General Calculations'!$E$28/1000)</f>
        <v>31.118692499999995</v>
      </c>
      <c r="BM18" s="94">
        <f>IF(BM4&lt;opening,0,'General Calculations'!$E$28/1000)</f>
        <v>31.118692499999995</v>
      </c>
      <c r="BN18" s="376">
        <f>IF(BN4&lt;opening,0,'General Calculations'!$E$28/1000)</f>
        <v>31.118692499999995</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68.596602060545422</v>
      </c>
      <c r="C19" s="42">
        <f>IFERROR(C$18*HLOOKUP(C$4,mecc2,2)/100*C$7*C$9*C$11*C$12,0)</f>
        <v>0</v>
      </c>
      <c r="D19" s="42">
        <f t="shared" ref="D19:AH19" si="19">IFERROR(D$18*HLOOKUP(D$4,mecc2,2)/100*D$7*D$9*D$11*D$12,0)</f>
        <v>0</v>
      </c>
      <c r="E19" s="42">
        <f t="shared" si="19"/>
        <v>0</v>
      </c>
      <c r="F19" s="42">
        <f t="shared" si="19"/>
        <v>0</v>
      </c>
      <c r="G19" s="42">
        <f t="shared" si="19"/>
        <v>3.4768724952122043</v>
      </c>
      <c r="H19" s="42">
        <f t="shared" si="19"/>
        <v>3.4661453386295844</v>
      </c>
      <c r="I19" s="42">
        <f t="shared" si="19"/>
        <v>3.4554512784255365</v>
      </c>
      <c r="J19" s="42">
        <f t="shared" si="19"/>
        <v>3.4447902124881664</v>
      </c>
      <c r="K19" s="42">
        <f t="shared" si="19"/>
        <v>3.4341620390206247</v>
      </c>
      <c r="L19" s="42">
        <f t="shared" si="19"/>
        <v>3.4774488609159899</v>
      </c>
      <c r="M19" s="42">
        <f t="shared" si="19"/>
        <v>3.5212813032359356</v>
      </c>
      <c r="N19" s="42">
        <f t="shared" si="19"/>
        <v>3.5656662434002979</v>
      </c>
      <c r="O19" s="42">
        <f t="shared" si="19"/>
        <v>3.6106106455172116</v>
      </c>
      <c r="P19" s="42">
        <f t="shared" si="19"/>
        <v>3.6561215614757931</v>
      </c>
      <c r="Q19" s="42">
        <f t="shared" si="19"/>
        <v>3.5848983358248065</v>
      </c>
      <c r="R19" s="42">
        <f t="shared" si="19"/>
        <v>3.5150625771348709</v>
      </c>
      <c r="S19" s="42">
        <f t="shared" si="19"/>
        <v>3.4465872567990901</v>
      </c>
      <c r="T19" s="42">
        <f t="shared" si="19"/>
        <v>3.3794458727424468</v>
      </c>
      <c r="U19" s="42">
        <f t="shared" si="19"/>
        <v>3.3136124391646877</v>
      </c>
      <c r="V19" s="42">
        <f t="shared" si="19"/>
        <v>3.2921196930800973</v>
      </c>
      <c r="W19" s="42">
        <f t="shared" si="19"/>
        <v>3.2707663532002869</v>
      </c>
      <c r="X19" s="42">
        <f t="shared" si="19"/>
        <v>3.249551515309022</v>
      </c>
      <c r="Y19" s="42">
        <f t="shared" si="19"/>
        <v>3.2284742810549942</v>
      </c>
      <c r="Z19" s="42">
        <f t="shared" si="19"/>
        <v>3.2075337579137781</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0.37638660849298428</v>
      </c>
      <c r="C20" s="42">
        <f t="shared" ref="C20:AH20" si="22">IFERROR(C$18*HLOOKUP(C$4,mecc2,3)/100*C$7*C$9*C$11*C$12,0)</f>
        <v>0</v>
      </c>
      <c r="D20" s="42">
        <f t="shared" si="22"/>
        <v>0</v>
      </c>
      <c r="E20" s="42">
        <f t="shared" si="22"/>
        <v>0</v>
      </c>
      <c r="F20" s="42">
        <f t="shared" si="22"/>
        <v>0</v>
      </c>
      <c r="G20" s="42">
        <f t="shared" si="22"/>
        <v>2.0801521796798436E-2</v>
      </c>
      <c r="H20" s="42">
        <f t="shared" si="22"/>
        <v>2.0538871449688568E-2</v>
      </c>
      <c r="I20" s="42">
        <f t="shared" si="22"/>
        <v>2.0279537456329683E-2</v>
      </c>
      <c r="J20" s="42">
        <f t="shared" si="22"/>
        <v>2.0023477942791964E-2</v>
      </c>
      <c r="K20" s="42">
        <f t="shared" si="22"/>
        <v>1.977065156386661E-2</v>
      </c>
      <c r="L20" s="42">
        <f t="shared" si="22"/>
        <v>1.9802365971992197E-2</v>
      </c>
      <c r="M20" s="42">
        <f t="shared" si="22"/>
        <v>1.9834131253690643E-2</v>
      </c>
      <c r="N20" s="42">
        <f t="shared" si="22"/>
        <v>1.9865947490569028E-2</v>
      </c>
      <c r="O20" s="42">
        <f t="shared" si="22"/>
        <v>1.9897814764365338E-2</v>
      </c>
      <c r="P20" s="42">
        <f t="shared" si="22"/>
        <v>1.9929733156948706E-2</v>
      </c>
      <c r="Q20" s="42">
        <f t="shared" si="22"/>
        <v>1.940019918417954E-2</v>
      </c>
      <c r="R20" s="42">
        <f t="shared" si="22"/>
        <v>1.8884734954648201E-2</v>
      </c>
      <c r="S20" s="42">
        <f t="shared" si="22"/>
        <v>1.8382966634597171E-2</v>
      </c>
      <c r="T20" s="42">
        <f t="shared" si="22"/>
        <v>1.7894530323049895E-2</v>
      </c>
      <c r="U20" s="42">
        <f t="shared" si="22"/>
        <v>1.7419071787896409E-2</v>
      </c>
      <c r="V20" s="42">
        <f t="shared" si="22"/>
        <v>1.7186001517501673E-2</v>
      </c>
      <c r="W20" s="42">
        <f t="shared" si="22"/>
        <v>1.6956049768667856E-2</v>
      </c>
      <c r="X20" s="42">
        <f t="shared" si="22"/>
        <v>1.6729174815023312E-2</v>
      </c>
      <c r="Y20" s="42">
        <f t="shared" si="22"/>
        <v>1.650533548850262E-2</v>
      </c>
      <c r="Z20" s="42">
        <f t="shared" si="22"/>
        <v>1.6284491171876397E-2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11.564806573367754</v>
      </c>
      <c r="C21" s="42">
        <f t="shared" ref="C21:AH21" si="24">IFERROR(C$18*HLOOKUP(C$4,mecc2,4)/100*C$7*C$9*C$11*C$12,0)</f>
        <v>0</v>
      </c>
      <c r="D21" s="42">
        <f t="shared" si="24"/>
        <v>0</v>
      </c>
      <c r="E21" s="42">
        <f t="shared" si="24"/>
        <v>0</v>
      </c>
      <c r="F21" s="42">
        <f t="shared" si="24"/>
        <v>0</v>
      </c>
      <c r="G21" s="42">
        <f t="shared" si="24"/>
        <v>0.63036671573597292</v>
      </c>
      <c r="H21" s="42">
        <f t="shared" si="24"/>
        <v>0.62397567500236872</v>
      </c>
      <c r="I21" s="42">
        <f t="shared" si="24"/>
        <v>0.61764943052249932</v>
      </c>
      <c r="J21" s="42">
        <f t="shared" si="24"/>
        <v>0.61138732535257789</v>
      </c>
      <c r="K21" s="42">
        <f t="shared" si="24"/>
        <v>0.60518870920931356</v>
      </c>
      <c r="L21" s="42">
        <f t="shared" si="24"/>
        <v>0.60706824292826322</v>
      </c>
      <c r="M21" s="42">
        <f t="shared" si="24"/>
        <v>0.60895361391242808</v>
      </c>
      <c r="N21" s="42">
        <f t="shared" si="24"/>
        <v>0.61084484029059383</v>
      </c>
      <c r="O21" s="42">
        <f t="shared" si="24"/>
        <v>0.61274194024784934</v>
      </c>
      <c r="P21" s="42">
        <f t="shared" si="24"/>
        <v>0.61464493202576176</v>
      </c>
      <c r="Q21" s="42">
        <f t="shared" si="24"/>
        <v>0.59831378648884548</v>
      </c>
      <c r="R21" s="42">
        <f t="shared" si="24"/>
        <v>0.58241656027778932</v>
      </c>
      <c r="S21" s="42">
        <f t="shared" si="24"/>
        <v>0.56694172413514288</v>
      </c>
      <c r="T21" s="42">
        <f t="shared" si="24"/>
        <v>0.55187805513638288</v>
      </c>
      <c r="U21" s="42">
        <f t="shared" si="24"/>
        <v>0.53721462855063384</v>
      </c>
      <c r="V21" s="42">
        <f t="shared" si="24"/>
        <v>0.53037614701611824</v>
      </c>
      <c r="W21" s="42">
        <f t="shared" si="24"/>
        <v>0.52362471603311866</v>
      </c>
      <c r="X21" s="42">
        <f t="shared" si="24"/>
        <v>0.5169592274903565</v>
      </c>
      <c r="Y21" s="42">
        <f t="shared" si="24"/>
        <v>0.5103785873822716</v>
      </c>
      <c r="Z21" s="42">
        <f t="shared" si="24"/>
        <v>0.50388171562946393</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1.5301399123189079</v>
      </c>
      <c r="C22" s="42">
        <f t="shared" ref="C22:AH22" si="26">IFERROR(C$18*HLOOKUP(C$4,mecc2,5)/100*C$7*C$9*C$11*C$12,0)</f>
        <v>0</v>
      </c>
      <c r="D22" s="42">
        <f t="shared" si="26"/>
        <v>0</v>
      </c>
      <c r="E22" s="42">
        <f t="shared" si="26"/>
        <v>0</v>
      </c>
      <c r="F22" s="42">
        <f t="shared" si="26"/>
        <v>0</v>
      </c>
      <c r="G22" s="42">
        <f t="shared" si="26"/>
        <v>0.10281797337662053</v>
      </c>
      <c r="H22" s="42">
        <f t="shared" si="26"/>
        <v>9.5539665317491501E-2</v>
      </c>
      <c r="I22" s="42">
        <f t="shared" si="26"/>
        <v>8.8776576207578103E-2</v>
      </c>
      <c r="J22" s="42">
        <f t="shared" si="26"/>
        <v>8.2492234580782101E-2</v>
      </c>
      <c r="K22" s="42">
        <f t="shared" si="26"/>
        <v>7.665275072356191E-2</v>
      </c>
      <c r="L22" s="42">
        <f t="shared" si="26"/>
        <v>7.7136020479366532E-2</v>
      </c>
      <c r="M22" s="42">
        <f t="shared" si="26"/>
        <v>7.7622337088084747E-2</v>
      </c>
      <c r="N22" s="42">
        <f t="shared" si="26"/>
        <v>7.8111719759097129E-2</v>
      </c>
      <c r="O22" s="42">
        <f t="shared" si="26"/>
        <v>7.8604187822892954E-2</v>
      </c>
      <c r="P22" s="42">
        <f t="shared" si="26"/>
        <v>7.9099760731833724E-2</v>
      </c>
      <c r="Q22" s="42">
        <f t="shared" si="26"/>
        <v>7.6998715471907231E-2</v>
      </c>
      <c r="R22" s="42">
        <f t="shared" si="26"/>
        <v>7.4953478107521954E-2</v>
      </c>
      <c r="S22" s="42">
        <f t="shared" si="26"/>
        <v>7.296256627118014E-2</v>
      </c>
      <c r="T22" s="42">
        <f t="shared" si="26"/>
        <v>7.1024536969980942E-2</v>
      </c>
      <c r="U22" s="42">
        <f t="shared" si="26"/>
        <v>6.9137985539754018E-2</v>
      </c>
      <c r="V22" s="42">
        <f t="shared" si="26"/>
        <v>6.7945547919122801E-2</v>
      </c>
      <c r="W22" s="42">
        <f t="shared" si="26"/>
        <v>6.6773676525117856E-2</v>
      </c>
      <c r="X22" s="42">
        <f t="shared" si="26"/>
        <v>6.5622016647630871E-2</v>
      </c>
      <c r="Y22" s="42">
        <f t="shared" si="26"/>
        <v>6.449021969431451E-2</v>
      </c>
      <c r="Z22" s="42">
        <f t="shared" si="26"/>
        <v>6.3377943085068264E-2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0.77098710489118349</v>
      </c>
      <c r="C23" s="42">
        <f t="shared" ref="C23:AH23" si="28">IFERROR(C$18*HLOOKUP(C$4,mecc2,6)/100*C$7*C$9*C$11*C$12,0)</f>
        <v>0</v>
      </c>
      <c r="D23" s="42">
        <f t="shared" si="28"/>
        <v>0</v>
      </c>
      <c r="E23" s="42">
        <f t="shared" si="28"/>
        <v>0</v>
      </c>
      <c r="F23" s="42">
        <f t="shared" si="28"/>
        <v>0</v>
      </c>
      <c r="G23" s="42">
        <f t="shared" si="28"/>
        <v>4.2024447715731522E-2</v>
      </c>
      <c r="H23" s="42">
        <f t="shared" si="28"/>
        <v>4.1598378333491254E-2</v>
      </c>
      <c r="I23" s="42">
        <f t="shared" si="28"/>
        <v>4.1176628701499948E-2</v>
      </c>
      <c r="J23" s="42">
        <f t="shared" si="28"/>
        <v>4.0759155023505189E-2</v>
      </c>
      <c r="K23" s="42">
        <f t="shared" si="28"/>
        <v>4.0345913947287565E-2</v>
      </c>
      <c r="L23" s="42">
        <f t="shared" si="28"/>
        <v>4.0471216195217541E-2</v>
      </c>
      <c r="M23" s="42">
        <f t="shared" si="28"/>
        <v>4.0596907594161874E-2</v>
      </c>
      <c r="N23" s="42">
        <f t="shared" si="28"/>
        <v>4.0722989352706254E-2</v>
      </c>
      <c r="O23" s="42">
        <f t="shared" si="28"/>
        <v>4.0849462683189966E-2</v>
      </c>
      <c r="P23" s="42">
        <f t="shared" si="28"/>
        <v>4.0976328801717449E-2</v>
      </c>
      <c r="Q23" s="42">
        <f t="shared" si="28"/>
        <v>3.988758576592303E-2</v>
      </c>
      <c r="R23" s="42">
        <f t="shared" si="28"/>
        <v>3.8827770685185947E-2</v>
      </c>
      <c r="S23" s="42">
        <f t="shared" si="28"/>
        <v>3.7796114942342855E-2</v>
      </c>
      <c r="T23" s="42">
        <f t="shared" si="28"/>
        <v>3.6791870342425523E-2</v>
      </c>
      <c r="U23" s="42">
        <f t="shared" si="28"/>
        <v>3.5814308570042253E-2</v>
      </c>
      <c r="V23" s="42">
        <f t="shared" si="28"/>
        <v>3.5358409801074554E-2</v>
      </c>
      <c r="W23" s="42">
        <f t="shared" si="28"/>
        <v>3.4908314402207923E-2</v>
      </c>
      <c r="X23" s="42">
        <f t="shared" si="28"/>
        <v>3.4463948499357119E-2</v>
      </c>
      <c r="Y23" s="42">
        <f t="shared" si="28"/>
        <v>3.4025239158818138E-2</v>
      </c>
      <c r="Z23" s="42">
        <f t="shared" si="28"/>
        <v>3.3592114375297605E-2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4.8368319684662113</v>
      </c>
      <c r="C24" s="42">
        <f t="shared" ref="C24:AH24" si="30">IFERROR(C$18*HLOOKUP(C$4,mecc2,7)/100*C$7*C$9*C$11*C$12,0)</f>
        <v>0</v>
      </c>
      <c r="D24" s="42">
        <f t="shared" si="30"/>
        <v>0</v>
      </c>
      <c r="E24" s="42">
        <f t="shared" si="30"/>
        <v>0</v>
      </c>
      <c r="F24" s="42">
        <f t="shared" si="30"/>
        <v>0</v>
      </c>
      <c r="G24" s="42">
        <f t="shared" si="30"/>
        <v>0.36934647974217655</v>
      </c>
      <c r="H24" s="42">
        <f t="shared" si="30"/>
        <v>0.28048066095295787</v>
      </c>
      <c r="I24" s="42">
        <f t="shared" si="30"/>
        <v>0.21299621218408124</v>
      </c>
      <c r="J24" s="42">
        <f t="shared" si="30"/>
        <v>0.1617487146907971</v>
      </c>
      <c r="K24" s="42">
        <f t="shared" si="30"/>
        <v>0.12283151158347304</v>
      </c>
      <c r="L24" s="42">
        <f t="shared" si="30"/>
        <v>0.14717767918503777</v>
      </c>
      <c r="M24" s="42">
        <f t="shared" si="30"/>
        <v>0.17634944788230081</v>
      </c>
      <c r="N24" s="42">
        <f t="shared" si="30"/>
        <v>0.2113032896061178</v>
      </c>
      <c r="O24" s="42">
        <f t="shared" si="30"/>
        <v>0.25318525651504481</v>
      </c>
      <c r="P24" s="42">
        <f t="shared" si="30"/>
        <v>0.30336855728124523</v>
      </c>
      <c r="Q24" s="42">
        <f t="shared" si="30"/>
        <v>0.29531411374168959</v>
      </c>
      <c r="R24" s="42">
        <f t="shared" si="30"/>
        <v>0.2874735158996356</v>
      </c>
      <c r="S24" s="42">
        <f t="shared" si="30"/>
        <v>0.27984108614593317</v>
      </c>
      <c r="T24" s="42">
        <f t="shared" si="30"/>
        <v>0.27241129761211091</v>
      </c>
      <c r="U24" s="42">
        <f t="shared" si="30"/>
        <v>0.26517877016820807</v>
      </c>
      <c r="V24" s="42">
        <f t="shared" si="30"/>
        <v>0.25625000839902873</v>
      </c>
      <c r="W24" s="42">
        <f t="shared" si="30"/>
        <v>0.24762188452284578</v>
      </c>
      <c r="X24" s="42">
        <f t="shared" si="30"/>
        <v>0.23928427584347345</v>
      </c>
      <c r="Y24" s="42">
        <f t="shared" si="30"/>
        <v>0.23122740050325769</v>
      </c>
      <c r="Z24" s="42">
        <f t="shared" si="30"/>
        <v>0.2234418060067955</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-5.5791593139203046</v>
      </c>
      <c r="C25" s="532">
        <f t="shared" ref="C25:AH25" si="32">IFERROR(C$18*HLOOKUP(C$4,mecc2,8)/100*C$7*C$9*C$11*C$12,0)</f>
        <v>0</v>
      </c>
      <c r="D25" s="532">
        <f t="shared" si="32"/>
        <v>0</v>
      </c>
      <c r="E25" s="532">
        <f t="shared" si="32"/>
        <v>0</v>
      </c>
      <c r="F25" s="532">
        <f t="shared" si="32"/>
        <v>0</v>
      </c>
      <c r="G25" s="532">
        <f t="shared" si="32"/>
        <v>-0.57387114533497008</v>
      </c>
      <c r="H25" s="532">
        <f t="shared" si="32"/>
        <v>-0.52559989930180229</v>
      </c>
      <c r="I25" s="532">
        <f t="shared" si="32"/>
        <v>-0.4813889954073467</v>
      </c>
      <c r="J25" s="532">
        <f t="shared" si="32"/>
        <v>-0.44089689744447741</v>
      </c>
      <c r="K25" s="532">
        <f t="shared" si="32"/>
        <v>-0.4038107975685547</v>
      </c>
      <c r="L25" s="532">
        <f t="shared" si="32"/>
        <v>-0.3548816245519581</v>
      </c>
      <c r="M25" s="532">
        <f t="shared" si="32"/>
        <v>-0.31188112899149534</v>
      </c>
      <c r="N25" s="532">
        <f t="shared" si="32"/>
        <v>-0.27409094157471225</v>
      </c>
      <c r="O25" s="532">
        <f t="shared" si="32"/>
        <v>-0.24087973676458274</v>
      </c>
      <c r="P25" s="532">
        <f t="shared" si="32"/>
        <v>-0.21169268583054829</v>
      </c>
      <c r="Q25" s="532">
        <f t="shared" si="32"/>
        <v>-0.20607360114355552</v>
      </c>
      <c r="R25" s="532">
        <f t="shared" si="32"/>
        <v>-0.20060366715865588</v>
      </c>
      <c r="S25" s="532">
        <f t="shared" si="32"/>
        <v>-0.19527892488018114</v>
      </c>
      <c r="T25" s="532">
        <f t="shared" si="32"/>
        <v>-0.19009552039843633</v>
      </c>
      <c r="U25" s="532">
        <f t="shared" si="32"/>
        <v>-0.18504970210034077</v>
      </c>
      <c r="V25" s="532">
        <f t="shared" si="32"/>
        <v>-0.17485168890835362</v>
      </c>
      <c r="W25" s="532">
        <f t="shared" si="32"/>
        <v>-0.16521568404106804</v>
      </c>
      <c r="X25" s="532">
        <f t="shared" si="32"/>
        <v>-0.15611071545019511</v>
      </c>
      <c r="Y25" s="532">
        <f t="shared" si="32"/>
        <v>-0.1475075179443251</v>
      </c>
      <c r="Z25" s="532">
        <f t="shared" si="32"/>
        <v>-0.13937843912474487</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99.088231958696269</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5.5414536928464901</v>
      </c>
      <c r="H29" s="42">
        <f>IF(H4&lt;opening,0,1)*Absenteeism!$D$23*H7*H9*H11*H12*H10/1000</f>
        <v>5.47513025553235</v>
      </c>
      <c r="I29" s="42">
        <f>IF(I4&lt;opening,0,1)*Absenteeism!$D$23*I7*I9*I11*I12*I10/1000</f>
        <v>5.4096006168459674</v>
      </c>
      <c r="J29" s="42">
        <f>IF(J4&lt;opening,0,1)*Absenteeism!$D$23*J7*J9*J11*J12*J10/1000</f>
        <v>5.3448552761298513</v>
      </c>
      <c r="K29" s="42">
        <f>IF(K4&lt;opening,0,1)*Absenteeism!$D$23*K7*K9*K11*K12*K10/1000</f>
        <v>5.2808848464360745</v>
      </c>
      <c r="L29" s="42">
        <f>IF(L4&lt;opening,0,1)*Absenteeism!$D$23*L7*L9*L11*L12*L10/1000</f>
        <v>5.2176800531653234</v>
      </c>
      <c r="M29" s="42">
        <f>IF(M4&lt;opening,0,1)*Absenteeism!$D$23*M7*M9*M11*M12*M10/1000</f>
        <v>5.155231732722247</v>
      </c>
      <c r="N29" s="42">
        <f>IF(N4&lt;opening,0,1)*Absenteeism!$D$23*N7*N9*N11*N12*N10/1000</f>
        <v>5.0935308311868885</v>
      </c>
      <c r="O29" s="42">
        <f>IF(O4&lt;opening,0,1)*Absenteeism!$D$23*O7*O9*O11*O12*O10/1000</f>
        <v>5.0325684030020303</v>
      </c>
      <c r="P29" s="42">
        <f>IF(P4&lt;opening,0,1)*Absenteeism!$D$23*P7*P9*P11*P12*P10/1000</f>
        <v>4.9723356096762448</v>
      </c>
      <c r="Q29" s="42">
        <f>IF(Q4&lt;opening,0,1)*Absenteeism!$D$23*Q7*Q9*Q11*Q12*Q10/1000</f>
        <v>4.9128237185024624</v>
      </c>
      <c r="R29" s="42">
        <f>IF(R4&lt;opening,0,1)*Absenteeism!$D$23*R7*R9*R11*R12*R10/1000</f>
        <v>4.854024101291885</v>
      </c>
      <c r="S29" s="42">
        <f>IF(S4&lt;opening,0,1)*Absenteeism!$D$23*S7*S9*S11*S12*S10/1000</f>
        <v>4.7959282331230417</v>
      </c>
      <c r="T29" s="42">
        <f>IF(T4&lt;opening,0,1)*Absenteeism!$D$23*T7*T9*T11*T12*T10/1000</f>
        <v>4.7385276911058316</v>
      </c>
      <c r="U29" s="42">
        <f>IF(U4&lt;opening,0,1)*Absenteeism!$D$23*U7*U9*U11*U12*U10/1000</f>
        <v>4.6818141531603503</v>
      </c>
      <c r="V29" s="42">
        <f>IF(V4&lt;opening,0,1)*Absenteeism!$D$23*V7*V9*V11*V12*V10/1000</f>
        <v>4.6257793968103291</v>
      </c>
      <c r="W29" s="42">
        <f>IF(W4&lt;opening,0,1)*Absenteeism!$D$23*W7*W9*W11*W12*W10/1000</f>
        <v>4.5704152979910155</v>
      </c>
      <c r="X29" s="42">
        <f>IF(X4&lt;opening,0,1)*Absenteeism!$D$23*X7*X9*X11*X12*X10/1000</f>
        <v>4.5157138298713422</v>
      </c>
      <c r="Y29" s="42">
        <f>IF(Y4&lt;opening,0,1)*Absenteeism!$D$23*Y7*Y9*Y11*Y12*Y10/1000</f>
        <v>4.4616670616901519</v>
      </c>
      <c r="Z29" s="42">
        <f>IF(Z4&lt;opening,0,1)*Absenteeism!$D$23*Z7*Z9*Z11*Z12*Z10/1000</f>
        <v>4.4082671576063968</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683.0096921542555</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8.1939282229590571</v>
      </c>
      <c r="H30" s="532">
        <f t="shared" si="34"/>
        <v>16.266763910603451</v>
      </c>
      <c r="I30" s="532">
        <f t="shared" si="34"/>
        <v>24.219849221575831</v>
      </c>
      <c r="J30" s="532">
        <f t="shared" si="34"/>
        <v>32.054513091280995</v>
      </c>
      <c r="K30" s="532">
        <f t="shared" si="34"/>
        <v>39.772071354021683</v>
      </c>
      <c r="L30" s="532">
        <f t="shared" si="34"/>
        <v>39.478189053376198</v>
      </c>
      <c r="M30" s="532">
        <f t="shared" si="34"/>
        <v>39.186478296824177</v>
      </c>
      <c r="N30" s="532">
        <f t="shared" si="34"/>
        <v>38.896923038473275</v>
      </c>
      <c r="O30" s="532">
        <f t="shared" si="34"/>
        <v>38.609507350996871</v>
      </c>
      <c r="P30" s="532">
        <f t="shared" si="34"/>
        <v>38.32421542475798</v>
      </c>
      <c r="Q30" s="532">
        <f t="shared" si="34"/>
        <v>38.04103156693958</v>
      </c>
      <c r="R30" s="532">
        <f t="shared" si="34"/>
        <v>37.75994020068142</v>
      </c>
      <c r="S30" s="532">
        <f t="shared" si="34"/>
        <v>37.480925864223195</v>
      </c>
      <c r="T30" s="532">
        <f>IF(T4&lt;opening,0,1)*T8*T9*T11*T12*T13*(VoL*YLLsC + VoL*YLLsP)/1000</f>
        <v>37.203973210054052</v>
      </c>
      <c r="U30" s="532">
        <f t="shared" si="34"/>
        <v>36.92906700406845</v>
      </c>
      <c r="V30" s="532">
        <f t="shared" si="34"/>
        <v>36.656192124728058</v>
      </c>
      <c r="W30" s="532">
        <f t="shared" si="34"/>
        <v>36.385333562230059</v>
      </c>
      <c r="X30" s="532">
        <f t="shared" si="34"/>
        <v>36.116476417681568</v>
      </c>
      <c r="Y30" s="532">
        <f t="shared" si="34"/>
        <v>35.849605902279997</v>
      </c>
      <c r="Z30" s="532">
        <f t="shared" si="34"/>
        <v>35.584707336499605</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138.15403240592025</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7.7261866310879448</v>
      </c>
      <c r="H33" s="42">
        <f>IF(H4&lt;opening,0,'Journey Ambience'!$E$46)*H7*H9*H10*H11/1000</f>
        <v>7.6337150012400219</v>
      </c>
      <c r="I33" s="42">
        <f>IF(I4&lt;opening,0,'Journey Ambience'!$E$46)*I7*I9*I10*I11/1000</f>
        <v>7.5423501272517504</v>
      </c>
      <c r="J33" s="42">
        <f>IF(J4&lt;opening,0,'Journey Ambience'!$E$46)*J7*J9*J10*J11/1000</f>
        <v>7.4520787628060194</v>
      </c>
      <c r="K33" s="42">
        <f>IF(K4&lt;opening,0,'Journey Ambience'!$E$46)*K7*K9*K10*K11/1000</f>
        <v>7.3628878201255761</v>
      </c>
      <c r="L33" s="42">
        <f>IF(L4&lt;opening,0,'Journey Ambience'!$E$46)*L7*L9*L10*L11/1000</f>
        <v>7.2747643680755187</v>
      </c>
      <c r="M33" s="42">
        <f>IF(M4&lt;opening,0,'Journey Ambience'!$E$46)*M7*M9*M10*M11/1000</f>
        <v>7.1876956302885322</v>
      </c>
      <c r="N33" s="42">
        <f>IF(N4&lt;opening,0,'Journey Ambience'!$E$46)*N7*N9*N10*N11/1000</f>
        <v>7.1016689833124937</v>
      </c>
      <c r="O33" s="42">
        <f>IF(O4&lt;opening,0,'Journey Ambience'!$E$46)*O7*O9*O10*O11/1000</f>
        <v>7.0166719547803362</v>
      </c>
      <c r="P33" s="42">
        <f>IF(P4&lt;opening,0,'Journey Ambience'!$E$46)*P7*P9*P10*P11/1000</f>
        <v>6.9326922216017444</v>
      </c>
      <c r="Q33" s="42">
        <f>IF(Q4&lt;opening,0,'Journey Ambience'!$E$46)*Q7*Q9*Q10*Q11/1000</f>
        <v>6.849717608176535</v>
      </c>
      <c r="R33" s="42">
        <f>IF(R4&lt;opening,0,'Journey Ambience'!$E$46)*R7*R9*R10*R11/1000</f>
        <v>6.7677360846293988</v>
      </c>
      <c r="S33" s="42">
        <f>IF(S4&lt;opening,0,'Journey Ambience'!$E$46)*S7*S9*S10*S11/1000</f>
        <v>6.686735765065781</v>
      </c>
      <c r="T33" s="42">
        <f>IF(T4&lt;opening,0,'Journey Ambience'!$E$46)*T7*T9*T10*T11/1000</f>
        <v>6.606704905848626</v>
      </c>
      <c r="U33" s="42">
        <f>IF(U4&lt;opening,0,'Journey Ambience'!$E$46)*U7*U9*U10*U11/1000</f>
        <v>6.5276319038957791</v>
      </c>
      <c r="V33" s="42">
        <f>IF(V4&lt;opening,0,'Journey Ambience'!$E$46)*V7*V9*V10*V11/1000</f>
        <v>6.4495052949977048</v>
      </c>
      <c r="W33" s="42">
        <f>IF(W4&lt;opening,0,'Journey Ambience'!$E$46)*W7*W9*W10*W11/1000</f>
        <v>6.3723137521554012</v>
      </c>
      <c r="X33" s="42">
        <f>IF(X4&lt;opening,0,'Journey Ambience'!$E$46)*X7*X9*X10*X11/1000</f>
        <v>6.2960460839381787</v>
      </c>
      <c r="Y33" s="42">
        <f>IF(Y4&lt;opening,0,'Journey Ambience'!$E$46)*Y7*Y9*Y10*Y11/1000</f>
        <v>6.2206912328610935</v>
      </c>
      <c r="Z33" s="42">
        <f>IF(Z4&lt;opening,0,'Journey Ambience'!$E$46)*Z7*Z9*Z10*Z11/1000</f>
        <v>6.1462382737818011</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17.346006290965541</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0.97006565479215301</v>
      </c>
      <c r="H34" s="532">
        <f>IF(H4&lt;opening,0,'Journey Ambience'!$E$45)*H7*H9*H10*H11*H12/1000</f>
        <v>0.95845532793346921</v>
      </c>
      <c r="I34" s="532">
        <f>IF(I4&lt;opening,0,'Journey Ambience'!$E$45)*I7*I9*I10*I11*I12/1000</f>
        <v>0.94698396042160848</v>
      </c>
      <c r="J34" s="532">
        <f>IF(J4&lt;opening,0,'Journey Ambience'!$E$45)*J7*J9*J10*J11*J12/1000</f>
        <v>0.93564988910786695</v>
      </c>
      <c r="K34" s="532">
        <f>IF(K4&lt;opening,0,'Journey Ambience'!$E$45)*K7*K9*K10*K11*K12/1000</f>
        <v>0.92445147074909995</v>
      </c>
      <c r="L34" s="532">
        <f>IF(L4&lt;opening,0,'Journey Ambience'!$E$45)*L7*L9*L10*L11*L12/1000</f>
        <v>0.91338708176948191</v>
      </c>
      <c r="M34" s="532">
        <f>IF(M4&lt;opening,0,'Journey Ambience'!$E$45)*M7*M9*M10*M11*M12/1000</f>
        <v>0.90245511802511558</v>
      </c>
      <c r="N34" s="532">
        <f>IF(N4&lt;opening,0,'Journey Ambience'!$E$45)*N7*N9*N10*N11*N12/1000</f>
        <v>0.89165399457145744</v>
      </c>
      <c r="O34" s="532">
        <f>IF(O4&lt;opening,0,'Journey Ambience'!$E$45)*O7*O9*O10*O11*O12/1000</f>
        <v>0.88098214543353093</v>
      </c>
      <c r="P34" s="532">
        <f>IF(P4&lt;opening,0,'Journey Ambience'!$E$45)*P7*P9*P10*P11*P12/1000</f>
        <v>0.87043802337888565</v>
      </c>
      <c r="Q34" s="532">
        <f>IF(Q4&lt;opening,0,'Journey Ambience'!$E$45)*Q7*Q9*Q10*Q11*Q12/1000</f>
        <v>0.86002009969327609</v>
      </c>
      <c r="R34" s="532">
        <f>IF(R4&lt;opening,0,'Journey Ambience'!$E$45)*R7*R9*R10*R11*R12/1000</f>
        <v>0.84972686395902453</v>
      </c>
      <c r="S34" s="532">
        <f>IF(S4&lt;opening,0,'Journey Ambience'!$E$45)*S7*S9*S10*S11*S12/1000</f>
        <v>0.8395568238360368</v>
      </c>
      <c r="T34" s="532">
        <f>IF(T4&lt;opening,0,'Journey Ambience'!$E$45)*T7*T9*T10*T11*T12/1000</f>
        <v>0.8295085048454387</v>
      </c>
      <c r="U34" s="532">
        <f>IF(U4&lt;opening,0,'Journey Ambience'!$E$45)*U7*U9*U10*U11*U12/1000</f>
        <v>0.81958045015580328</v>
      </c>
      <c r="V34" s="532">
        <f>IF(V4&lt;opening,0,'Journey Ambience'!$E$45)*V7*V9*V10*V11*V12/1000</f>
        <v>0.80977122037193383</v>
      </c>
      <c r="W34" s="532">
        <f>IF(W4&lt;opening,0,'Journey Ambience'!$E$45)*W7*W9*W10*W11*W12/1000</f>
        <v>0.80007939332617795</v>
      </c>
      <c r="X34" s="532">
        <f>IF(X4&lt;opening,0,'Journey Ambience'!$E$45)*X7*X9*X10*X11*X12/1000</f>
        <v>0.79050356387223786</v>
      </c>
      <c r="Y34" s="532">
        <f>IF(Y4&lt;opening,0,'Journey Ambience'!$E$45)*Y7*Y9*Y10*Y11*Y12/1000</f>
        <v>0.78104234368144831</v>
      </c>
      <c r="Z34" s="532">
        <f>IF(Z4&lt;opening,0,'Journey Ambience'!$E$45)*Z7*Z9*Z10*Z11*Z12/1000</f>
        <v>0.77169436104149269</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68.596602060545422</v>
      </c>
      <c r="F4" s="41"/>
      <c r="G4" s="104"/>
      <c r="H4" s="435" t="s">
        <v>16711</v>
      </c>
      <c r="I4" s="192">
        <f>SUM(E4:E9,E14)</f>
        <v>82.096594914162154</v>
      </c>
      <c r="J4" s="436">
        <f>IFERROR(I4/SUM($I$4:$I$6),0)</f>
        <v>8.0510967026640928E-2</v>
      </c>
      <c r="K4" s="41"/>
      <c r="L4" s="41"/>
      <c r="M4" s="41"/>
      <c r="N4" s="41"/>
      <c r="O4" s="41"/>
    </row>
    <row r="5" spans="1:15">
      <c r="A5" s="41"/>
      <c r="B5" s="674" t="s">
        <v>16712</v>
      </c>
      <c r="C5" s="675"/>
      <c r="D5" s="675"/>
      <c r="E5" s="124">
        <f>Discounting!B20</f>
        <v>0.37638660849298428</v>
      </c>
      <c r="F5" s="41"/>
      <c r="G5" s="104"/>
      <c r="H5" s="107" t="s">
        <v>16713</v>
      </c>
      <c r="I5" s="124">
        <f>E10+E11</f>
        <v>782.09792411295177</v>
      </c>
      <c r="J5" s="430">
        <f>IFERROR(I5/SUM($I$4:$I$6),0)</f>
        <v>0.76699234902128588</v>
      </c>
      <c r="K5" s="41"/>
      <c r="L5" s="41"/>
      <c r="M5" s="41"/>
      <c r="N5" s="41"/>
      <c r="O5" s="41"/>
    </row>
    <row r="6" spans="1:15">
      <c r="A6" s="41"/>
      <c r="B6" s="674" t="s">
        <v>16441</v>
      </c>
      <c r="C6" s="675"/>
      <c r="D6" s="675"/>
      <c r="E6" s="124">
        <f>Discounting!B21</f>
        <v>11.564806573367754</v>
      </c>
      <c r="F6" s="41"/>
      <c r="G6" s="104"/>
      <c r="H6" s="107" t="s">
        <v>16714</v>
      </c>
      <c r="I6" s="124">
        <f>E12</f>
        <v>155.50003869688578</v>
      </c>
      <c r="J6" s="430">
        <f>IFERROR(I6/SUM($I$4:$I$6),0)</f>
        <v>0.15249668395207314</v>
      </c>
      <c r="K6" s="41"/>
      <c r="L6" s="41"/>
      <c r="M6" s="41"/>
      <c r="N6" s="41"/>
      <c r="O6" s="41"/>
    </row>
    <row r="7" spans="1:15">
      <c r="A7" s="41"/>
      <c r="B7" s="674" t="s">
        <v>16715</v>
      </c>
      <c r="C7" s="675"/>
      <c r="D7" s="675"/>
      <c r="E7" s="124">
        <f>Discounting!B22</f>
        <v>1.5301399123189079</v>
      </c>
      <c r="F7" s="41"/>
      <c r="G7" s="104"/>
      <c r="H7" s="41"/>
      <c r="I7" s="41"/>
      <c r="J7" s="413"/>
      <c r="K7" s="41"/>
      <c r="L7" s="41"/>
      <c r="M7" s="41"/>
      <c r="N7" s="41"/>
      <c r="O7" s="41"/>
    </row>
    <row r="8" spans="1:15">
      <c r="A8" s="41"/>
      <c r="B8" s="674" t="s">
        <v>16443</v>
      </c>
      <c r="C8" s="675"/>
      <c r="D8" s="675"/>
      <c r="E8" s="124">
        <f>Discounting!B23</f>
        <v>0.77098710489118349</v>
      </c>
      <c r="F8" s="41"/>
      <c r="G8" s="104"/>
      <c r="H8" s="41"/>
      <c r="I8" s="41"/>
      <c r="J8" s="413"/>
      <c r="K8" s="41"/>
      <c r="L8" s="41"/>
      <c r="M8" s="41"/>
      <c r="N8" s="41"/>
      <c r="O8" s="41"/>
    </row>
    <row r="9" spans="1:15">
      <c r="A9" s="41"/>
      <c r="B9" s="674" t="s">
        <v>16716</v>
      </c>
      <c r="C9" s="675"/>
      <c r="D9" s="675"/>
      <c r="E9" s="124">
        <f>Discounting!B24</f>
        <v>4.8368319684662113</v>
      </c>
      <c r="F9" s="41"/>
      <c r="G9" s="104"/>
      <c r="H9" s="41"/>
      <c r="I9" s="41"/>
      <c r="J9" s="413"/>
      <c r="K9" s="41"/>
      <c r="L9" s="41"/>
      <c r="M9" s="41"/>
      <c r="N9" s="41"/>
      <c r="O9" s="41"/>
    </row>
    <row r="10" spans="1:15">
      <c r="A10" s="41"/>
      <c r="B10" s="678" t="s">
        <v>16704</v>
      </c>
      <c r="C10" s="679"/>
      <c r="D10" s="679"/>
      <c r="E10" s="124">
        <f>Discounting!B30</f>
        <v>683.0096921542555</v>
      </c>
      <c r="F10" s="41"/>
      <c r="G10" s="104"/>
      <c r="H10" s="41"/>
      <c r="I10" s="41"/>
      <c r="J10" s="413"/>
      <c r="K10" s="41"/>
      <c r="L10" s="41"/>
      <c r="M10" s="41"/>
      <c r="N10" s="41"/>
      <c r="O10" s="41"/>
    </row>
    <row r="11" spans="1:15">
      <c r="A11" s="41"/>
      <c r="B11" s="678" t="s">
        <v>75</v>
      </c>
      <c r="C11" s="679"/>
      <c r="D11" s="679"/>
      <c r="E11" s="124">
        <f>_xlfn.IFNA(Discounting!B29, 0)</f>
        <v>99.088231958696269</v>
      </c>
      <c r="F11" s="41"/>
      <c r="G11" s="104"/>
      <c r="H11" s="41"/>
      <c r="I11" s="41"/>
      <c r="J11" s="413"/>
      <c r="K11" s="41"/>
      <c r="L11" s="41"/>
      <c r="M11" s="41"/>
      <c r="N11" s="41"/>
      <c r="O11" s="41"/>
    </row>
    <row r="12" spans="1:15">
      <c r="A12" s="41"/>
      <c r="B12" s="678" t="s">
        <v>16423</v>
      </c>
      <c r="C12" s="679"/>
      <c r="D12" s="679"/>
      <c r="E12" s="124">
        <f>IFERROR(Discounting!B33+Discounting!B34,0)</f>
        <v>155.50003869688578</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-5.5791593139203046</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1019.3181711155067</v>
      </c>
      <c r="F19" s="41"/>
      <c r="G19" s="104"/>
      <c r="H19" s="41"/>
      <c r="I19" s="41"/>
      <c r="J19" s="413"/>
      <c r="K19" s="41"/>
      <c r="L19" s="41"/>
      <c r="M19" s="41"/>
      <c r="N19" s="41"/>
      <c r="O19" s="41"/>
    </row>
    <row r="20" spans="1:15">
      <c r="A20" s="41"/>
      <c r="B20" s="674" t="s">
        <v>16719</v>
      </c>
      <c r="C20" s="675"/>
      <c r="D20" s="675"/>
      <c r="E20" s="124">
        <f>IFERROR((E15+E16)-E5,0)</f>
        <v>-0.37638660849298428</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-2708.1680062868295</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Props1.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2.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2023-01-16T16:12:35Z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