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8A49FA01-52B3-46B3-B395-77FFC2A2A93D}" xr6:coauthVersionLast="47" xr6:coauthVersionMax="47" xr10:uidLastSave="{00000000-0000-0000-0000-000000000000}"/>
  <bookViews>
    <workbookView xWindow="2730" yWindow="1755" windowWidth="21600" windowHeight="12735"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D23" i="27" s="1"/>
  <c r="D32" i="27" s="1"/>
  <c r="D41" i="27" s="1"/>
  <c r="D50" i="27" s="1"/>
  <c r="D59" i="27" s="1"/>
  <c r="D67" i="27" s="1"/>
  <c r="E42" i="24"/>
  <c r="D44" i="24"/>
  <c r="D21" i="27" s="1"/>
  <c r="D30" i="27" s="1"/>
  <c r="D39" i="27" s="1"/>
  <c r="D48" i="27" s="1"/>
  <c r="D57" i="27" s="1"/>
  <c r="D65"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E31" i="27" s="1"/>
  <c r="E40" i="27" s="1"/>
  <c r="E49" i="27" s="1"/>
  <c r="E58" i="27" s="1"/>
  <c r="E66" i="27" s="1"/>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81" i="2" a="1"/>
  <c r="D81" i="2" s="1"/>
  <c r="E10" i="11" s="1"/>
  <c r="E27" i="11" s="1"/>
  <c r="F77" i="2" a="1"/>
  <c r="F77" i="2" s="1"/>
  <c r="O6" i="11" s="1"/>
  <c r="O23" i="11" s="1"/>
  <c r="F32" i="27"/>
  <c r="F41" i="27" s="1"/>
  <c r="F50" i="27" s="1"/>
  <c r="F59" i="27" s="1"/>
  <c r="F67" i="27" s="1"/>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G11" i="27" l="1"/>
  <c r="G14" i="27" s="1"/>
  <c r="F10" i="27"/>
  <c r="F3" i="27"/>
  <c r="G9" i="27"/>
  <c r="F11" i="27"/>
  <c r="G13" i="27"/>
  <c r="G74" i="27"/>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H73" i="27" l="1"/>
  <c r="I74" i="27"/>
  <c r="D74" i="27"/>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<sst xmlns="http://schemas.openxmlformats.org/spreadsheetml/2006/main" count="55865" uniqueCount="16762">
  <si>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</si>
  <si>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</si>
  <si>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</si>
  <si>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</si>
  <si>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</si>
  <si>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</si>
  <si>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</si>
  <si>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</si>
  <si>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</si>
  <si>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</si>
  <si>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</si>
  <si>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</si>
  <si>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</si>
  <si>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</si>
  <si>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</si>
  <si>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</si>
  <si>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</si>
  <si>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</si>
  <si>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</si>
  <si>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</si>
  <si>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</si>
  <si>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</si>
  <si>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</si>
  <si>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</si>
  <si>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</si>
  <si>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</si>
  <si>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</si>
  <si>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</si>
  <si>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</si>
  <si>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</si>
  <si>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</si>
  <si>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</si>
  <si>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</si>
  <si>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</si>
  <si>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</si>
  <si>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</si>
  <si>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</si>
  <si>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</si>
  <si>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</si>
  <si>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</si>
  <si>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</si>
  <si>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</si>
  <si>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</si>
  <si>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</si>
  <si>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</si>
  <si>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</si>
  <si>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</si>
  <si>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</si>
  <si>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</si>
  <si>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</si>
  <si>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</si>
  <si>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</si>
  <si>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</si>
  <si>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</si>
  <si>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</si>
  <si>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</si>
  <si>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</si>
  <si>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</si>
  <si>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</si>
  <si>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</si>
  <si>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</si>
  <si>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</si>
  <si>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</si>
  <si>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</si>
  <si>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</si>
  <si>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</si>
  <si>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</si>
  <si>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</si>
  <si>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</si>
  <si>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</si>
  <si>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</si>
  <si>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</si>
  <si>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</si>
  <si>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</si>
  <si>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</si>
  <si>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</si>
  <si>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</si>
  <si>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</si>
  <si>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</si>
  <si>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</si>
  <si>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</si>
  <si>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</si>
  <si>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</si>
  <si>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</si>
  <si>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</si>
  <si>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</si>
  <si>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</si>
  <si>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</si>
  <si>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</si>
  <si>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</si>
  <si>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</si>
  <si>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</si>
  <si>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</si>
  <si>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</si>
  <si>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</si>
  <si>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</si>
  <si>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</si>
  <si>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</si>
  <si>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</si>
  <si>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</si>
  <si>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</si>
  <si>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</si>
  <si>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</si>
  <si>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</si>
  <si>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</si>
  <si>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</si>
  <si>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</si>
  <si>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</si>
  <si>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</si>
  <si>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</si>
  <si>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</si>
  <si>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</si>
  <si>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</si>
  <si>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</si>
  <si>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</si>
  <si>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</si>
  <si>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</si>
  <si>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</si>
  <si>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</si>
  <si>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</si>
  <si>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</si>
  <si>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</si>
  <si>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</si>
  <si>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</si>
  <si>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</si>
  <si>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</si>
  <si>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</si>
  <si>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</si>
  <si>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</si>
  <si>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</si>
  <si>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</si>
  <si>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</si>
  <si>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</si>
  <si>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</si>
  <si>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</si>
  <si>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</si>
  <si>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</si>
  <si>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</si>
  <si>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</si>
  <si>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</si>
  <si>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</si>
  <si>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</si>
  <si>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</si>
  <si>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</si>
  <si>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</si>
  <si>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</si>
  <si>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</si>
  <si>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</si>
  <si>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</si>
  <si>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</si>
  <si>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</si>
  <si>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</si>
  <si>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</si>
  <si>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</si>
  <si>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</si>
  <si>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</si>
  <si>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</si>
  <si>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</si>
  <si>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</si>
  <si>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</si>
  <si>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</si>
  <si>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</si>
  <si>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</si>
  <si>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</si>
  <si>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</si>
  <si>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</si>
  <si>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</si>
  <si>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</si>
  <si>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</si>
  <si>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</si>
  <si>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</si>
  <si>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</si>
  <si>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</si>
  <si>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</si>
  <si>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</si>
  <si>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</si>
  <si>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</si>
  <si>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</si>
  <si>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</si>
  <si>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</si>
  <si>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</si>
  <si>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</si>
  <si>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</si>
  <si>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</si>
  <si>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</si>
  <si>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</si>
  <si>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</si>
  <si>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</si>
  <si>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</si>
  <si>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</si>
  <si>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</si>
  <si>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</si>
  <si>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</si>
  <si>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</si>
  <si>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</si>
  <si>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</si>
  <si>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</si>
  <si>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</si>
  <si>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</si>
  <si>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</si>
  <si>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</si>
  <si>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</si>
  <si>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</si>
  <si>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</si>
  <si>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</si>
  <si>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</si>
  <si>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</si>
  <si>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</si>
  <si>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</si>
  <si>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</si>
  <si>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</si>
  <si>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</si>
  <si>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</si>
  <si>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</si>
  <si>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</si>
  <si>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</si>
  <si>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</si>
  <si>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</si>
  <si>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</si>
  <si>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</si>
  <si>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</si>
  <si>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</si>
  <si>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</si>
  <si>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</si>
  <si>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</si>
  <si>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</si>
  <si>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</si>
  <si>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</si>
  <si>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</si>
  <si>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</si>
  <si>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</si>
  <si>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</si>
  <si>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</si>
  <si>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</si>
  <si>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</si>
  <si>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</si>
  <si>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</si>
  <si>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</si>
  <si>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</si>
  <si>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</si>
  <si>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</si>
  <si>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</si>
  <si>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</si>
  <si>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</si>
  <si>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</si>
  <si>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</si>
  <si>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</si>
  <si>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</si>
  <si>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</si>
  <si>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</si>
  <si>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</si>
  <si>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</si>
  <si>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</si>
  <si>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</si>
  <si>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</si>
  <si>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</si>
  <si>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</si>
  <si>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</si>
  <si>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</si>
  <si>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</si>
  <si>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</si>
  <si>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</si>
  <si>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</si>
  <si>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</si>
  <si>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</si>
  <si>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</si>
  <si>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</si>
  <si>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</si>
  <si>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</si>
  <si>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</si>
  <si>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</si>
  <si>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</si>
  <si>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</si>
  <si>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</si>
  <si>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</si>
  <si>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</si>
  <si>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</si>
  <si>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</si>
  <si>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</si>
  <si>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</si>
  <si>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</si>
  <si>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</si>
  <si>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</si>
  <si>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</si>
  <si>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</si>
  <si>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</si>
  <si>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</si>
  <si>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</si>
  <si>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</si>
  <si>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</si>
  <si>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</si>
  <si>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</si>
  <si>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</si>
  <si>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</si>
  <si>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</si>
  <si>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</si>
  <si>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</si>
  <si>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</si>
  <si>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</si>
  <si>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</si>
  <si>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</si>
  <si>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</si>
  <si>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</si>
  <si>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</si>
  <si>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</si>
  <si>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</si>
  <si>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</si>
  <si>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</si>
  <si>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</si>
  <si>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</si>
  <si>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</si>
  <si>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</si>
  <si>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</si>
  <si>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</si>
  <si>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</si>
  <si>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</si>
  <si>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</si>
  <si>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</si>
  <si>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</si>
  <si>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</si>
  <si>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</si>
  <si>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</si>
  <si>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</si>
  <si>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</si>
  <si>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</si>
  <si>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</si>
  <si>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</si>
  <si>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</si>
  <si>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</si>
  <si>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</si>
  <si>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</si>
  <si>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</si>
  <si>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</si>
  <si>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</si>
  <si>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</si>
  <si>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</si>
  <si>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</si>
  <si>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</si>
  <si>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</si>
  <si>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</si>
  <si>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</si>
  <si>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</si>
  <si>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</si>
  <si>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</si>
  <si>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</si>
  <si>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</si>
  <si>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</si>
  <si>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</si>
  <si>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</si>
  <si>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</si>
  <si>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</si>
  <si>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</si>
  <si>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</si>
  <si>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</si>
  <si>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</si>
  <si>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</si>
  <si>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</si>
  <si>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</si>
  <si>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</si>
  <si>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</si>
  <si>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</si>
  <si>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</si>
  <si>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</si>
  <si>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</si>
  <si>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</si>
  <si>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</si>
  <si>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</si>
  <si>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</si>
  <si>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</si>
  <si>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</si>
  <si>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</si>
  <si>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</si>
  <si>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</si>
  <si>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</si>
  <si>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</si>
  <si>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</si>
  <si>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</si>
  <si>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</si>
  <si>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</si>
  <si>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</si>
  <si>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</si>
  <si>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</si>
  <si>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</si>
  <si>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</si>
  <si>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</si>
  <si>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</si>
  <si>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</si>
  <si>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</si>
  <si>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</si>
  <si>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</si>
  <si>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</si>
  <si>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</si>
  <si>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</si>
  <si>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</si>
  <si>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</si>
  <si>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</si>
  <si>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</si>
  <si>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</si>
  <si>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</si>
  <si>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</si>
  <si>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</si>
  <si>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</si>
  <si>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</si>
  <si>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</si>
  <si>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</si>
  <si>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</si>
  <si>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</si>
  <si>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</si>
  <si>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</si>
  <si>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</si>
  <si>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</si>
  <si>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</si>
  <si>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</si>
  <si>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</si>
  <si>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</si>
  <si>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</si>
  <si>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</si>
  <si>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</si>
  <si>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</si>
  <si>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</si>
  <si>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</si>
  <si>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</si>
  <si>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</si>
  <si>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</si>
  <si>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</si>
  <si>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</si>
  <si>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</si>
  <si>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</si>
  <si>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</si>
  <si>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</si>
  <si>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</si>
  <si>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</si>
  <si>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</si>
  <si>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</si>
  <si>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</si>
  <si>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</si>
  <si>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</si>
  <si>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</si>
  <si>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</si>
  <si>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</si>
  <si>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</si>
  <si>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</si>
  <si>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</si>
  <si>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</si>
  <si>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</si>
  <si>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</si>
  <si>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</si>
  <si>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</si>
  <si>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</si>
  <si>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</si>
  <si>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</si>
  <si>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</si>
  <si>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</si>
  <si>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</si>
  <si>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</si>
  <si>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</si>
  <si>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</si>
  <si>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</si>
  <si>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</si>
  <si>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</si>
  <si>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</si>
  <si>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</si>
  <si>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</si>
  <si>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</si>
  <si>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</si>
  <si>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</si>
  <si>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</si>
  <si>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</si>
  <si>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</si>
  <si>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</si>
  <si>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</si>
  <si>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</si>
  <si>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</si>
  <si>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</si>
  <si>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</si>
  <si>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</si>
  <si>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</si>
  <si>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</si>
  <si>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</si>
  <si>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</si>
  <si>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</si>
  <si>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</si>
  <si>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</si>
  <si>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</si>
  <si>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</si>
  <si>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</si>
  <si>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</si>
  <si>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</si>
  <si>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</si>
  <si>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</si>
  <si>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</si>
  <si>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</si>
  <si>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</si>
  <si>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</si>
  <si>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</si>
  <si>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</si>
  <si>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</si>
  <si>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</si>
  <si>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</si>
  <si>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</si>
  <si>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</si>
  <si>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</si>
  <si>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</si>
  <si>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</si>
  <si>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</si>
  <si>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</si>
  <si>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</si>
  <si>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</si>
  <si>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</si>
  <si>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</si>
  <si>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</si>
  <si>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</si>
  <si>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</si>
  <si>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</si>
  <si>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</si>
  <si>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</si>
  <si>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</si>
  <si>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</si>
  <si>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</si>
  <si>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</si>
  <si>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</si>
  <si>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</si>
  <si>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</si>
  <si>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</si>
  <si>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</si>
  <si>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</si>
  <si>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</si>
  <si>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</si>
  <si>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</si>
  <si>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</si>
  <si>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</si>
  <si>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</si>
  <si>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</si>
  <si>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</si>
  <si>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</si>
  <si>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</si>
  <si>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</si>
  <si>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</si>
  <si>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</si>
  <si>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</si>
  <si>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</si>
  <si>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</si>
  <si>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</si>
  <si>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</si>
  <si>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</si>
  <si>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</si>
  <si>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</si>
  <si>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</si>
  <si>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</si>
  <si>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</si>
  <si>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</si>
  <si>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</si>
  <si>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</si>
  <si>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</si>
  <si>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</si>
  <si>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</si>
  <si>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</si>
  <si>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</si>
  <si>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</si>
  <si>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</si>
  <si>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</si>
  <si>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</si>
  <si>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</si>
  <si>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</si>
  <si>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</si>
  <si>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</si>
  <si>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</si>
  <si>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</si>
  <si>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</si>
  <si>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</si>
  <si>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</si>
  <si>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</si>
  <si>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</si>
  <si>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</si>
  <si>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</si>
  <si>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</si>
  <si>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</si>
  <si>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</si>
  <si>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</si>
  <si>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</si>
  <si>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</si>
  <si>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</si>
  <si>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</si>
  <si>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</si>
  <si>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</si>
  <si>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</si>
  <si>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</si>
  <si>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</si>
  <si>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</si>
  <si>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</si>
  <si>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</si>
  <si>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</si>
  <si>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</si>
  <si>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</si>
  <si>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</si>
  <si>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</si>
  <si>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</si>
  <si>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</si>
  <si>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</si>
  <si>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</si>
  <si>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</si>
  <si>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</si>
  <si>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</si>
  <si>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</si>
  <si>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</si>
  <si>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</si>
  <si>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</si>
  <si>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</si>
  <si>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</si>
  <si>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</si>
  <si>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</si>
  <si>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</si>
  <si>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</si>
  <si>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</si>
  <si>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</si>
  <si>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</si>
  <si>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</si>
  <si>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</si>
  <si>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</si>
  <si>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</si>
  <si>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</si>
  <si>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</si>
  <si>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</si>
  <si>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</si>
  <si>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</si>
  <si>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</si>
  <si>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</si>
  <si>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</si>
  <si>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</si>
  <si>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</si>
  <si>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</si>
  <si>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</si>
  <si>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</si>
  <si>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</si>
  <si>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</si>
  <si>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</si>
  <si>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</si>
  <si>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</si>
  <si>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</si>
  <si>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</si>
  <si>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</si>
  <si>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</si>
  <si>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</si>
  <si>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</si>
  <si>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</si>
  <si>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</si>
  <si>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</si>
  <si>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</si>
  <si>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</si>
  <si>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</si>
  <si>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</si>
  <si>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</si>
  <si>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</si>
  <si>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</si>
  <si>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</si>
  <si>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</si>
  <si>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</si>
  <si>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</si>
  <si>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</si>
  <si>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</si>
  <si>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</si>
  <si>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</si>
  <si>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</si>
  <si>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</si>
  <si>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</si>
  <si>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</si>
  <si>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</si>
  <si>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</si>
  <si>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</si>
  <si>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</si>
  <si>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</si>
  <si>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</si>
  <si>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</si>
  <si>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</si>
  <si>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</si>
  <si>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</si>
  <si>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</si>
  <si>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</si>
  <si>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</si>
  <si>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</si>
  <si>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</si>
  <si>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</si>
  <si>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</si>
  <si>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</si>
  <si>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</si>
  <si>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</si>
  <si>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</si>
  <si>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</si>
  <si>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</si>
  <si>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</si>
  <si>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</si>
  <si>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</si>
  <si>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</si>
  <si>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</si>
  <si>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</si>
  <si>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</si>
  <si>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</si>
  <si>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</si>
  <si>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</si>
  <si>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</si>
  <si>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</si>
  <si>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</si>
  <si>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</si>
  <si>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</si>
  <si>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</si>
  <si>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</si>
  <si>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</si>
  <si>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</si>
  <si>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</si>
  <si>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</si>
  <si>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</si>
  <si>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</si>
  <si>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</si>
  <si>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</si>
  <si>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</si>
  <si>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</si>
  <si>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</si>
  <si>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</si>
  <si>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</si>
  <si>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</si>
  <si>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</si>
  <si>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</si>
  <si>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</si>
  <si>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</si>
  <si>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</si>
  <si>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</si>
  <si>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</si>
  <si>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</si>
  <si>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</si>
  <si>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</si>
  <si>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</si>
  <si>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</si>
  <si>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</si>
  <si>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</si>
  <si>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</si>
  <si>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</si>
  <si>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</si>
  <si>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</si>
  <si>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</si>
  <si>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</si>
  <si>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</si>
  <si>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</si>
  <si>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</si>
  <si>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</si>
  <si>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</si>
  <si>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</si>
  <si>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</si>
  <si>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</si>
  <si>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</si>
  <si>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</si>
  <si>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</si>
  <si>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</si>
  <si>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</si>
  <si>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</si>
  <si>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</si>
  <si>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</si>
  <si>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</si>
  <si>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</si>
  <si>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</si>
  <si>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</si>
  <si>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</si>
  <si>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</si>
  <si>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</si>
  <si>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</si>
  <si>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</si>
  <si>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</si>
  <si>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</si>
  <si>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</si>
  <si>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</si>
  <si>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</si>
  <si>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</si>
  <si>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</si>
  <si>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</si>
  <si>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</si>
  <si>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</si>
  <si>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</si>
  <si>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</si>
  <si>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</si>
  <si>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</si>
  <si>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</si>
  <si>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</si>
  <si>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</si>
  <si>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</si>
  <si>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</si>
  <si>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</si>
  <si>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</si>
  <si>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</si>
  <si>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</si>
  <si>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</si>
  <si>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</si>
  <si>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</si>
  <si>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</si>
  <si>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</si>
  <si>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</si>
  <si>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</si>
  <si>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</si>
  <si>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</si>
  <si>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</si>
  <si>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</si>
  <si>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</si>
  <si>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</si>
  <si>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</si>
  <si>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</si>
  <si>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</si>
  <si>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</si>
  <si>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</si>
  <si>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</si>
  <si>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</si>
  <si>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</si>
  <si>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</si>
  <si>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</si>
  <si>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</si>
  <si>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</si>
  <si>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</si>
  <si>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</si>
  <si>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</si>
  <si>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</si>
  <si>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</si>
  <si>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</si>
  <si>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</si>
  <si>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</si>
  <si>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</si>
  <si>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</si>
  <si>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</si>
  <si>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</si>
  <si>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</si>
  <si>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</si>
  <si>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</si>
  <si>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</si>
  <si>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</si>
  <si>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</si>
  <si>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</si>
  <si>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</si>
  <si>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</si>
  <si>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</si>
  <si>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</si>
  <si>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</si>
  <si>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</si>
  <si>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</si>
  <si>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</si>
  <si>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</si>
  <si>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</si>
  <si>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</si>
  <si>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</si>
  <si>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</si>
  <si>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</si>
  <si>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</si>
  <si>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</si>
  <si>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</si>
  <si>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</si>
  <si>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</si>
  <si>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</si>
  <si>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</si>
  <si>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</si>
  <si>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</si>
  <si>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</si>
  <si>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</si>
  <si>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</si>
  <si>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</si>
  <si>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</si>
  <si>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</si>
  <si>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</si>
  <si>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</si>
  <si>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</si>
  <si>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</si>
  <si>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</si>
  <si>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</si>
  <si>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</si>
  <si>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</si>
  <si>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</si>
  <si>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</si>
  <si>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</si>
  <si>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</si>
  <si>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</si>
  <si>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</si>
  <si>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</si>
  <si>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</si>
  <si>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</si>
  <si>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</si>
  <si>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</si>
  <si>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</si>
  <si>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</si>
  <si>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</si>
  <si>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</si>
  <si>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</si>
  <si>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</si>
  <si>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</si>
  <si>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</si>
  <si>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</si>
  <si>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</si>
  <si>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</si>
  <si>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</si>
  <si>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</si>
  <si>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</si>
  <si>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</si>
  <si>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</si>
  <si>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</si>
  <si>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</si>
  <si>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</si>
  <si>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</si>
  <si>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</si>
  <si>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</si>
  <si>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</si>
  <si>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</si>
  <si>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</si>
  <si>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</si>
  <si>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</si>
  <si>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</si>
  <si>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</si>
  <si>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</si>
  <si>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</si>
  <si>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</si>
  <si>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</si>
  <si>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</si>
  <si>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</si>
  <si>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</si>
  <si>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</si>
  <si>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</si>
  <si>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</si>
  <si>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</si>
  <si>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</si>
  <si>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</si>
  <si>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</si>
  <si>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</si>
  <si>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</si>
  <si>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</si>
  <si>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</si>
  <si>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</si>
  <si>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</si>
  <si>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</si>
  <si>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</si>
  <si>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</si>
  <si>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</si>
  <si>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</si>
  <si>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</si>
  <si>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</si>
  <si>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</si>
  <si>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</si>
  <si>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</si>
  <si>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</si>
  <si>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</si>
  <si>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</si>
  <si>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</si>
  <si>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</si>
  <si>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</si>
  <si>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</si>
  <si>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</si>
  <si>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</si>
  <si>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</si>
  <si>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</si>
  <si>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</si>
  <si>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</si>
  <si>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</si>
  <si>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</si>
  <si>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</si>
  <si>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</si>
  <si>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</si>
  <si>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</si>
  <si>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</si>
  <si>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</si>
  <si>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</si>
  <si>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</si>
  <si>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</si>
  <si>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</si>
  <si>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</si>
  <si>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</si>
  <si>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</si>
  <si>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</si>
  <si>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</si>
  <si>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</si>
  <si>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</si>
  <si>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</si>
  <si>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</si>
  <si>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</si>
  <si>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</si>
  <si>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</si>
  <si>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</si>
  <si>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</si>
  <si>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</si>
  <si>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</si>
  <si>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</si>
  <si>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</si>
  <si>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</si>
  <si>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</si>
  <si>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</si>
  <si>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</si>
  <si>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</si>
  <si>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</si>
  <si>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</si>
  <si>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</si>
  <si>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</si>
  <si>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</si>
  <si>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</si>
  <si>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</si>
  <si>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</si>
  <si>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</si>
  <si>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</si>
  <si>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</si>
  <si>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</si>
  <si>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</si>
  <si>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</si>
  <si>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</si>
  <si>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</si>
  <si>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</si>
  <si>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</si>
  <si>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</si>
  <si>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</si>
  <si>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</si>
  <si>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</si>
  <si>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</si>
  <si>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</si>
  <si>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</si>
  <si>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</si>
  <si>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</si>
  <si>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</si>
  <si>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</si>
  <si>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</si>
  <si>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</si>
  <si>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</si>
  <si>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</si>
  <si>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</si>
  <si>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</si>
  <si>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</si>
  <si>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</si>
  <si>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</si>
  <si>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</si>
  <si>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</si>
  <si>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</si>
  <si>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</si>
  <si>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</si>
  <si>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</si>
  <si>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</si>
  <si>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</si>
  <si>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</si>
  <si>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</si>
  <si>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</si>
  <si>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</si>
  <si>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</si>
  <si>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</si>
  <si>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</si>
  <si>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</si>
  <si>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</si>
  <si>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</si>
  <si>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</si>
  <si>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</si>
  <si>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</si>
  <si>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</si>
  <si>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</si>
  <si>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</si>
  <si>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</si>
  <si>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</si>
  <si>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</si>
  <si>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</si>
  <si>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</si>
  <si>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</si>
  <si>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</si>
  <si>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</si>
  <si>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</si>
  <si>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</si>
  <si>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</si>
  <si>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</si>
  <si>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</si>
  <si>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</si>
  <si>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</si>
  <si>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</si>
  <si>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</si>
  <si>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</si>
  <si>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</si>
  <si>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</si>
  <si>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</si>
  <si>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</si>
  <si>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</si>
  <si>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</si>
  <si>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</si>
  <si>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</si>
  <si>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</si>
  <si>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</si>
  <si>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</si>
  <si>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</si>
  <si>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</si>
  <si>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</si>
  <si>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</si>
  <si>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</si>
  <si>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</si>
  <si>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</si>
  <si>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</si>
  <si>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</si>
  <si>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</si>
  <si>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</si>
  <si>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</si>
  <si>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</si>
  <si>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</si>
  <si>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</si>
  <si>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</si>
  <si>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</si>
  <si>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</si>
  <si>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</si>
  <si>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</si>
  <si>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</si>
  <si>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</si>
  <si>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</si>
  <si>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</si>
  <si>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</si>
  <si>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</si>
  <si>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</si>
  <si>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</si>
  <si>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</si>
  <si>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</si>
  <si>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</si>
  <si>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</si>
  <si>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</si>
  <si>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</si>
  <si>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</si>
  <si>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</si>
  <si>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</si>
  <si>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</si>
  <si>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</si>
  <si>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</si>
  <si>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</si>
  <si>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</si>
  <si>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</si>
  <si>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</si>
  <si>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</si>
  <si>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</si>
  <si>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</si>
  <si>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</si>
  <si>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</si>
  <si>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</si>
  <si>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</si>
  <si>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</si>
  <si>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</si>
  <si>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</si>
  <si>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</si>
  <si>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</si>
  <si>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</si>
  <si>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</si>
  <si>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</si>
  <si>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</si>
  <si>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</si>
  <si>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</si>
  <si>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</si>
  <si>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</si>
  <si>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</si>
  <si>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</si>
  <si>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</si>
  <si>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</si>
  <si>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</si>
  <si>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</si>
  <si>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</si>
  <si>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</si>
  <si>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</si>
  <si>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</si>
  <si>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</si>
  <si>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</si>
  <si>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</si>
  <si>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</si>
  <si>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</si>
  <si>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</si>
  <si>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</si>
  <si>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</si>
  <si>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</si>
  <si>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</si>
  <si>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</si>
  <si>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</si>
  <si>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</si>
  <si>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</si>
  <si>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</si>
  <si>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</si>
  <si>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</si>
  <si>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</si>
  <si>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</si>
  <si>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</si>
  <si>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</si>
  <si>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</si>
  <si>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</si>
  <si>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</si>
  <si>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</si>
  <si>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</si>
  <si>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</si>
  <si>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</si>
  <si>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</si>
  <si>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</si>
  <si>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</si>
  <si>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</si>
  <si>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</si>
  <si>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</si>
  <si>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</si>
  <si>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</si>
  <si>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</si>
  <si>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</si>
  <si>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</si>
  <si>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</si>
  <si>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</si>
  <si>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</si>
  <si>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</si>
  <si>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</si>
  <si>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</si>
  <si>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</si>
  <si>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</si>
  <si>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</si>
  <si>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</si>
  <si>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</si>
  <si>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</si>
  <si>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</si>
  <si>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</si>
  <si>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</si>
  <si>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</si>
  <si>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</si>
  <si>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</si>
  <si>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</si>
  <si>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</si>
  <si>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</si>
  <si>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</si>
  <si>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</si>
  <si>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</si>
  <si>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</si>
  <si>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</si>
  <si>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</si>
  <si>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</si>
  <si>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</si>
  <si>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</si>
  <si>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</si>
  <si>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</si>
  <si>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</si>
  <si>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</si>
  <si>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</si>
  <si>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</si>
  <si>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</si>
  <si>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</si>
  <si>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</si>
  <si>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</si>
  <si>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</si>
  <si>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</si>
  <si>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</si>
  <si>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</si>
  <si>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</si>
  <si>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</si>
  <si>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</si>
  <si>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</si>
  <si>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</si>
  <si>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</si>
  <si>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</si>
  <si>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</si>
  <si>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</si>
  <si>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</si>
  <si>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</si>
  <si>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</si>
  <si>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</si>
  <si>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</si>
  <si>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</si>
  <si>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</si>
  <si>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</si>
  <si>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</si>
  <si>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</si>
  <si>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</si>
  <si>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</si>
  <si>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</si>
  <si>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</si>
  <si>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</si>
  <si>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</si>
  <si>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</si>
  <si>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</si>
  <si>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</si>
  <si>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</si>
  <si>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</si>
  <si>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</si>
  <si>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</si>
  <si>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</si>
  <si>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</si>
  <si>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</si>
  <si>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</si>
  <si>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</si>
  <si>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</si>
  <si>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</si>
  <si>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</si>
  <si>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</si>
  <si>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</si>
  <si>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</si>
  <si>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</si>
  <si>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</si>
  <si>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</si>
  <si>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</si>
  <si>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</si>
  <si>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</si>
  <si>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</si>
  <si>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</si>
  <si>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</si>
  <si>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</si>
  <si>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</si>
  <si>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</si>
  <si>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</si>
  <si>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</si>
  <si>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</si>
  <si>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</si>
  <si>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</si>
  <si>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</si>
  <si>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</si>
  <si>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</si>
  <si>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</si>
  <si>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</si>
  <si>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</si>
  <si>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</si>
  <si>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</si>
  <si>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</si>
  <si>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</si>
  <si>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</si>
  <si>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</si>
  <si>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</si>
  <si>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</si>
  <si>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</si>
  <si>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</si>
  <si>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</si>
  <si>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</si>
  <si>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</si>
  <si>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</si>
  <si>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</si>
  <si>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</si>
  <si>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</si>
  <si>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</si>
  <si>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</si>
  <si>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</si>
  <si>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</si>
  <si>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</si>
  <si>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</si>
  <si>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</si>
  <si>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</si>
  <si>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</si>
  <si>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</si>
  <si>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</si>
  <si>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</si>
  <si>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</si>
  <si>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</si>
  <si>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</si>
  <si>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</si>
  <si>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</si>
  <si>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</si>
  <si>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</si>
  <si>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</si>
  <si>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</si>
  <si>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</si>
  <si>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</si>
  <si>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</si>
  <si>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</si>
  <si>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</si>
  <si>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</si>
  <si>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</si>
  <si>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</si>
  <si>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</si>
  <si>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</si>
  <si>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</si>
  <si>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</si>
  <si>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</si>
  <si>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</si>
  <si>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</si>
  <si>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</si>
  <si>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</si>
  <si>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</si>
  <si>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</si>
  <si>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</si>
  <si>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</si>
  <si>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</si>
  <si>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</si>
  <si>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</si>
  <si>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</si>
  <si>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</si>
  <si>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</si>
  <si>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</si>
  <si>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</si>
  <si>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</si>
  <si>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</si>
  <si>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</si>
  <si>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</si>
  <si>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</si>
  <si>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</si>
  <si>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</si>
  <si>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</si>
  <si>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</si>
  <si>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</si>
  <si>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</si>
  <si>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</si>
  <si>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</si>
  <si>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</si>
  <si>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</si>
  <si>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</si>
  <si>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</si>
  <si>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</si>
  <si>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</si>
  <si>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</si>
  <si>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</si>
  <si>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</si>
  <si>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</si>
  <si>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</si>
  <si>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</si>
  <si>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</si>
  <si>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</si>
  <si>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</si>
  <si>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</si>
  <si>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</si>
  <si>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</si>
  <si>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</si>
  <si>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</si>
  <si>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</si>
  <si>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</si>
  <si>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</si>
  <si>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</si>
  <si>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</si>
  <si>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</si>
  <si>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</si>
  <si>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</si>
  <si>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</si>
  <si>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</si>
  <si>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</si>
  <si>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</si>
  <si>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</si>
  <si>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</si>
  <si>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</si>
  <si>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</si>
  <si>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</si>
  <si>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</si>
  <si>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</si>
  <si>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</si>
  <si>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</si>
  <si>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</si>
  <si>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</si>
  <si>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</si>
  <si>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</si>
  <si>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</si>
  <si>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</si>
  <si>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</si>
  <si>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</si>
  <si>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</si>
  <si>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</si>
  <si>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</si>
  <si>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</si>
  <si>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</si>
  <si>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</si>
  <si>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</si>
  <si>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</si>
  <si>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</si>
  <si>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</si>
  <si>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</si>
  <si>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</si>
  <si>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</si>
  <si>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</si>
  <si>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</si>
  <si>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</si>
  <si>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</si>
  <si>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</si>
  <si>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</si>
  <si>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</si>
  <si>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</si>
  <si>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</si>
  <si>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</si>
  <si>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</si>
  <si>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</si>
  <si>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</si>
  <si>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</si>
  <si>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</si>
  <si>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</si>
  <si>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</si>
  <si>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</si>
  <si>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</si>
  <si>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</si>
  <si>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</si>
  <si>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</si>
  <si>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</si>
  <si>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</si>
  <si>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</si>
  <si>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</si>
  <si>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</si>
  <si>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</si>
  <si>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</si>
  <si>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</si>
  <si>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</si>
  <si>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</si>
  <si>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</si>
  <si>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</si>
  <si>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</si>
  <si>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</si>
  <si>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</si>
  <si>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</si>
  <si>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</si>
  <si>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</si>
  <si>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</si>
  <si>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</si>
  <si>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</si>
  <si>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</si>
  <si>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</si>
  <si>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</si>
  <si>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</si>
  <si>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</si>
  <si>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</si>
  <si>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</si>
  <si>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</si>
  <si>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</si>
  <si>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</si>
  <si>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</si>
  <si>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</si>
  <si>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</si>
  <si>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</si>
  <si>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</si>
  <si>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</si>
  <si>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</si>
  <si>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</si>
  <si>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</si>
  <si>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</si>
  <si>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</si>
  <si>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</si>
  <si>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</si>
  <si>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</si>
  <si>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</si>
  <si>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</si>
  <si>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</si>
  <si>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</si>
  <si>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</si>
  <si>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</si>
  <si>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</si>
  <si>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</si>
  <si>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</si>
  <si>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</si>
  <si>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</si>
  <si>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</si>
  <si>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</si>
  <si>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</si>
  <si>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</si>
  <si>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</si>
  <si>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</si>
  <si>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</si>
  <si>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</si>
  <si>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</si>
  <si>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</si>
  <si>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</si>
  <si>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</si>
  <si>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</si>
  <si>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</si>
  <si>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</si>
  <si>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</si>
  <si>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</si>
  <si>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</si>
  <si>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</si>
  <si>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</si>
  <si>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</si>
  <si>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</si>
  <si>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</si>
  <si>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</si>
  <si>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</si>
  <si>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</si>
  <si>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</si>
  <si>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</si>
  <si>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</si>
  <si>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</si>
  <si>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</si>
  <si>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</si>
  <si>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</si>
  <si>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</si>
  <si>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</si>
  <si>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</si>
  <si>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</si>
  <si>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</si>
  <si>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</si>
  <si>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</si>
  <si>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</si>
  <si>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</si>
  <si>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</si>
  <si>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</si>
  <si>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</si>
  <si>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</si>
  <si>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</si>
  <si>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</si>
  <si>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</si>
  <si>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</si>
  <si>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</si>
  <si>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</si>
  <si>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</si>
  <si>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</si>
  <si>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</si>
  <si>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</si>
  <si>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</si>
  <si>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</si>
  <si>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</si>
  <si>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</si>
  <si>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</si>
  <si>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</si>
  <si>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</si>
  <si>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</si>
  <si>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</si>
  <si>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</si>
  <si>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</si>
  <si>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</si>
  <si>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</si>
  <si>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</si>
  <si>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</si>
  <si>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</si>
  <si>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</si>
  <si>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</si>
  <si>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</si>
  <si>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</si>
  <si>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</si>
  <si>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</si>
  <si>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</si>
  <si>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</si>
  <si>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</si>
  <si>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</si>
  <si>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</si>
  <si>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</si>
  <si>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</si>
  <si>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</si>
  <si>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</si>
  <si>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</si>
  <si>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</si>
  <si>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</si>
  <si>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</si>
  <si>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</si>
  <si>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</si>
  <si>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</si>
  <si>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</si>
  <si>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</si>
  <si>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</si>
  <si>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</si>
  <si>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</si>
  <si>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</si>
  <si>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</si>
  <si>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</si>
  <si>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</si>
  <si>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</si>
  <si>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</si>
  <si>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</si>
  <si>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</si>
  <si>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</si>
  <si>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</si>
  <si>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</si>
  <si>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</si>
  <si>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</si>
  <si>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</si>
  <si>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</si>
  <si>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</si>
  <si>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</si>
  <si>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</si>
  <si>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</si>
  <si>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</si>
  <si>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</si>
  <si>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</si>
  <si>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</si>
  <si>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</si>
  <si>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</si>
  <si>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</si>
  <si>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</si>
  <si>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</si>
  <si>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</si>
  <si>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</si>
  <si>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</si>
  <si>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</si>
  <si>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</si>
  <si>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</si>
  <si>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</si>
  <si>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</si>
  <si>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</si>
  <si>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</si>
  <si>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</si>
  <si>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</si>
  <si>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</si>
  <si>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</si>
  <si>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</si>
  <si>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</si>
  <si>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</si>
  <si>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</si>
  <si>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</si>
  <si>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</si>
  <si>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</si>
  <si>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</si>
  <si>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</si>
  <si>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</si>
  <si>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</si>
  <si>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</si>
  <si>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</si>
  <si>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</si>
  <si>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</si>
  <si>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</si>
  <si>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</si>
  <si>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</si>
  <si>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</si>
  <si>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</si>
  <si>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</si>
  <si>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</si>
  <si>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</si>
  <si>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</si>
  <si>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</si>
  <si>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</si>
  <si>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</si>
  <si>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</si>
  <si>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</si>
  <si>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</si>
  <si>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</si>
  <si>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</si>
  <si>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</si>
  <si>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</si>
  <si>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</si>
  <si>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</si>
  <si>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</si>
  <si>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</si>
  <si>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</si>
  <si>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</si>
  <si>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</si>
  <si>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</si>
  <si>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</si>
  <si>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</si>
  <si>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</si>
  <si>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</si>
  <si>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</si>
  <si>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</si>
  <si>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</si>
  <si>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</si>
  <si>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</si>
  <si>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</si>
  <si>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</si>
  <si>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</si>
  <si>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</si>
  <si>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</si>
  <si>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</si>
  <si>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</si>
  <si>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</si>
  <si>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</si>
  <si>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</si>
  <si>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</si>
  <si>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</si>
  <si>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</si>
  <si>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</si>
  <si>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</si>
  <si>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</si>
  <si>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</si>
  <si>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</si>
  <si>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</si>
  <si>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</si>
  <si>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</si>
  <si>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</si>
  <si>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</si>
  <si>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</si>
  <si>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</si>
  <si>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</si>
  <si>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</si>
  <si>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</si>
  <si>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</si>
  <si>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</si>
  <si>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</si>
  <si>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</si>
  <si>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</si>
  <si>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</si>
  <si>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</si>
  <si>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</si>
  <si>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</si>
  <si>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</si>
  <si>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</si>
  <si>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</si>
  <si>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</si>
  <si>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</si>
  <si>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</si>
  <si>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</si>
  <si>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</si>
  <si>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</si>
  <si>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</si>
  <si>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</si>
  <si>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</si>
  <si>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</si>
  <si>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</si>
  <si>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</si>
  <si>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</si>
  <si>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</si>
  <si>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</si>
  <si>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</si>
  <si>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</si>
  <si>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</si>
  <si>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</si>
  <si>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</si>
  <si>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</si>
  <si>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</si>
  <si>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</si>
  <si>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</si>
  <si>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</si>
  <si>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</si>
  <si>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</si>
  <si>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</si>
  <si>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</si>
  <si>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</si>
  <si>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</si>
  <si>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</si>
  <si>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</si>
  <si>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</si>
  <si>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</si>
  <si>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</si>
  <si>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</si>
  <si>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</si>
  <si>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</si>
  <si>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</si>
  <si>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</si>
  <si>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</si>
  <si>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</si>
  <si>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</si>
  <si>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</si>
  <si>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</si>
  <si>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</si>
  <si>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</si>
  <si>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</si>
  <si>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</si>
  <si>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</si>
  <si>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</si>
  <si>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</si>
  <si>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</si>
  <si>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</si>
  <si>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</si>
  <si>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</si>
  <si>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</si>
  <si>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</si>
  <si>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</si>
  <si>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</si>
  <si>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</si>
  <si>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</si>
  <si>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</si>
  <si>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</si>
  <si>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</si>
  <si>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</si>
  <si>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</si>
  <si>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</si>
  <si>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</si>
  <si>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</si>
  <si>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</si>
  <si>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</si>
  <si>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</si>
  <si>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</si>
  <si>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</si>
  <si>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</si>
  <si>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</si>
  <si>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</si>
  <si>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</si>
  <si>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</si>
  <si>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</si>
  <si>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</si>
  <si>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</si>
  <si>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</si>
  <si>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</si>
  <si>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</si>
  <si>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</si>
  <si>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</si>
  <si>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</si>
  <si>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</si>
  <si>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</si>
  <si>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</si>
  <si>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</si>
  <si>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</si>
  <si>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</si>
  <si>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</si>
  <si>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</si>
  <si>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</si>
  <si>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</si>
  <si>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</si>
  <si>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</si>
  <si>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</si>
  <si>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</si>
  <si>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</si>
  <si>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</si>
  <si>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</si>
  <si>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</si>
  <si>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</si>
  <si>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</si>
  <si>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</si>
  <si>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</si>
  <si>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</si>
  <si>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</si>
  <si>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</si>
  <si>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</si>
  <si>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</si>
  <si>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</si>
  <si>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</si>
  <si>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</si>
  <si>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</si>
  <si>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</si>
  <si>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</si>
  <si>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</si>
  <si>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</si>
  <si>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</si>
  <si>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</si>
  <si>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</si>
  <si>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</si>
  <si>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</si>
  <si>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</si>
  <si>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</si>
  <si>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</si>
  <si>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</si>
  <si>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</si>
  <si>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</si>
  <si>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</si>
  <si>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</si>
  <si>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</si>
  <si>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</si>
  <si>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</si>
  <si>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</si>
  <si>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</si>
  <si>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</si>
  <si>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</si>
  <si>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</si>
  <si>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</si>
  <si>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</si>
  <si>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</si>
  <si>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</si>
  <si>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</si>
  <si>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</si>
  <si>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</si>
  <si>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</si>
  <si>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</si>
  <si>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</si>
  <si>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</si>
  <si>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</si>
  <si>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</si>
  <si>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</si>
  <si>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</si>
  <si>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</si>
  <si>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</si>
  <si>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</si>
  <si>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</si>
  <si>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</si>
  <si>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</si>
  <si>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</si>
  <si>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</si>
  <si>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</si>
  <si>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</si>
  <si>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</si>
  <si>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</si>
  <si>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</si>
  <si>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</si>
  <si>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</si>
  <si>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</si>
  <si>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</si>
  <si>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</si>
  <si>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</si>
  <si>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</si>
  <si>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</si>
  <si>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</si>
  <si>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</si>
  <si>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</si>
  <si>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</si>
  <si>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</si>
  <si>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</si>
  <si>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</si>
  <si>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</si>
  <si>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</si>
  <si>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</si>
  <si>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</si>
  <si>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</si>
  <si>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</si>
  <si>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</si>
  <si>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</si>
  <si>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</si>
  <si>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</si>
  <si>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</si>
  <si>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</si>
  <si>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</si>
  <si>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</si>
  <si>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</si>
  <si>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</si>
  <si>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</si>
  <si>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</si>
  <si>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</si>
  <si>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</si>
  <si>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</si>
  <si>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</si>
  <si>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</si>
  <si>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</si>
  <si>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</si>
  <si>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</si>
  <si>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</si>
  <si>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</si>
  <si>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</si>
  <si>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</si>
  <si>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</si>
  <si>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</si>
  <si>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</si>
  <si>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</si>
  <si>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</si>
  <si>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</si>
  <si>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</si>
  <si>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</si>
  <si>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</si>
  <si>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</si>
  <si>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</si>
  <si>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</si>
  <si>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</si>
  <si>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</si>
  <si>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</si>
  <si>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</si>
  <si>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</si>
  <si>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</si>
  <si>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</si>
  <si>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</si>
  <si>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</si>
  <si>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</si>
  <si>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</si>
  <si>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</si>
  <si>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</si>
  <si>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</si>
  <si>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</si>
  <si>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</si>
  <si>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</si>
  <si>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</si>
  <si>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</si>
  <si>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</si>
  <si>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</si>
  <si>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</si>
  <si>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</si>
  <si>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</si>
  <si>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</si>
  <si>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</si>
  <si>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</si>
  <si>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</si>
  <si>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</si>
  <si>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</si>
  <si>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</si>
  <si>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</si>
  <si>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</si>
  <si>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</si>
  <si>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</si>
  <si>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</si>
  <si>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</si>
  <si>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</si>
  <si>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</si>
  <si>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</si>
  <si>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</si>
  <si>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</si>
  <si>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</si>
  <si>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</si>
  <si>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</si>
  <si>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</si>
  <si>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</si>
  <si>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</si>
  <si>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</si>
  <si>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</si>
  <si>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</si>
  <si>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</si>
  <si>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</si>
  <si>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</si>
  <si>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</si>
  <si>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</si>
  <si>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</si>
  <si>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</si>
  <si>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</si>
  <si>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</si>
  <si>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</si>
  <si>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</si>
  <si>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</si>
  <si>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</si>
  <si>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</si>
  <si>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</si>
  <si>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</si>
  <si>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</si>
  <si>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</si>
  <si>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</si>
  <si>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</si>
  <si>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</si>
  <si>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</si>
  <si>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</si>
  <si>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</si>
  <si>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</si>
  <si>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</si>
  <si>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</si>
  <si>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</si>
  <si>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</si>
  <si>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</si>
  <si>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</si>
  <si>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</si>
  <si>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</si>
  <si>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</si>
  <si>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</si>
  <si>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</si>
  <si>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</si>
  <si>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</si>
  <si>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</si>
  <si>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</si>
  <si>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</si>
  <si>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</si>
  <si>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</si>
  <si>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</si>
  <si>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</si>
  <si>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</si>
  <si>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</si>
  <si>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</si>
  <si>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</si>
  <si>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</si>
  <si>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</si>
  <si>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</si>
  <si>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</si>
  <si>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</si>
  <si>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</si>
  <si>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</si>
  <si>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</si>
  <si>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</si>
  <si>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</si>
  <si>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</si>
  <si>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</si>
  <si>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</si>
  <si>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</si>
  <si>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</si>
  <si>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</si>
  <si>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</si>
  <si>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</si>
  <si>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</si>
  <si>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</si>
  <si>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</si>
  <si>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</si>
  <si>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</si>
  <si>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</si>
  <si>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</si>
  <si>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</si>
  <si>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</si>
  <si>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</si>
  <si>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</si>
  <si>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</si>
  <si>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</si>
  <si>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</si>
  <si>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</si>
  <si>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</si>
  <si>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</si>
  <si>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</si>
  <si>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</si>
  <si>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</si>
  <si>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</si>
  <si>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</si>
  <si>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</si>
  <si>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</si>
  <si>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</si>
  <si>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</si>
  <si>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</si>
  <si>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</si>
  <si>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</si>
  <si>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</si>
  <si>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</si>
  <si>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</si>
  <si>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</si>
  <si>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</si>
  <si>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</si>
  <si>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</si>
  <si>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</si>
  <si>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</si>
  <si>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</si>
  <si>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</si>
  <si>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</si>
  <si>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</si>
  <si>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</si>
  <si>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</si>
  <si>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</si>
  <si>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</si>
  <si>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</si>
  <si>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</si>
  <si>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</si>
  <si>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</si>
  <si>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</si>
  <si>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</si>
  <si>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</si>
  <si>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</si>
  <si>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</si>
  <si>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</si>
  <si>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</si>
  <si>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</si>
  <si>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</si>
  <si>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</si>
  <si>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</si>
  <si>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</si>
  <si>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</si>
  <si>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</si>
  <si>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</si>
  <si>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</si>
  <si>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</si>
  <si>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</si>
  <si>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</si>
  <si>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</si>
  <si>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</si>
  <si>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</si>
  <si>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</si>
  <si>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</si>
  <si>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</si>
  <si>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</si>
  <si>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</si>
  <si>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</si>
  <si>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</si>
  <si>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</si>
  <si>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</si>
  <si>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</si>
  <si>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</si>
  <si>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</si>
  <si>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</si>
  <si>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</si>
  <si>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</si>
  <si>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</si>
  <si>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</si>
  <si>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</si>
  <si>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</si>
  <si>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</si>
  <si>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</si>
  <si>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</si>
  <si>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</si>
  <si>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</si>
  <si>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</si>
  <si>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</si>
  <si>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</si>
  <si>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</si>
  <si>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</si>
  <si>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</si>
  <si>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</si>
  <si>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</si>
  <si>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</si>
  <si>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</si>
  <si>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</si>
  <si>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</si>
  <si>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</si>
  <si>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</si>
  <si>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</si>
  <si>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</si>
  <si>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</si>
  <si>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</si>
  <si>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</si>
  <si>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</si>
  <si>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</si>
  <si>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</si>
  <si>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</si>
  <si>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</si>
  <si>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</si>
  <si>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</si>
  <si>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</si>
  <si>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</si>
  <si>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</si>
  <si>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</si>
  <si>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</si>
  <si>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</si>
  <si>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</si>
  <si>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</si>
  <si>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</si>
  <si>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</si>
  <si>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</si>
  <si>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</si>
  <si>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</si>
  <si>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</si>
  <si>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</si>
  <si>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</si>
  <si>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</si>
  <si>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</si>
  <si>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</si>
  <si>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</si>
  <si>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</si>
  <si>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</si>
  <si>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</si>
  <si>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</si>
  <si>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</si>
  <si>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</si>
  <si>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</si>
  <si>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</si>
  <si>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</si>
  <si>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</si>
  <si>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</si>
  <si>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</si>
  <si>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</si>
  <si>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</si>
  <si>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</si>
  <si>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</si>
  <si>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</si>
  <si>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</si>
  <si>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</si>
  <si>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</si>
  <si>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</si>
  <si>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</si>
  <si>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</si>
  <si>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</si>
  <si>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</si>
  <si>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</si>
  <si>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</si>
  <si>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</si>
  <si>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</si>
  <si>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</si>
  <si>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</si>
  <si>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</si>
  <si>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</si>
  <si>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</si>
  <si>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</si>
  <si>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</si>
  <si>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</si>
  <si>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</si>
  <si>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</si>
  <si>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</si>
  <si>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</si>
  <si>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</si>
  <si>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</si>
  <si>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</si>
  <si>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</si>
  <si>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</si>
  <si>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</si>
  <si>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</si>
  <si>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</si>
  <si>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</si>
  <si>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</si>
  <si>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</si>
  <si>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</si>
  <si>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</si>
  <si>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</si>
  <si>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</si>
  <si>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</si>
  <si>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</si>
  <si>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</si>
  <si>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</si>
  <si>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</si>
  <si>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</si>
  <si>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</si>
  <si>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</si>
  <si>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</si>
  <si>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</si>
  <si>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</si>
  <si>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</si>
  <si>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</si>
  <si>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</si>
  <si>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</si>
  <si>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</si>
  <si>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</si>
  <si>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</si>
  <si>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</si>
  <si>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</si>
  <si>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</si>
  <si>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</si>
  <si>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</si>
  <si>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</si>
  <si>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</si>
  <si>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</si>
  <si>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</si>
  <si>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</si>
  <si>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</si>
  <si>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</si>
  <si>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</si>
  <si>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</si>
  <si>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</si>
  <si>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</si>
  <si>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</si>
  <si>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</si>
  <si>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</si>
  <si>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</si>
  <si>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</si>
  <si>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</si>
  <si>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</si>
  <si>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</si>
  <si>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</si>
  <si>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</si>
  <si>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</si>
  <si>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</si>
  <si>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</si>
  <si>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</si>
  <si>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</si>
  <si>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</si>
  <si>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</si>
  <si>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</si>
  <si>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</si>
  <si>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</si>
  <si>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</si>
  <si>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</si>
  <si>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</si>
  <si>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</si>
  <si>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</si>
  <si>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</si>
  <si>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</si>
  <si>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</si>
  <si>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</si>
  <si>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</si>
  <si>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</si>
  <si>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</si>
  <si>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</si>
  <si>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</si>
  <si>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</si>
  <si>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</si>
  <si>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</si>
  <si>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</si>
  <si>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</si>
  <si>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</si>
  <si>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</si>
  <si>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</si>
  <si>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</si>
  <si>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</si>
  <si>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</si>
  <si>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</si>
  <si>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</si>
  <si>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</si>
  <si>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</si>
  <si>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</si>
  <si>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</si>
  <si>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</si>
  <si>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</si>
  <si>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</si>
  <si>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</si>
  <si>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</si>
  <si>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</si>
  <si>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</si>
  <si>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</si>
  <si>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</si>
  <si>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</si>
  <si>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</si>
  <si>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</si>
  <si>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</si>
  <si>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</si>
  <si>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</si>
  <si>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</si>
  <si>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</si>
  <si>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</si>
  <si>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</si>
  <si>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</si>
  <si>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</si>
  <si>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</si>
  <si>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</si>
  <si>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</si>
  <si>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</si>
  <si>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</si>
  <si>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</si>
  <si>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</si>
  <si>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</si>
  <si>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</si>
  <si>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</si>
  <si>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</si>
  <si>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</si>
  <si>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</si>
  <si>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</si>
  <si>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</si>
  <si>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</si>
  <si>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</si>
  <si>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</si>
  <si>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</si>
  <si>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</si>
  <si>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</si>
  <si>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</si>
  <si>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</si>
  <si>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</si>
  <si>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</si>
  <si>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</si>
  <si>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</si>
  <si>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</si>
  <si>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</si>
  <si>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</si>
  <si>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</si>
  <si>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</si>
  <si>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</si>
  <si>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</si>
  <si>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</si>
  <si>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</si>
  <si>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</si>
  <si>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</si>
  <si>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</si>
  <si>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</si>
  <si>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</si>
  <si>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</si>
  <si>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</si>
  <si>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</si>
  <si>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</si>
  <si>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</si>
  <si>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</si>
  <si>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</si>
  <si>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</si>
  <si>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</si>
  <si>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</si>
  <si>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</si>
  <si>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</si>
  <si>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</si>
  <si>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</si>
  <si>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</si>
  <si>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</si>
  <si>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</si>
  <si>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</si>
  <si>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</si>
  <si>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</si>
  <si>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</si>
  <si>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</si>
  <si>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</si>
  <si>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</si>
  <si>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</si>
  <si>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</si>
  <si>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</si>
  <si>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</si>
  <si>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</si>
  <si>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</si>
  <si>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</si>
  <si>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</si>
  <si>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</si>
  <si>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</si>
  <si>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</si>
  <si>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</si>
  <si>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</si>
  <si>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</si>
  <si>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</si>
  <si>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</si>
  <si>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</si>
  <si>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</si>
  <si>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</si>
  <si>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</si>
  <si>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</si>
  <si>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</si>
  <si>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</si>
  <si>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</si>
  <si>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</si>
  <si>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</si>
  <si>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</si>
  <si>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</si>
  <si>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</si>
  <si>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</si>
  <si>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</si>
  <si>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</si>
  <si>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</si>
  <si>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</si>
  <si>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</si>
  <si>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</si>
  <si>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</si>
  <si>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</si>
  <si>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</si>
  <si>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</si>
  <si>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</si>
  <si>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</si>
  <si>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</si>
  <si>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</si>
  <si>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</si>
  <si>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</si>
  <si>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</si>
  <si>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</si>
  <si>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</si>
  <si>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</si>
  <si>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</si>
  <si>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</si>
  <si>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</si>
  <si>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</si>
  <si>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</si>
  <si>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</si>
  <si>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</si>
  <si>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</si>
  <si>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</si>
  <si>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</si>
  <si>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</si>
  <si>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</si>
  <si>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</si>
  <si>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</si>
  <si>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</si>
  <si>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</si>
  <si>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</si>
  <si>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</si>
  <si>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</si>
  <si>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</si>
  <si>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</si>
  <si>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</si>
  <si>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</si>
  <si>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</si>
  <si>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</si>
  <si>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</si>
  <si>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</si>
  <si>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</si>
  <si>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</si>
  <si>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</si>
  <si>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</si>
  <si>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</si>
  <si>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</si>
  <si>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</si>
  <si>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</si>
  <si>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</si>
  <si>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</si>
  <si>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</si>
  <si>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</si>
  <si>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</si>
  <si>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</si>
  <si>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</si>
  <si>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</si>
  <si>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</si>
  <si>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</si>
  <si>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</si>
  <si>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</si>
  <si>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</si>
  <si>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</si>
  <si>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</si>
  <si>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</si>
  <si>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</si>
  <si>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</si>
  <si>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</si>
  <si>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</si>
  <si>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</si>
  <si>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</si>
  <si>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</si>
  <si>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</si>
  <si>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</si>
  <si>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</si>
  <si>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</si>
  <si>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</si>
  <si>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</si>
  <si>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</si>
  <si>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</si>
  <si>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</si>
  <si>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</si>
  <si>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</si>
  <si>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</si>
  <si>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</si>
  <si>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</si>
  <si>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</si>
  <si>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</si>
  <si>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</si>
  <si>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</si>
  <si>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</si>
  <si>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</si>
  <si>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</si>
  <si>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</si>
  <si>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</si>
  <si>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</si>
  <si>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</si>
  <si>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</si>
  <si>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</si>
  <si>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</si>
  <si>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</si>
  <si>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</si>
  <si>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</si>
  <si>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</si>
  <si>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</si>
  <si>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</si>
  <si>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</si>
  <si>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</si>
  <si>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</si>
  <si>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</si>
  <si>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</si>
  <si>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</si>
  <si>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</si>
  <si>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</si>
  <si>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</si>
  <si>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</si>
  <si>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</si>
  <si>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</si>
  <si>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</si>
  <si>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</si>
  <si>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</si>
  <si>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</si>
  <si>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</si>
  <si>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</si>
  <si>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</si>
  <si>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</si>
  <si>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</si>
  <si>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</si>
  <si>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</si>
  <si>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</si>
  <si>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</si>
  <si>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</si>
  <si>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</si>
  <si>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</si>
  <si>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</si>
  <si>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</si>
  <si>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</si>
  <si>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</si>
  <si>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</si>
  <si>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</si>
  <si>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</si>
  <si>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</si>
  <si>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</si>
  <si>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</si>
  <si>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</si>
  <si>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</si>
  <si>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</si>
  <si>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</si>
  <si>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</si>
  <si>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</si>
  <si>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</si>
  <si>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</si>
  <si>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</si>
  <si>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</si>
  <si>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</si>
  <si>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</si>
  <si>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</si>
  <si>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</si>
  <si>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</si>
  <si>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</si>
  <si>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</si>
  <si>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</si>
  <si>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</si>
  <si>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</si>
  <si>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</si>
  <si>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</si>
  <si>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</si>
  <si>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</si>
  <si>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</si>
  <si>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</si>
  <si>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</si>
  <si>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</si>
  <si>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</si>
  <si>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</si>
  <si>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</si>
  <si>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</si>
  <si>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</si>
  <si>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</si>
  <si>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</si>
  <si>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</si>
  <si>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</si>
  <si>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</si>
  <si>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</si>
  <si>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</si>
  <si>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</si>
  <si>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</si>
  <si>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</si>
  <si>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</si>
  <si>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</si>
  <si>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</si>
  <si>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</si>
  <si>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</si>
  <si>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</si>
  <si>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</si>
  <si>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</si>
  <si>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</si>
  <si>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</si>
  <si>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</si>
  <si>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</si>
  <si>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</si>
  <si>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</si>
  <si>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</si>
  <si>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</si>
  <si>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</si>
  <si>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</si>
  <si>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</si>
  <si>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</si>
  <si>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</si>
  <si>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</si>
  <si>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</si>
  <si>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</si>
  <si>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</si>
  <si>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</si>
  <si>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</si>
  <si>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</si>
  <si>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</si>
  <si>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</si>
  <si>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</si>
  <si>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</si>
  <si>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</si>
  <si>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</si>
  <si>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</si>
  <si>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</si>
  <si>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</si>
  <si>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</si>
  <si>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</si>
  <si>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</si>
  <si>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</si>
  <si>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</si>
  <si>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</si>
  <si>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</si>
  <si>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</si>
  <si>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</si>
  <si>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</si>
  <si>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</si>
  <si>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</si>
  <si>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</si>
  <si>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</si>
  <si>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</si>
  <si>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</si>
  <si>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</si>
  <si>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</si>
  <si>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</si>
  <si>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</si>
  <si>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</si>
  <si>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</si>
  <si>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</si>
  <si>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</si>
  <si>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</si>
  <si>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</si>
  <si>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</si>
  <si>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</si>
  <si>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</si>
  <si>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</si>
  <si>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</si>
  <si>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</si>
  <si>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</si>
  <si>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</si>
  <si>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</si>
  <si>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</si>
  <si>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</si>
  <si>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</si>
  <si>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</si>
  <si>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</si>
  <si>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</si>
  <si>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</si>
  <si>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</si>
  <si>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</si>
  <si>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</si>
  <si>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</si>
  <si>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</si>
  <si>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</si>
  <si>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</si>
  <si>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</si>
  <si>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</si>
  <si>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</si>
  <si>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</si>
  <si>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</si>
  <si>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</si>
  <si>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</si>
  <si>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</si>
  <si>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</si>
  <si>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</si>
  <si>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</si>
  <si>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</si>
  <si>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</si>
  <si>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</si>
  <si>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</si>
  <si>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</si>
  <si>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</si>
  <si>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</si>
  <si>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</si>
  <si>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</si>
  <si>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</si>
  <si>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</si>
  <si>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</si>
  <si>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</si>
  <si>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</si>
  <si>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</si>
  <si>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</si>
  <si>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</si>
  <si>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</si>
  <si>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</si>
  <si>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</si>
  <si>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</si>
  <si>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</si>
  <si>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</si>
  <si>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</si>
  <si>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</si>
  <si>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</si>
  <si>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</si>
  <si>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</si>
  <si>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</si>
  <si>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</si>
  <si>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</si>
  <si>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</si>
  <si>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</si>
  <si>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</si>
  <si>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</si>
  <si>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</si>
  <si>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</si>
  <si>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</si>
  <si>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</si>
  <si>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</si>
  <si>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</si>
  <si>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</si>
  <si>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</si>
  <si>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</si>
  <si>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</si>
  <si>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</si>
  <si>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</si>
  <si>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</si>
  <si>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</si>
  <si>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</si>
  <si>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</si>
  <si>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</si>
  <si>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</si>
  <si>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</si>
  <si>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</si>
  <si>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</si>
  <si>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</si>
  <si>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</si>
  <si>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</si>
  <si>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</si>
  <si>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</si>
  <si>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</si>
  <si>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</si>
  <si>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</si>
  <si>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</si>
  <si>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</si>
  <si>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</si>
  <si>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</si>
  <si>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</si>
  <si>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</si>
  <si>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</si>
  <si>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</si>
  <si>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</si>
  <si>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</si>
  <si>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</si>
  <si>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</si>
  <si>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</si>
  <si>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</si>
  <si>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</si>
  <si>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</si>
  <si>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</si>
  <si>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</si>
  <si>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</si>
  <si>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</si>
  <si>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</si>
  <si>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</si>
  <si>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</si>
  <si>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</si>
  <si>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</si>
  <si>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</si>
  <si>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</si>
  <si>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</si>
  <si>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</si>
  <si>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</si>
  <si>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</si>
  <si>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</si>
  <si>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</si>
  <si>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</si>
  <si>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</si>
  <si>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</si>
  <si>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</si>
  <si>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</si>
  <si>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</si>
  <si>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</si>
  <si>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</si>
  <si>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</si>
  <si>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</si>
  <si>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</si>
  <si>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</si>
  <si>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</si>
  <si>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</si>
  <si>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</si>
  <si>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</si>
  <si>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</si>
  <si>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</si>
  <si>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</si>
  <si>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</si>
  <si>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</si>
  <si>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</si>
  <si>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</si>
  <si>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</si>
  <si>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</si>
  <si>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</si>
  <si>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</si>
  <si>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</si>
  <si>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</si>
  <si>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</si>
  <si>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</si>
  <si>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</si>
  <si>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</si>
  <si>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</si>
  <si>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</si>
  <si>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</si>
  <si>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</si>
  <si>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</si>
  <si>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</si>
  <si>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</si>
  <si>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</si>
  <si>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</si>
  <si>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</si>
  <si>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</si>
  <si>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</si>
  <si>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</si>
  <si>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</si>
  <si>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</si>
  <si>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</si>
  <si>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</si>
  <si>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</si>
  <si>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</si>
  <si>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</si>
  <si>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</si>
  <si>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</si>
  <si>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</si>
  <si>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</si>
  <si>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</si>
  <si>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</si>
  <si>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</si>
  <si>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</si>
  <si>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</si>
  <si>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</si>
  <si>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</si>
  <si>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</si>
  <si>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</si>
  <si>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</si>
  <si>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</si>
  <si>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</si>
  <si>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</si>
  <si>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</si>
  <si>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</si>
  <si>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</si>
  <si>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</si>
  <si>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</si>
  <si>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</si>
  <si>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</si>
  <si>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</si>
  <si>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</si>
  <si>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</si>
  <si>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</si>
  <si>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</si>
  <si>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</si>
  <si>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</si>
  <si>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</si>
  <si>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</si>
  <si>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</si>
  <si>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</si>
  <si>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</si>
  <si>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</si>
  <si>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</si>
  <si>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</si>
  <si>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</si>
  <si>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</si>
  <si>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</si>
  <si>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</si>
  <si>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</si>
  <si>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</si>
  <si>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</si>
  <si>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</si>
  <si>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</si>
  <si>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</si>
  <si>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</si>
  <si>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</si>
  <si>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</si>
  <si>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</si>
  <si>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</si>
  <si>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</si>
  <si>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</si>
  <si>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</si>
  <si>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</si>
  <si>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</si>
  <si>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</si>
  <si>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</si>
  <si>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</si>
  <si>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</si>
  <si>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</si>
  <si>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</si>
  <si>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</si>
  <si>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</si>
  <si>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</si>
  <si>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</si>
  <si>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</si>
  <si>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</si>
  <si>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</si>
  <si>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</si>
  <si>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</si>
  <si>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</si>
  <si>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</si>
  <si>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</si>
  <si>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</si>
  <si>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</si>
  <si>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</si>
  <si>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</si>
  <si>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</si>
  <si>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</si>
  <si>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</si>
  <si>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</si>
  <si>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</si>
  <si>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</si>
  <si>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</si>
  <si>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</si>
  <si>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</si>
  <si>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</si>
  <si>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</si>
  <si>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</si>
  <si>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</si>
  <si>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</si>
  <si>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</si>
  <si>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</si>
  <si>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</si>
  <si>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</si>
  <si>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</si>
  <si>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</si>
  <si>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</si>
  <si>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</si>
  <si>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</si>
  <si>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</si>
  <si>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</si>
  <si>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</si>
  <si>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</si>
  <si>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</si>
  <si>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</si>
  <si>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</si>
  <si>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</si>
  <si>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</si>
  <si>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</si>
  <si>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</si>
  <si>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</si>
  <si>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</si>
  <si>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</si>
  <si>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</si>
  <si>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</si>
  <si>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</si>
  <si>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</si>
  <si>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</si>
  <si>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</si>
  <si>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</si>
  <si>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</si>
  <si>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</si>
  <si>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</si>
  <si>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</si>
  <si>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</si>
  <si>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</si>
  <si>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</si>
  <si>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</si>
  <si>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</si>
  <si>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</si>
  <si>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</si>
  <si>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</si>
  <si>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</si>
  <si>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</si>
  <si>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</si>
  <si>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</si>
  <si>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</si>
  <si>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</si>
  <si>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</si>
  <si>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</si>
  <si>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</si>
  <si>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</si>
  <si>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</si>
  <si>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</si>
  <si>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</si>
  <si>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</si>
  <si>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</si>
  <si>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</si>
  <si>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</si>
  <si>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</si>
  <si>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</si>
  <si>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</si>
  <si>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</si>
  <si>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</si>
  <si>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</si>
  <si>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</si>
  <si>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</si>
  <si>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</si>
  <si>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</si>
  <si>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</si>
  <si>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</si>
  <si>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</si>
  <si>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</si>
  <si>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</si>
  <si>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</si>
  <si>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</si>
  <si>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</si>
  <si>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</si>
  <si>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</si>
  <si>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</si>
  <si>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</si>
  <si>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</si>
  <si>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</si>
  <si>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</si>
  <si>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</si>
  <si>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</si>
  <si>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</si>
  <si>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</si>
  <si>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</si>
  <si>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</si>
  <si>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</si>
  <si>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</si>
  <si>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</si>
  <si>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</si>
  <si>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</si>
  <si>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</si>
  <si>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</si>
  <si>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</si>
  <si>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</si>
  <si>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</si>
  <si>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</si>
  <si>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</si>
  <si>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</si>
  <si>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</si>
  <si>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</si>
  <si>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</si>
  <si>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</si>
  <si>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</si>
  <si>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</si>
  <si>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</si>
  <si>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</si>
  <si>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</si>
  <si>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</si>
  <si>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</si>
  <si>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</si>
  <si>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</si>
  <si>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</si>
  <si>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</si>
  <si>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</si>
  <si>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</si>
  <si>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</si>
  <si>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</si>
  <si>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</si>
  <si>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</si>
  <si>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</si>
  <si>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</si>
  <si>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</si>
  <si>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</si>
  <si>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</si>
  <si>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</si>
  <si>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</si>
  <si>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</si>
  <si>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</si>
  <si>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</si>
  <si>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</si>
  <si>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</si>
  <si>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</si>
  <si>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</si>
  <si>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</si>
  <si>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</si>
  <si>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</si>
  <si>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</si>
  <si>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</si>
  <si>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</si>
  <si>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</si>
  <si>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</si>
  <si>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</si>
  <si>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</si>
  <si>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</si>
  <si>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</si>
  <si>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</si>
  <si>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</si>
  <si>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</si>
  <si>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</si>
  <si>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</si>
  <si>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</si>
  <si>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</si>
  <si>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</si>
  <si>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</si>
  <si>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</si>
  <si>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</si>
  <si>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</si>
  <si>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</si>
  <si>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</si>
  <si>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</si>
  <si>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</si>
  <si>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</si>
  <si>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</si>
  <si>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</si>
  <si>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</si>
  <si>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</si>
  <si>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</si>
  <si>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</si>
  <si>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</si>
  <si>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</si>
  <si>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</si>
  <si>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</si>
  <si>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</si>
  <si>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</si>
  <si>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</si>
  <si>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</si>
  <si>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</si>
  <si>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</si>
  <si>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</si>
  <si>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</si>
  <si>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</si>
  <si>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</si>
  <si>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</si>
  <si>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</si>
  <si>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</si>
  <si>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</si>
  <si>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</si>
  <si>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</si>
  <si>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</si>
  <si>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</si>
  <si>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</si>
  <si>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</si>
  <si>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</si>
  <si>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</si>
  <si>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</si>
  <si>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</si>
  <si>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</si>
  <si>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</si>
  <si>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</si>
  <si>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</si>
  <si>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</si>
  <si>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</si>
  <si>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</si>
  <si>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</si>
  <si>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</si>
  <si>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</si>
  <si>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</si>
  <si>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</si>
  <si>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</si>
  <si>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</si>
  <si>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</si>
  <si>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</si>
  <si>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</si>
  <si>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</si>
  <si>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</si>
  <si>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</si>
  <si>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</si>
  <si>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</si>
  <si>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</si>
  <si>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</si>
  <si>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</si>
  <si>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</si>
  <si>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</si>
  <si>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</si>
  <si>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</si>
  <si>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</si>
  <si>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</si>
  <si>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</si>
  <si>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</si>
  <si>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</si>
  <si>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</si>
  <si>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</si>
  <si>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</si>
  <si>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</si>
  <si>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</si>
  <si>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</si>
  <si>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</si>
  <si>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</si>
  <si>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</si>
  <si>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</si>
  <si>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</si>
  <si>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</si>
  <si>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</si>
  <si>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</si>
  <si>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</si>
  <si>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</si>
  <si>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</si>
  <si>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</si>
  <si>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</si>
  <si>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</si>
  <si>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</si>
  <si>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</si>
  <si>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</si>
  <si>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</si>
  <si>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</si>
  <si>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</si>
  <si>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</si>
  <si>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</si>
  <si>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</si>
  <si>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</si>
  <si>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</si>
  <si>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</si>
  <si>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</si>
  <si>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</si>
  <si>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</si>
  <si>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</si>
  <si>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</si>
  <si>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</si>
  <si>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</si>
  <si>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</si>
  <si>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</si>
  <si>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</si>
  <si>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</si>
  <si>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</si>
  <si>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</si>
  <si>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</si>
  <si>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</si>
  <si>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</si>
  <si>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</si>
  <si>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</si>
  <si>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</si>
  <si>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</si>
  <si>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</si>
  <si>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</si>
  <si>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</si>
  <si>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</si>
  <si>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</si>
  <si>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</si>
  <si>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</si>
  <si>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</si>
  <si>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</si>
  <si>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</si>
  <si>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</si>
  <si>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</si>
  <si>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</si>
  <si>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</si>
  <si>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</si>
  <si>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</si>
  <si>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</si>
  <si>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</si>
  <si>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</si>
  <si>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</si>
  <si>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</si>
  <si>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</si>
  <si>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</si>
  <si>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</si>
  <si>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</si>
  <si>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</si>
  <si>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</si>
  <si>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</si>
  <si>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</si>
  <si>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</si>
  <si>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</si>
  <si>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</si>
  <si>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</si>
  <si>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</si>
  <si>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</si>
  <si>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</si>
  <si>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</si>
  <si>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</si>
  <si>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</si>
  <si>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</si>
  <si>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</si>
  <si>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</si>
  <si>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</si>
  <si>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</si>
  <si>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</si>
  <si>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</si>
  <si>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</si>
  <si>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</si>
  <si>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</si>
  <si>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</si>
  <si>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</si>
  <si>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</si>
  <si>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</si>
  <si>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</si>
  <si>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</si>
  <si>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</si>
  <si>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</si>
  <si>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</si>
  <si>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</si>
  <si>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</si>
  <si>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</si>
  <si>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</si>
  <si>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</si>
  <si>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</si>
  <si>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</si>
  <si>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</si>
  <si>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</si>
  <si>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</si>
  <si>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</si>
  <si>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</si>
  <si>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</si>
  <si>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</si>
  <si>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</si>
  <si>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</si>
  <si>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</si>
  <si>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</si>
  <si>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</si>
  <si>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</si>
  <si>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</si>
  <si>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</si>
  <si>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</si>
  <si>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</si>
  <si>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</si>
  <si>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</si>
  <si>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</si>
  <si>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</si>
  <si>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</si>
  <si>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</si>
  <si>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</si>
  <si>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</si>
  <si>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</si>
  <si>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</si>
  <si>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</si>
  <si>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</si>
  <si>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</si>
  <si>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</si>
  <si>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</si>
  <si>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</si>
  <si>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</si>
  <si>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</si>
  <si>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</si>
  <si>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</si>
  <si>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</si>
  <si>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</si>
  <si>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</si>
  <si>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</si>
  <si>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</si>
  <si>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</si>
  <si>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</si>
  <si>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</si>
  <si>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</si>
  <si>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</si>
  <si>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</si>
  <si>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</si>
  <si>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</si>
  <si>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</si>
  <si>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</si>
  <si>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</si>
  <si>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</si>
  <si>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</si>
  <si>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</si>
  <si>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</si>
  <si>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</si>
  <si>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</si>
  <si>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</si>
  <si>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</si>
  <si>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</si>
  <si>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</si>
  <si>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</si>
  <si>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</si>
  <si>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</si>
  <si>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</si>
  <si>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</si>
  <si>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</si>
  <si>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</si>
  <si>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</si>
  <si>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</si>
  <si>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</si>
  <si>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</si>
  <si>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</si>
  <si>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</si>
  <si>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</si>
  <si>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</si>
  <si>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</si>
  <si>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</si>
  <si>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</si>
  <si>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</si>
  <si>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</si>
  <si>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</si>
  <si>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</si>
  <si>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</si>
  <si>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</si>
  <si>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</si>
  <si>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</si>
  <si>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</si>
  <si>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</si>
  <si>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</si>
  <si>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</si>
  <si>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</si>
  <si>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</si>
  <si>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</si>
  <si>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</si>
  <si>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</si>
  <si>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</si>
  <si>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</si>
  <si>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</si>
  <si>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</si>
  <si>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</si>
  <si>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</si>
  <si>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</si>
  <si>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</si>
  <si>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</si>
  <si>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</si>
  <si>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</si>
  <si>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</si>
  <si>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</si>
  <si>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</si>
  <si>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</si>
  <si>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</si>
  <si>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</si>
  <si>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</si>
  <si>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</si>
  <si>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</si>
  <si>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</si>
  <si>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</si>
  <si>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</si>
  <si>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</si>
  <si>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</si>
  <si>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</si>
  <si>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</si>
  <si>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</si>
  <si>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</si>
  <si>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</si>
  <si>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</si>
  <si>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</si>
  <si>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</si>
  <si>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</si>
  <si>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</si>
  <si>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</si>
  <si>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</si>
  <si>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</si>
  <si>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</si>
  <si>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</si>
  <si>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</si>
  <si>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</si>
  <si>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</si>
  <si>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</si>
  <si>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</si>
  <si>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</si>
  <si>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</si>
  <si>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</si>
  <si>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</si>
  <si>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</si>
  <si>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</si>
  <si>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</si>
  <si>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</si>
  <si>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</si>
  <si>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</si>
  <si>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</si>
  <si>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</si>
  <si>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</si>
  <si>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</si>
  <si>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</si>
  <si>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</si>
  <si>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</si>
  <si>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</si>
  <si>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</si>
  <si>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</si>
  <si>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</si>
  <si>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</si>
  <si>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</si>
  <si>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</si>
  <si>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</si>
  <si>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</si>
  <si>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</si>
  <si>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</si>
  <si>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</si>
  <si>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</si>
  <si>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</si>
  <si>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</si>
  <si>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</si>
  <si>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</si>
  <si>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</si>
  <si>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</si>
  <si>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</si>
  <si>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</si>
  <si>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</si>
  <si>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</si>
  <si>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</si>
  <si>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</si>
  <si>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</si>
  <si>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</si>
  <si>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</si>
  <si>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</si>
  <si>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</si>
  <si>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</si>
  <si>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</si>
  <si>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</si>
  <si>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</si>
  <si>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</si>
  <si>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</si>
  <si>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</si>
  <si>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</si>
  <si>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</si>
  <si>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</si>
  <si>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</si>
  <si>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</si>
  <si>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</si>
  <si>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</si>
  <si>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</si>
  <si>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</si>
  <si>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</si>
  <si>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</si>
  <si>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</si>
  <si>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</si>
  <si>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</si>
  <si>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</si>
  <si>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</si>
  <si>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</si>
  <si>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</si>
  <si>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</si>
  <si>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</si>
  <si>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</si>
  <si>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</si>
  <si>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</si>
  <si>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</si>
  <si>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</si>
  <si>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</si>
  <si>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</si>
  <si>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</si>
  <si>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</si>
  <si>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</si>
  <si>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</si>
  <si>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</si>
  <si>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</si>
  <si>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</si>
  <si>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</si>
  <si>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</si>
  <si>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</si>
  <si>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</si>
  <si>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</si>
  <si>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</si>
  <si>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</si>
  <si>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</si>
  <si>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</si>
  <si>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</si>
  <si>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</si>
  <si>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</si>
  <si>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</si>
  <si>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</si>
  <si>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</si>
  <si>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</si>
  <si>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</si>
  <si>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</si>
  <si>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</si>
  <si>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</si>
  <si>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</si>
  <si>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</si>
  <si>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</si>
  <si>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</si>
  <si>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</si>
  <si>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</si>
  <si>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</si>
  <si>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</si>
  <si>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</si>
  <si>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</si>
  <si>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</si>
  <si>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</si>
  <si>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</si>
  <si>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</si>
  <si>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</si>
  <si>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</si>
  <si>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</si>
  <si>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</si>
  <si>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</si>
  <si>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</si>
  <si>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</si>
  <si>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</si>
  <si>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</si>
  <si>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</si>
  <si>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</si>
  <si>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</si>
  <si>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</si>
  <si>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</si>
  <si>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</si>
  <si>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</si>
  <si>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</si>
  <si>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</si>
  <si>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</si>
  <si>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</si>
  <si>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</si>
  <si>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</si>
  <si>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</si>
  <si>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</si>
  <si>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</si>
  <si>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</si>
  <si>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</si>
  <si>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</si>
  <si>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</si>
  <si>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</si>
  <si>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</si>
  <si>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</si>
  <si>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</si>
  <si>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</si>
  <si>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</si>
  <si>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</si>
  <si>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</si>
  <si>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</si>
  <si>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</si>
  <si>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</si>
  <si>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</si>
  <si>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</si>
  <si>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</si>
  <si>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</si>
  <si>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</si>
  <si>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</si>
  <si>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</si>
  <si>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</si>
  <si>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</si>
  <si>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</si>
  <si>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</si>
  <si>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</si>
  <si>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</si>
  <si>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</si>
  <si>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</si>
  <si>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</si>
  <si>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</si>
  <si>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</si>
  <si>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</si>
  <si>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</si>
  <si>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</si>
  <si>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</si>
  <si>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</si>
  <si>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</si>
  <si>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</si>
  <si>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</si>
  <si>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</si>
  <si>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</si>
  <si>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</si>
  <si>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</si>
  <si>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</si>
  <si>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</si>
  <si>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</si>
  <si>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</si>
  <si>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</si>
  <si>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</si>
  <si>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</si>
  <si>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</si>
  <si>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</si>
  <si>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</si>
  <si>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</si>
  <si>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</si>
  <si>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</si>
  <si>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</si>
  <si>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</si>
  <si>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</si>
  <si>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</si>
  <si>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</si>
  <si>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</si>
  <si>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</si>
  <si>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</si>
  <si>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</si>
  <si>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</si>
  <si>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</si>
  <si>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</si>
  <si>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</si>
  <si>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</si>
  <si>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</si>
  <si>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</si>
  <si>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</si>
  <si>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</si>
  <si>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</si>
  <si>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</si>
  <si>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</si>
  <si>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</si>
  <si>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</si>
  <si>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</si>
  <si>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</si>
  <si>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</si>
  <si>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</si>
  <si>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</si>
  <si>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</si>
  <si>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</si>
  <si>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</si>
  <si>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</si>
  <si>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</si>
  <si>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</si>
  <si>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</si>
  <si>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</si>
  <si>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</si>
  <si>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</si>
  <si>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</si>
  <si>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</si>
  <si>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</si>
  <si>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</si>
  <si>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</si>
  <si>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</si>
  <si>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</si>
  <si>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</si>
  <si>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</si>
  <si>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</si>
  <si>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</si>
  <si>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</si>
  <si>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</si>
  <si>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</si>
  <si>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</si>
  <si>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</si>
  <si>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</si>
  <si>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</si>
  <si>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</si>
  <si>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</si>
  <si>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</si>
  <si>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</si>
  <si>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</si>
  <si>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</si>
  <si>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</si>
  <si>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</si>
  <si>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</si>
  <si>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</si>
  <si>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</si>
  <si>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</si>
  <si>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</si>
  <si>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</si>
  <si>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</si>
  <si>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</si>
  <si>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</si>
  <si>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</si>
  <si>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</si>
  <si>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</si>
  <si>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</si>
  <si>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</si>
  <si>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</si>
  <si>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</si>
  <si>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</si>
  <si>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</si>
  <si>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</si>
  <si>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</si>
  <si>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</si>
  <si>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</si>
  <si>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</si>
  <si>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</si>
  <si>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</si>
  <si>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</si>
  <si>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</si>
  <si>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</si>
  <si>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</si>
  <si>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</si>
  <si>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</si>
  <si>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</si>
  <si>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</si>
  <si>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</si>
  <si>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</si>
  <si>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</si>
  <si>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</si>
  <si>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</si>
  <si>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</si>
  <si>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</si>
  <si>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</si>
  <si>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</si>
  <si>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</si>
  <si>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</si>
  <si>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</si>
  <si>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</si>
  <si>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</si>
  <si>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</si>
  <si>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</si>
  <si>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</si>
  <si>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</si>
  <si>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</si>
  <si>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</si>
  <si>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</si>
  <si>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</si>
  <si>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</si>
  <si>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</si>
  <si>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</si>
  <si>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</si>
  <si>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</si>
  <si>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</si>
  <si>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</si>
  <si>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</si>
  <si>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</si>
  <si>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</si>
  <si>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</si>
  <si>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</si>
  <si>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</si>
  <si>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</si>
  <si>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</si>
  <si>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</si>
  <si>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</si>
  <si>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</si>
  <si>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</si>
  <si>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</si>
  <si>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</si>
  <si>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</si>
  <si>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</si>
  <si>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</si>
  <si>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</si>
  <si>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</si>
  <si>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</si>
  <si>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</si>
  <si>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</si>
  <si>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</si>
  <si>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</si>
  <si>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</si>
  <si>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</si>
  <si>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</si>
  <si>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</si>
  <si>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</si>
  <si>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</si>
  <si>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</si>
  <si>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</si>
  <si>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</si>
  <si>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</si>
  <si>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</si>
  <si>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</si>
  <si>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</si>
  <si>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</si>
  <si>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</si>
  <si>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</si>
  <si>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</si>
  <si>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</si>
  <si>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</si>
  <si>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</si>
  <si>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</si>
  <si>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</si>
  <si>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</si>
  <si>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</si>
  <si>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</si>
  <si>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</si>
  <si>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</si>
  <si>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</si>
  <si>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</si>
  <si>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</si>
  <si>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</si>
  <si>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</si>
  <si>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</si>
  <si>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</si>
  <si>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</si>
  <si>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</si>
  <si>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</si>
  <si>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</si>
  <si>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</si>
  <si>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</si>
  <si>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</si>
  <si>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</si>
  <si>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</si>
  <si>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</si>
  <si>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</si>
  <si>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</si>
  <si>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</si>
  <si>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</si>
  <si>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</si>
  <si>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</si>
  <si>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</si>
  <si>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</si>
  <si>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</si>
  <si>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</si>
  <si>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</si>
  <si>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</si>
  <si>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</si>
  <si>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</si>
  <si>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</si>
  <si>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</si>
  <si>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</si>
  <si>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</si>
  <si>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</si>
  <si>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</si>
  <si>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</si>
  <si>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</si>
  <si>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</si>
  <si>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</si>
  <si>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</si>
  <si>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</si>
  <si>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</si>
  <si>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</si>
  <si>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</si>
  <si>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</si>
  <si>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</si>
  <si>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</si>
  <si>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</si>
  <si>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</si>
  <si>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</si>
  <si>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</si>
  <si>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</si>
  <si>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</si>
  <si>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</si>
  <si>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</si>
  <si>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</si>
  <si>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</si>
  <si>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</si>
  <si>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</si>
  <si>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</si>
  <si>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</si>
  <si>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</si>
  <si>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</si>
  <si>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</si>
  <si>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</si>
  <si>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</si>
  <si>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</si>
  <si>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</si>
  <si>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</si>
  <si>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</si>
  <si>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</si>
  <si>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</si>
  <si>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</si>
  <si>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</si>
  <si>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</si>
  <si>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</si>
  <si>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</si>
  <si>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</si>
  <si>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</si>
  <si>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</si>
  <si>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</si>
  <si>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</si>
  <si>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</si>
  <si>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</si>
  <si>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</si>
  <si>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</si>
  <si>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</si>
  <si>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</si>
  <si>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</si>
  <si>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</si>
  <si>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</si>
  <si>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</si>
  <si>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</si>
  <si>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</si>
  <si>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</si>
  <si>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</si>
  <si>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</si>
  <si>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</si>
  <si>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</si>
  <si>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</si>
  <si>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</si>
  <si>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</si>
  <si>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</si>
  <si>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</si>
  <si>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</si>
  <si>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</si>
  <si>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</si>
  <si>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</si>
  <si>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</si>
  <si>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</si>
  <si>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</si>
  <si>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</si>
  <si>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</si>
  <si>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</si>
  <si>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</si>
  <si>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</si>
  <si>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</si>
  <si>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</si>
  <si>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</si>
  <si>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</si>
  <si>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</si>
  <si>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</si>
  <si>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</si>
  <si>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</si>
  <si>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</si>
  <si>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</si>
  <si>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</si>
  <si>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</si>
  <si>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</si>
  <si>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</si>
  <si>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</si>
  <si>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</si>
  <si>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</si>
  <si>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</si>
  <si>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</si>
  <si>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</si>
  <si>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</si>
  <si>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</si>
  <si>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</si>
  <si>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</si>
  <si>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</si>
  <si>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</si>
  <si>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</si>
  <si>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</si>
  <si>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</si>
  <si>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</si>
  <si>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</si>
  <si>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</si>
  <si>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</si>
  <si>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</si>
  <si>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</si>
  <si>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</si>
  <si>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</si>
  <si>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</si>
  <si>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</si>
  <si>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</si>
  <si>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</si>
  <si>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</si>
  <si>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</si>
  <si>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</si>
  <si>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</si>
  <si>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</si>
  <si>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</si>
  <si>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</si>
  <si>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</si>
  <si>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</si>
  <si>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</si>
  <si>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</si>
  <si>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</si>
  <si>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</si>
  <si>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</si>
  <si>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</si>
  <si>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</si>
  <si>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</si>
  <si>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</si>
  <si>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</si>
  <si>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</si>
  <si>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</si>
  <si>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</si>
  <si>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</si>
  <si>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</si>
  <si>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</si>
  <si>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</si>
  <si>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</si>
  <si>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</si>
  <si>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</si>
  <si>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</si>
  <si>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</si>
  <si>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</si>
  <si>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</si>
  <si>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</si>
  <si>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</si>
  <si>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</si>
  <si>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</si>
  <si>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</si>
  <si>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</si>
  <si>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</si>
  <si>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</si>
  <si>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</si>
  <si>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</si>
  <si>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</si>
  <si>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</si>
  <si>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</si>
  <si>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</si>
  <si>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</si>
  <si>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</si>
  <si>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</si>
  <si>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</si>
  <si>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</si>
  <si>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</si>
  <si>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</si>
  <si>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</si>
  <si>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</si>
  <si>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</si>
  <si>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</si>
  <si>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</si>
  <si>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</si>
  <si>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</si>
  <si>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</si>
  <si>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</si>
  <si>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</si>
  <si>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</si>
  <si>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</si>
  <si>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</si>
  <si>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</si>
  <si>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</si>
  <si>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</si>
  <si>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</si>
  <si>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</si>
  <si>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</si>
  <si>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</si>
  <si>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</si>
  <si>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</si>
  <si>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</si>
  <si>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</si>
  <si>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</si>
  <si>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</si>
  <si>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</si>
  <si>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</si>
  <si>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</si>
  <si>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</si>
  <si>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</si>
  <si>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</si>
  <si>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</si>
  <si>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</si>
  <si>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</si>
  <si>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</si>
  <si>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</si>
  <si>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</si>
  <si>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</si>
  <si>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</si>
  <si>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</si>
  <si>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</si>
  <si>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</si>
  <si>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</si>
  <si>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</si>
  <si>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</si>
  <si>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</si>
  <si>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</si>
  <si>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</si>
  <si>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</si>
  <si>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</si>
  <si>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</si>
  <si>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</si>
  <si>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</si>
  <si>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</si>
  <si>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</si>
  <si>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</si>
  <si>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</si>
  <si>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</si>
  <si>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</si>
  <si>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</si>
  <si>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</si>
  <si>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</si>
  <si>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</si>
  <si>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</si>
  <si>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</si>
  <si>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</si>
  <si>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</si>
  <si>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</si>
  <si>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</si>
  <si>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</si>
  <si>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</si>
  <si>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</si>
  <si>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</si>
  <si>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</si>
  <si>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</si>
  <si>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</si>
  <si>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</si>
  <si>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</si>
  <si>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</si>
  <si>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</si>
  <si>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</si>
  <si>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</si>
  <si>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</si>
  <si>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</si>
  <si>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</si>
  <si>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</si>
  <si>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</si>
  <si>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</si>
  <si>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</si>
  <si>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</si>
  <si>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</si>
  <si>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</si>
  <si>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</si>
  <si>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</si>
  <si>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</si>
  <si>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</si>
  <si>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</si>
  <si>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</si>
  <si>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</si>
  <si>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</si>
  <si>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</si>
  <si>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</si>
  <si>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</si>
  <si>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</si>
  <si>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</si>
  <si>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</si>
  <si>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</si>
  <si>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</si>
  <si>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</si>
  <si>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</si>
  <si>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</si>
  <si>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</si>
  <si>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</si>
  <si>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</si>
  <si>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</si>
  <si>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</si>
  <si>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</si>
  <si>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</si>
  <si>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</si>
  <si>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</si>
  <si>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</si>
  <si>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</si>
  <si>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</si>
  <si>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</si>
  <si>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</si>
  <si>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</si>
  <si>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</si>
  <si>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</si>
  <si>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</si>
  <si>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</si>
  <si>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</si>
  <si>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</si>
  <si>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</si>
  <si>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</si>
  <si>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</si>
  <si>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</si>
  <si>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</si>
  <si>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</si>
  <si>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</si>
  <si>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</si>
  <si>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</si>
  <si>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</si>
  <si>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</si>
  <si>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</si>
  <si>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</si>
  <si>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</si>
  <si>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</si>
  <si>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</si>
  <si>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</si>
  <si>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</si>
  <si>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</si>
  <si>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</si>
  <si>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</si>
  <si>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</si>
  <si>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</si>
  <si>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</si>
  <si>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</si>
  <si>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</si>
  <si>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</si>
  <si>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</si>
  <si>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</si>
  <si>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</si>
  <si>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</si>
  <si>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</si>
  <si>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</si>
  <si>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</si>
  <si>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</si>
  <si>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</si>
  <si>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</si>
  <si>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</si>
  <si>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</si>
  <si>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</si>
  <si>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</si>
  <si>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</si>
  <si>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</si>
  <si>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</si>
  <si>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</si>
  <si>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</si>
  <si>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</si>
  <si>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</si>
  <si>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</si>
  <si>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</si>
  <si>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</si>
  <si>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</si>
  <si>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</si>
  <si>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</si>
  <si>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</si>
  <si>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</si>
  <si>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</si>
  <si>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</si>
  <si>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</si>
  <si>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</si>
  <si>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</si>
  <si>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</si>
  <si>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</si>
  <si>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</si>
  <si>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</si>
  <si>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</si>
  <si>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</si>
  <si>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</si>
  <si>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</si>
  <si>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</si>
  <si>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</si>
  <si>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</si>
  <si>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</si>
  <si>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</si>
  <si>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</si>
  <si>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</si>
  <si>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</si>
  <si>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</si>
  <si>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</si>
  <si>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</si>
  <si>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</si>
  <si>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</si>
  <si>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</si>
  <si>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</si>
  <si>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</si>
  <si>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</si>
  <si>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</si>
  <si>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</si>
  <si>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</si>
  <si>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</si>
  <si>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</si>
  <si>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</si>
  <si>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</si>
  <si>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</si>
  <si>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</si>
  <si>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</si>
  <si>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</si>
  <si>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</si>
  <si>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</si>
  <si>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</si>
  <si>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</si>
  <si>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</si>
  <si>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</si>
  <si>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</si>
  <si>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</si>
  <si>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</si>
  <si>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</si>
  <si>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</si>
  <si>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</si>
  <si>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</si>
  <si>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</si>
  <si>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</si>
  <si>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</si>
  <si>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</si>
  <si>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</si>
  <si>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</si>
  <si>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</si>
  <si>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</si>
  <si>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</si>
  <si>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</si>
  <si>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</si>
  <si>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</si>
  <si>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</si>
  <si>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</si>
  <si>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</si>
  <si>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</si>
  <si>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</si>
  <si>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</si>
  <si>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</si>
  <si>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</si>
  <si>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</si>
  <si>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</si>
  <si>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</si>
  <si>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</si>
  <si>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</si>
  <si>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</si>
  <si>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</si>
  <si>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</si>
  <si>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</si>
  <si>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</si>
  <si>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</si>
  <si>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</si>
  <si>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</si>
  <si>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</si>
  <si>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</si>
  <si>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</si>
  <si>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</si>
  <si>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</si>
  <si>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</si>
  <si>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</si>
  <si>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</si>
  <si>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</si>
  <si>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</si>
  <si>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</si>
  <si>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</si>
  <si>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</si>
  <si>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</si>
  <si>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</si>
  <si>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</si>
  <si>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</si>
  <si>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</si>
  <si>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</si>
  <si>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</si>
  <si>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</si>
  <si>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</si>
  <si>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</si>
  <si>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</si>
  <si>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</si>
  <si>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</si>
  <si>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</si>
  <si>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</si>
  <si>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</si>
  <si>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</si>
  <si>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</si>
  <si>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</si>
  <si>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</si>
  <si>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</si>
  <si>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</si>
  <si>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</si>
  <si>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</si>
  <si>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</si>
  <si>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</si>
  <si>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</si>
  <si>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</si>
  <si>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</si>
  <si>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</si>
  <si>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</si>
  <si>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</si>
  <si>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</si>
  <si>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</si>
  <si>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</si>
  <si>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</si>
  <si>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</si>
  <si>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</si>
  <si>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</si>
  <si>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</si>
  <si>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</si>
  <si>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</si>
  <si>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</si>
  <si>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</si>
  <si>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</si>
  <si>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</si>
  <si>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</si>
  <si>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</si>
  <si>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</si>
  <si>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</si>
  <si>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</si>
  <si>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</si>
  <si>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</si>
  <si>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</si>
  <si>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</si>
  <si>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</si>
  <si>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</si>
  <si>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</si>
  <si>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</si>
  <si>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</si>
  <si>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</si>
  <si>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</si>
  <si>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</si>
  <si>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</si>
  <si>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</si>
  <si>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</si>
  <si>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</si>
  <si>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</si>
  <si>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</si>
  <si>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</si>
  <si>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</si>
  <si>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</si>
  <si>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</si>
  <si>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</si>
  <si>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</si>
  <si>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</si>
  <si>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</si>
  <si>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</si>
  <si>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</si>
  <si>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</si>
  <si>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</si>
  <si>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</si>
  <si>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</si>
  <si>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</si>
  <si>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</si>
  <si>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</si>
  <si>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</si>
  <si>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</si>
  <si>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</si>
  <si>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</si>
  <si>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</si>
  <si>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</si>
  <si>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</si>
  <si>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</si>
  <si>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</si>
  <si>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</si>
  <si>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</si>
  <si>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</si>
  <si>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</si>
  <si>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</si>
  <si>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</si>
  <si>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</si>
  <si>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</si>
  <si>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</si>
  <si>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</si>
  <si>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</si>
  <si>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</si>
  <si>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</si>
  <si>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</si>
  <si>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</si>
  <si>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</si>
  <si>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</si>
  <si>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</si>
  <si>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</si>
  <si>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</si>
  <si>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</si>
  <si>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</si>
  <si>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</si>
  <si>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</si>
  <si>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</si>
  <si>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</si>
  <si>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</si>
  <si>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</si>
  <si>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</si>
  <si>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</si>
  <si>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</si>
  <si>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</si>
  <si>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</si>
  <si>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</si>
  <si>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</si>
  <si>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</si>
  <si>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</si>
  <si>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</si>
  <si>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</si>
  <si>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</si>
  <si>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</si>
  <si>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</si>
  <si>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</si>
  <si>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</si>
  <si>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</si>
  <si>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</si>
  <si>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</si>
  <si>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</si>
  <si>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</si>
  <si>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</si>
  <si>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</si>
  <si>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</si>
  <si>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</si>
  <si>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</si>
  <si>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</si>
  <si>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</si>
  <si>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</si>
  <si>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</si>
  <si>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</si>
  <si>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</si>
  <si>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</si>
  <si>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</si>
  <si>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</si>
  <si>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</si>
  <si>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</si>
  <si>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</si>
  <si>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</si>
  <si>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</si>
  <si>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</si>
  <si>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</si>
  <si>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</si>
  <si>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</si>
  <si>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</si>
  <si>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</si>
  <si>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</si>
  <si>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</si>
  <si>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</si>
  <si>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</si>
  <si>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</si>
  <si>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</si>
  <si>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</si>
  <si>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</si>
  <si>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</si>
  <si>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</si>
  <si>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</si>
  <si>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</si>
  <si>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</si>
  <si>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</si>
  <si>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</si>
  <si>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</si>
  <si>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</si>
  <si>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</si>
  <si>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</si>
  <si>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</si>
  <si>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</si>
  <si>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</si>
  <si>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</si>
  <si>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</si>
  <si>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</si>
  <si>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</si>
  <si>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</si>
  <si>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</si>
  <si>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</si>
  <si>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</si>
  <si>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</si>
  <si>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</si>
  <si>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</si>
  <si>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</si>
  <si>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</si>
  <si>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</si>
  <si>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</si>
  <si>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</si>
  <si>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</si>
  <si>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</si>
  <si>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</si>
  <si>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</si>
  <si>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</si>
  <si>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</si>
  <si>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</si>
  <si>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</si>
  <si>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</si>
  <si>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</si>
  <si>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</si>
  <si>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</si>
  <si>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</si>
  <si>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</si>
  <si>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</si>
  <si>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</si>
  <si>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</si>
  <si>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</si>
  <si>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</si>
  <si>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</si>
  <si>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</si>
  <si>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</si>
  <si>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</si>
  <si>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</si>
  <si>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</si>
  <si>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</si>
  <si>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</si>
  <si>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</si>
  <si>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</si>
  <si>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</si>
  <si>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</si>
  <si>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</si>
  <si>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</si>
  <si>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</si>
  <si>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</si>
  <si>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</si>
  <si>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</si>
  <si>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</si>
  <si>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</si>
  <si>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</si>
  <si>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</si>
  <si>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</si>
  <si>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</si>
  <si>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</si>
  <si>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</si>
  <si>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</si>
  <si>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</si>
  <si>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</si>
  <si>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</si>
  <si>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</si>
  <si>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</si>
  <si>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</si>
  <si>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</si>
  <si>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</si>
  <si>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</si>
  <si>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</si>
  <si>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</si>
  <si>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</si>
  <si>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</si>
  <si>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</si>
  <si>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</si>
  <si>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</si>
  <si>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</si>
  <si>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</si>
  <si>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</si>
  <si>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</si>
  <si>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</si>
  <si>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</si>
  <si>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</si>
  <si>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</si>
  <si>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</si>
  <si>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</si>
  <si>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</si>
  <si>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</si>
  <si>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</si>
  <si>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</si>
  <si>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</si>
  <si>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</si>
  <si>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</si>
  <si>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</si>
  <si>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</si>
  <si>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</si>
  <si>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</si>
  <si>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</si>
  <si>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</si>
  <si>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</si>
  <si>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</si>
  <si>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</si>
  <si>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</si>
  <si>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</si>
  <si>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</si>
  <si>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</si>
  <si>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</si>
  <si>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</si>
  <si>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</si>
  <si>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</si>
  <si>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</si>
  <si>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</si>
  <si>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</si>
  <si>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</si>
  <si>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</si>
  <si>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</si>
  <si>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</si>
  <si>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</si>
  <si>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</si>
  <si>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</si>
  <si>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</si>
  <si>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</si>
  <si>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</si>
  <si>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</si>
  <si>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</si>
  <si>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</si>
  <si>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</si>
  <si>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</si>
  <si>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</si>
  <si>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</si>
  <si>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</si>
  <si>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</si>
  <si>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</si>
  <si>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</si>
  <si>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</si>
  <si>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</si>
  <si>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</si>
  <si>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</si>
  <si>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</si>
  <si>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</si>
  <si>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</si>
  <si>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</si>
  <si>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</si>
  <si>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</si>
  <si>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</si>
  <si>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</si>
  <si>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</si>
  <si>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</si>
  <si>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</si>
  <si>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</si>
  <si>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</si>
  <si>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</si>
  <si>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</si>
  <si>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</si>
  <si>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</si>
  <si>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</si>
  <si>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</si>
  <si>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</si>
  <si>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</si>
  <si>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</si>
  <si>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</si>
  <si>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</si>
  <si>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</si>
  <si>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</si>
  <si>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</si>
  <si>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</si>
  <si>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</si>
  <si>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</si>
  <si>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</si>
  <si>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</si>
  <si>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</si>
  <si>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</si>
  <si>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</si>
  <si>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</si>
  <si>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</si>
  <si>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</si>
  <si>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</si>
  <si>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</si>
  <si>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</si>
  <si>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</si>
  <si>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</si>
  <si>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</si>
  <si>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</si>
  <si>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</si>
  <si>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</si>
  <si>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</si>
  <si>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</si>
  <si>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</si>
  <si>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</si>
  <si>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</si>
  <si>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</si>
  <si>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</si>
  <si>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</si>
  <si>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</si>
  <si>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</si>
  <si>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</si>
  <si>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</si>
  <si>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</si>
  <si>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</si>
  <si>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</si>
  <si>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</si>
  <si>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</si>
  <si>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</si>
  <si>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</si>
  <si>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</si>
  <si>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</si>
  <si>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</si>
  <si>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</si>
  <si>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</si>
  <si>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</si>
  <si>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</si>
  <si>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</si>
  <si>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</si>
  <si>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</si>
  <si>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</si>
  <si>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</si>
  <si>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</si>
  <si>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</si>
  <si>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</si>
  <si>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</si>
  <si>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</si>
  <si>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</si>
  <si>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</si>
  <si>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</si>
  <si>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</si>
  <si>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</si>
  <si>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</si>
  <si>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</si>
  <si>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</si>
  <si>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</si>
  <si>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</si>
  <si>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</si>
  <si>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</si>
  <si>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</si>
  <si>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</si>
  <si>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</si>
  <si>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</si>
  <si>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</si>
  <si>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</si>
  <si>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</si>
  <si>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</si>
  <si>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</si>
  <si>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</si>
  <si>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</si>
  <si>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</si>
  <si>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</si>
  <si>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</si>
  <si>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</si>
  <si>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</si>
  <si>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</si>
  <si>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</si>
  <si>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</si>
  <si>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</si>
  <si>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</si>
  <si>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</si>
  <si>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</si>
  <si>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</si>
  <si>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</si>
  <si>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</si>
  <si>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</si>
  <si>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</si>
  <si>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</si>
  <si>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</si>
  <si>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</si>
  <si>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</si>
  <si>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</si>
  <si>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</si>
  <si>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</si>
  <si>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</si>
  <si>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</si>
  <si>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</si>
  <si>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</si>
  <si>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</si>
  <si>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</si>
  <si>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</si>
  <si>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</si>
  <si>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</si>
  <si>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</si>
  <si>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</si>
  <si>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</si>
  <si>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</si>
  <si>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</si>
  <si>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</si>
  <si>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</si>
  <si>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</si>
  <si>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</si>
  <si>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</si>
  <si>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</si>
  <si>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</si>
  <si>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</si>
  <si>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</si>
  <si>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</si>
  <si>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</si>
  <si>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</si>
  <si>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</si>
  <si>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</si>
  <si>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</si>
  <si>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</si>
  <si>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</si>
  <si>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</si>
  <si>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</si>
  <si>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</si>
  <si>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</si>
  <si>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</si>
  <si>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</si>
  <si>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</si>
  <si>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</si>
  <si>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</si>
  <si>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</si>
  <si>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</si>
  <si>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</si>
  <si>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</si>
  <si>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</si>
  <si>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</si>
  <si>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</si>
  <si>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</si>
  <si>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</si>
  <si>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</si>
  <si>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</si>
  <si>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</si>
  <si>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</si>
  <si>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</si>
  <si>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</si>
  <si>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</si>
  <si>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</si>
  <si>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</si>
  <si>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</si>
  <si>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</si>
  <si>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</si>
  <si>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</si>
  <si>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</si>
  <si>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</si>
  <si>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</si>
  <si>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</si>
  <si>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</si>
  <si>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</si>
  <si>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</si>
  <si>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</si>
  <si>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</si>
  <si>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</si>
  <si>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</si>
  <si>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</si>
  <si>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</si>
  <si>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</si>
  <si>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</si>
  <si>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</si>
  <si>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</si>
  <si>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</si>
  <si>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</si>
  <si>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</si>
  <si>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</si>
  <si>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</si>
  <si>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</si>
  <si>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</si>
  <si>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</si>
  <si>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</si>
  <si>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</si>
  <si>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</si>
  <si>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</si>
  <si>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</si>
  <si>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</si>
  <si>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</si>
  <si>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</si>
  <si>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</si>
  <si>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</si>
  <si>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</si>
  <si>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</si>
  <si>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</si>
  <si>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</si>
  <si>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</si>
  <si>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</si>
  <si>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</si>
  <si>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</si>
  <si>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</si>
  <si>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</si>
  <si>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</si>
  <si>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</si>
  <si>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</si>
  <si>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</si>
  <si>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</si>
  <si>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</si>
  <si>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</si>
  <si>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</si>
  <si>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</si>
  <si>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</si>
  <si>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</si>
  <si>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</si>
  <si>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</si>
  <si>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</si>
  <si>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</si>
  <si>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</si>
  <si>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</si>
  <si>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</si>
  <si>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</si>
  <si>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</si>
  <si>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</si>
  <si>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</si>
  <si>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</si>
  <si>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</si>
  <si>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</si>
  <si>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</si>
  <si>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</si>
  <si>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</si>
  <si>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</si>
  <si>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</si>
  <si>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</si>
  <si>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</si>
  <si>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</si>
  <si>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</si>
  <si>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</si>
  <si>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</si>
  <si>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</si>
  <si>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</si>
  <si>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</si>
  <si>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</si>
  <si>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</si>
  <si>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</si>
  <si>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</si>
  <si>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</si>
  <si>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</si>
  <si>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</si>
  <si>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</si>
  <si>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</si>
  <si>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</si>
  <si>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</si>
  <si>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</si>
  <si>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</si>
  <si>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</si>
  <si>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</si>
  <si>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</si>
  <si>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</si>
  <si>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</si>
  <si>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</si>
  <si>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</si>
  <si>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</si>
  <si>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</si>
  <si>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</si>
  <si>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</si>
  <si>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</si>
  <si>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</si>
  <si>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</si>
  <si>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</si>
  <si>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</si>
  <si>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</si>
  <si>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</si>
  <si>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</si>
  <si>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</si>
  <si>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</si>
  <si>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</si>
  <si>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</si>
  <si>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</si>
  <si>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</si>
  <si>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</si>
  <si>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</si>
  <si>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</si>
  <si>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</si>
  <si>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</si>
  <si>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</si>
  <si>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</si>
  <si>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</si>
  <si>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</si>
  <si>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</si>
  <si>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</si>
  <si>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</si>
  <si>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</si>
  <si>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</si>
  <si>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</si>
  <si>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</si>
  <si>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</si>
  <si>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</si>
  <si>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</si>
  <si>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</si>
  <si>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</si>
  <si>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</si>
  <si>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</si>
  <si>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</si>
  <si>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</si>
  <si>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</si>
  <si>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</si>
  <si>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</si>
  <si>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</si>
  <si>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</si>
  <si>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</si>
  <si>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</si>
  <si>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</si>
  <si>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</si>
  <si>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</si>
  <si>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</si>
  <si>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</si>
  <si>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</si>
  <si>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</si>
  <si>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</si>
  <si>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</si>
  <si>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</si>
  <si>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</si>
  <si>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</si>
  <si>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</si>
  <si>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</si>
  <si>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</si>
  <si>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</si>
  <si>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</si>
  <si>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</si>
  <si>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</si>
  <si>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</si>
  <si>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</si>
  <si>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</si>
  <si>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</si>
  <si>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</si>
  <si>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</si>
  <si>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</si>
  <si>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</si>
  <si>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</si>
  <si>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</si>
  <si>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</si>
  <si>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</si>
  <si>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</si>
  <si>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</si>
  <si>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</si>
  <si>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</si>
  <si>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</si>
  <si>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</si>
  <si>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</si>
  <si>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</si>
  <si>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</si>
  <si>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</si>
  <si>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</si>
  <si>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</si>
  <si>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</si>
  <si>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</si>
  <si>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</si>
  <si>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</si>
  <si>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</si>
  <si>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</si>
  <si>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</si>
  <si>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</si>
  <si>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</si>
  <si>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</si>
  <si>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</si>
  <si>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</si>
  <si>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</si>
  <si>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</si>
  <si>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</si>
  <si>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</si>
  <si>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</si>
  <si>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</si>
  <si>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</si>
  <si>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</si>
  <si>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</si>
  <si>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</si>
  <si>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</si>
  <si>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</si>
  <si>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</si>
  <si>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</si>
  <si>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</si>
  <si>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</si>
  <si>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</si>
  <si>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</si>
  <si>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</si>
  <si>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</si>
  <si>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</si>
  <si>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</si>
  <si>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</si>
  <si>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</si>
  <si>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</si>
  <si>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</si>
  <si>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</si>
  <si>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</si>
  <si>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</si>
  <si>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</si>
  <si>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</si>
  <si>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</si>
  <si>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</si>
  <si>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</si>
  <si>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</si>
  <si>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</si>
  <si>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</si>
  <si>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</si>
  <si>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</si>
  <si>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</si>
  <si>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</si>
  <si>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</si>
  <si>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</si>
  <si>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</si>
  <si>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</si>
  <si>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</si>
  <si>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</si>
  <si>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</si>
  <si>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</si>
  <si>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</si>
  <si>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</si>
  <si>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</si>
  <si>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</si>
  <si>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</si>
  <si>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</si>
  <si>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</si>
  <si>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</si>
  <si>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</si>
  <si>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</si>
  <si>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</si>
  <si>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</si>
  <si>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</si>
  <si>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</si>
  <si>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</si>
  <si>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</si>
  <si>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</si>
  <si>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</si>
  <si>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</si>
  <si>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</si>
  <si>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</si>
  <si>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</si>
  <si>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</si>
  <si>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</si>
  <si>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</si>
  <si>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</si>
  <si>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</si>
  <si>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</si>
  <si>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</si>
  <si>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</si>
  <si>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</si>
  <si>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</si>
  <si>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</si>
  <si>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</si>
  <si>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</si>
  <si>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</si>
  <si>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</si>
  <si>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</si>
  <si>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</si>
  <si>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</si>
  <si>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</si>
  <si>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</si>
  <si>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</si>
  <si>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</si>
  <si>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</si>
  <si>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</si>
  <si>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</si>
  <si>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</si>
  <si>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</si>
  <si>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</si>
  <si>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</si>
  <si>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</si>
  <si>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</si>
  <si>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</si>
  <si>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</si>
  <si>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</si>
  <si>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</si>
  <si>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</si>
  <si>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</si>
  <si>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</si>
  <si>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</si>
  <si>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</si>
  <si>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</si>
  <si>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</si>
  <si>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</si>
  <si>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</si>
  <si>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</si>
  <si>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</si>
  <si>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</si>
  <si>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</si>
  <si>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</si>
  <si>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</si>
  <si>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</si>
  <si>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</si>
  <si>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</si>
  <si>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</si>
  <si>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</si>
  <si>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</si>
  <si>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</si>
  <si>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</si>
  <si>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</si>
  <si>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</si>
  <si>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</si>
  <si>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</si>
  <si>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</si>
  <si>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</si>
  <si>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</si>
  <si>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</si>
  <si>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</si>
  <si>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</si>
  <si>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</si>
  <si>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</si>
  <si>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</si>
  <si>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</si>
  <si>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</si>
  <si>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</si>
  <si>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</si>
  <si>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</si>
  <si>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</si>
  <si>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</si>
  <si>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</si>
  <si>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</si>
  <si>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</si>
  <si>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</si>
  <si>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</si>
  <si>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</si>
  <si>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</si>
  <si>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</si>
  <si>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</si>
  <si>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</si>
  <si>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</si>
  <si>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</si>
  <si>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</si>
  <si>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</si>
  <si>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</si>
  <si>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</si>
  <si>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</si>
  <si>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</si>
  <si>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</si>
  <si>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</si>
  <si>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</si>
  <si>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</si>
  <si>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</si>
  <si>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</si>
  <si>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</si>
  <si>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</si>
  <si>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</si>
  <si>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</si>
  <si>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</si>
  <si>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</si>
  <si>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</si>
  <si>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</si>
  <si>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</si>
  <si>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</si>
  <si>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</si>
  <si>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</si>
  <si>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</si>
  <si>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</si>
  <si>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</si>
  <si>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</si>
  <si>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</si>
  <si>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</si>
  <si>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</si>
  <si>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</si>
  <si>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</si>
  <si>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</si>
  <si>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</si>
  <si>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</si>
  <si>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</si>
  <si>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</si>
  <si>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</si>
  <si>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</si>
  <si>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</si>
  <si>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</si>
  <si>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</si>
  <si>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</si>
  <si>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</si>
  <si>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</si>
  <si>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</si>
  <si>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</si>
  <si>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</si>
  <si>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</si>
  <si>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</si>
  <si>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</si>
  <si>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</si>
  <si>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</si>
  <si>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</si>
  <si>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</si>
  <si>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</si>
  <si>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</si>
  <si>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</si>
  <si>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</si>
  <si>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</si>
  <si>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</si>
  <si>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</si>
  <si>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</si>
  <si>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</si>
  <si>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</si>
  <si>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</si>
  <si>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</si>
  <si>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</si>
  <si>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</si>
  <si>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</si>
  <si>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</si>
  <si>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</si>
  <si>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</si>
  <si>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</si>
  <si>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</si>
  <si>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</si>
  <si>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</si>
  <si>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</si>
  <si>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</si>
  <si>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</si>
  <si>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</si>
  <si>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</si>
  <si>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</si>
  <si>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</si>
  <si>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</si>
  <si>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</si>
  <si>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</si>
  <si>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</si>
  <si>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</si>
  <si>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</si>
  <si>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</si>
  <si>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</si>
  <si>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</si>
  <si>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</si>
  <si>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</si>
  <si>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</si>
  <si>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</si>
  <si>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</si>
  <si>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</si>
  <si>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</si>
  <si>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</si>
  <si>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</si>
  <si>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</si>
  <si>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</si>
  <si>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</si>
  <si>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</si>
  <si>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</si>
  <si>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</si>
  <si>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</si>
  <si>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</si>
  <si>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</si>
  <si>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</si>
  <si>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</si>
  <si>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</si>
  <si>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</si>
  <si>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</si>
  <si>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</si>
  <si>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</si>
  <si>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</si>
  <si>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</si>
  <si>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</si>
  <si>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</si>
  <si>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</si>
  <si>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</si>
  <si>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</si>
  <si>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</si>
  <si>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</si>
  <si>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</si>
  <si>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</si>
  <si>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</si>
  <si>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</si>
  <si>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</si>
  <si>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</si>
  <si>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</si>
  <si>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</si>
  <si>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</si>
  <si>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</si>
  <si>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</si>
  <si>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</si>
  <si>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</si>
  <si>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</si>
  <si>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</si>
  <si>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</si>
  <si>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</si>
  <si>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</si>
  <si>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</si>
  <si>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</si>
  <si>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</si>
  <si>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</si>
  <si>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</si>
  <si>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</si>
  <si>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</si>
  <si>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</si>
  <si>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</si>
  <si>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</si>
  <si>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</si>
  <si>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</si>
  <si>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</si>
  <si>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</si>
  <si>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</si>
  <si>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</si>
  <si>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</si>
  <si>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</si>
  <si>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</si>
  <si>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</si>
  <si>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</si>
  <si>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</si>
  <si>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</si>
  <si>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</si>
  <si>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</si>
  <si>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</si>
  <si>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</si>
  <si>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</si>
  <si>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</si>
  <si>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</si>
  <si>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</si>
  <si>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</si>
  <si>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</si>
  <si>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</si>
  <si>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</si>
  <si>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</si>
  <si>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</si>
  <si>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</si>
  <si>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</si>
  <si>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</si>
  <si>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</si>
  <si>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</si>
  <si>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</si>
  <si>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</si>
  <si>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</si>
  <si>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</si>
  <si>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</si>
  <si>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</si>
  <si>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</si>
  <si>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</si>
  <si>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</si>
  <si>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</si>
  <si>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</si>
  <si>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</si>
  <si>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</si>
  <si>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</si>
  <si>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</si>
  <si>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</si>
  <si>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</si>
  <si>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</si>
  <si>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</si>
  <si>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</si>
  <si>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</si>
  <si>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</si>
  <si>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</si>
  <si>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</si>
  <si>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</si>
  <si>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</si>
  <si>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</si>
  <si>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</si>
  <si>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</si>
  <si>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</si>
  <si>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</si>
  <si>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</si>
  <si>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</si>
  <si>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</si>
  <si>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</si>
  <si>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</si>
  <si>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</si>
  <si>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</si>
  <si>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</si>
  <si>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</si>
  <si>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</si>
  <si>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</si>
  <si>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</si>
  <si>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</si>
  <si>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</si>
  <si>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</si>
  <si>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</si>
  <si>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</si>
  <si>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</si>
  <si>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</si>
  <si>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</si>
  <si>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</si>
  <si>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</si>
  <si>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</si>
  <si>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</si>
  <si>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</si>
  <si>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</si>
  <si>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</si>
  <si>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</si>
  <si>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</si>
  <si>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</si>
  <si>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</si>
  <si>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</si>
  <si>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</si>
  <si>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</si>
  <si>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</si>
  <si>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</si>
  <si>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</si>
  <si>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</si>
  <si>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</si>
  <si>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</si>
  <si>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</si>
  <si>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</si>
  <si>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</si>
  <si>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</si>
  <si>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</si>
  <si>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</si>
  <si>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</si>
  <si>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</si>
  <si>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</si>
  <si>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</si>
  <si>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</si>
  <si>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</si>
  <si>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</si>
  <si>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</si>
  <si>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</si>
  <si>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</si>
  <si>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</si>
  <si>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</si>
  <si>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</si>
  <si>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</si>
  <si>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</si>
  <si>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</si>
  <si>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</si>
  <si>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</si>
  <si>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</si>
  <si>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</si>
  <si>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</si>
  <si>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</si>
  <si>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</si>
  <si>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</si>
  <si>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</si>
  <si>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</si>
  <si>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</si>
  <si>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</si>
  <si>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</si>
  <si>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</si>
  <si>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</si>
  <si>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</si>
  <si>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</si>
  <si>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</si>
  <si>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</si>
  <si>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</si>
  <si>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</si>
  <si>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</si>
  <si>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</si>
  <si>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</si>
  <si>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</si>
  <si>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</si>
  <si>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</si>
  <si>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</si>
  <si>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</si>
  <si>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</si>
  <si>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</si>
  <si>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</si>
  <si>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</si>
  <si>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</si>
  <si>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</si>
  <si>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</si>
  <si>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</si>
  <si>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</si>
  <si>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</si>
  <si>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</si>
  <si>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</si>
  <si>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</si>
  <si>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</si>
  <si>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</si>
  <si>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</si>
  <si>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</si>
  <si>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</si>
  <si>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</si>
  <si>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</si>
  <si>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</si>
  <si>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</si>
  <si>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</si>
  <si>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</si>
  <si>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</si>
  <si>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</si>
  <si>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</si>
  <si>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</si>
  <si>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</si>
  <si>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</si>
  <si>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</si>
  <si>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</si>
  <si>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</si>
  <si>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</si>
  <si>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</si>
  <si>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</si>
  <si>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</si>
  <si>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</si>
  <si>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</si>
  <si>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</si>
  <si>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</si>
  <si>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</si>
  <si>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</si>
  <si>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</si>
  <si>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</si>
  <si>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</si>
  <si>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</si>
  <si>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</si>
  <si>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</si>
  <si>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</si>
  <si>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</si>
  <si>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</si>
  <si>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</si>
  <si>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</si>
  <si>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</si>
  <si>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</si>
  <si>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</si>
  <si>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</si>
  <si>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</si>
  <si>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</si>
  <si>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</si>
  <si>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</si>
  <si>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</si>
  <si>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</si>
  <si>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</si>
  <si>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</si>
  <si>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</si>
  <si>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</si>
  <si>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</si>
  <si>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</si>
  <si>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</si>
  <si>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</si>
  <si>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</si>
  <si>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</si>
  <si>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</si>
  <si>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</si>
  <si>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</si>
  <si>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</si>
  <si>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</si>
  <si>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</si>
  <si>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</si>
  <si>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</si>
  <si>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</si>
  <si>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</si>
  <si>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</si>
  <si>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</si>
  <si>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</si>
  <si>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</si>
  <si>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</si>
  <si>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</si>
  <si>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</si>
  <si>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</si>
  <si>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</si>
  <si>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</si>
  <si>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</si>
  <si>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</si>
  <si>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</si>
  <si>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</si>
  <si>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</si>
  <si>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</si>
  <si>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</si>
  <si>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</si>
  <si>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</si>
  <si>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</si>
  <si>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</si>
  <si>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</si>
  <si>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</si>
  <si>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</si>
  <si>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</si>
  <si>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</si>
  <si>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</si>
  <si>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</si>
  <si>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</si>
  <si>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</si>
  <si>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</si>
  <si>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</si>
  <si>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</si>
  <si>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</si>
  <si>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</si>
  <si>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</si>
  <si>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</si>
  <si>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</si>
  <si>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</si>
  <si>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</si>
  <si>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</si>
  <si>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</si>
  <si>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</si>
  <si>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</si>
  <si>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</si>
  <si>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</si>
  <si>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</si>
  <si>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</si>
  <si>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</si>
  <si>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</si>
  <si>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</si>
  <si>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</si>
  <si>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</si>
  <si>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</si>
  <si>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</si>
  <si>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</si>
  <si>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</si>
  <si>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</si>
  <si>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</si>
  <si>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</si>
  <si>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</si>
  <si>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</si>
  <si>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</si>
  <si>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</si>
  <si>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</si>
  <si>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</si>
  <si>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</si>
  <si>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</si>
  <si>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</si>
  <si>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</si>
  <si>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</si>
  <si>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</si>
  <si>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</si>
  <si>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</si>
  <si>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</si>
  <si>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</si>
  <si>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</si>
  <si>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</si>
  <si>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</si>
  <si>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</si>
  <si>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</si>
  <si>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</si>
  <si>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</si>
  <si>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</si>
  <si>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</si>
  <si>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</si>
  <si>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</si>
  <si>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</si>
  <si>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</si>
  <si>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</si>
  <si>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</si>
  <si>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</si>
  <si>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</si>
  <si>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</si>
  <si>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</si>
  <si>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</si>
  <si>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</si>
  <si>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</si>
  <si>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</si>
  <si>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</si>
  <si>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</si>
  <si>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</si>
  <si>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</si>
  <si>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</si>
  <si>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</si>
  <si>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</si>
  <si>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</si>
  <si>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</si>
  <si>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</si>
  <si>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</si>
  <si>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</si>
  <si>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</si>
  <si>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</si>
  <si>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</si>
  <si>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</si>
  <si>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</si>
  <si>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</si>
  <si>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</si>
  <si>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</si>
  <si>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</si>
  <si>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</si>
  <si>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</si>
  <si>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</si>
  <si>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</si>
  <si>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</si>
  <si>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</si>
  <si>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</si>
  <si>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</si>
  <si>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</si>
  <si>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</si>
  <si>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</si>
  <si>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</si>
  <si>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</si>
  <si>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</si>
  <si>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</si>
  <si>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</si>
  <si>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</si>
  <si>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</si>
  <si>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</si>
  <si>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</si>
  <si>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</si>
  <si>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</si>
  <si>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</si>
  <si>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</si>
  <si>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</si>
  <si>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</si>
  <si>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</si>
  <si>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</si>
  <si>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</si>
  <si>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</si>
  <si>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</si>
  <si>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</si>
  <si>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</si>
  <si>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</si>
  <si>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</si>
  <si>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</si>
  <si>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</si>
  <si>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</si>
  <si>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</si>
  <si>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</si>
  <si>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</si>
  <si>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</si>
  <si>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</si>
  <si>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</si>
  <si>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</si>
  <si>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</si>
  <si>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</si>
  <si>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</si>
  <si>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</si>
  <si>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</si>
  <si>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</si>
  <si>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</si>
  <si>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</si>
  <si>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</si>
  <si>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</si>
  <si>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</si>
  <si>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</si>
  <si>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</si>
  <si>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</si>
  <si>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</si>
  <si>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</si>
  <si>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</si>
  <si>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</si>
  <si>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</si>
  <si>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</si>
  <si>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</si>
  <si>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</si>
  <si>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</si>
  <si>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</si>
  <si>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</si>
  <si>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</si>
  <si>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</si>
  <si>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</si>
  <si>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</si>
  <si>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</si>
  <si>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</si>
  <si>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</si>
  <si>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</si>
  <si>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</si>
  <si>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</si>
  <si>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</si>
  <si>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</si>
  <si>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</si>
  <si>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</si>
  <si>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</si>
  <si>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</si>
  <si>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</si>
  <si>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</si>
  <si>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</si>
  <si>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</si>
  <si>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</si>
  <si>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</si>
  <si>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</si>
  <si>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</si>
  <si>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</si>
  <si>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</si>
  <si>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</si>
  <si>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</si>
  <si>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</si>
  <si>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</si>
  <si>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</si>
  <si>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</si>
  <si>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</si>
  <si>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</si>
  <si>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</si>
  <si>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</si>
  <si>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</si>
  <si>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</si>
  <si>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</si>
  <si>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</si>
  <si>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</si>
  <si>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</si>
  <si>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</si>
  <si>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</si>
  <si>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</si>
  <si>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</si>
  <si>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</si>
  <si>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</si>
  <si>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</si>
  <si>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</si>
  <si>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</si>
  <si>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</si>
  <si>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</si>
  <si>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</si>
  <si>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</si>
  <si>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</si>
  <si>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</si>
  <si>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</si>
  <si>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</si>
  <si>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</si>
  <si>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</si>
  <si>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</si>
  <si>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</si>
  <si>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</si>
  <si>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</si>
  <si>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</si>
  <si>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</si>
  <si>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</si>
  <si>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</si>
  <si>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</si>
  <si>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</si>
  <si>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</si>
  <si>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</si>
  <si>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</si>
  <si>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</si>
  <si>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</si>
  <si>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</si>
  <si>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</si>
  <si>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</si>
  <si>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</si>
  <si>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</si>
  <si>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</si>
  <si>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</si>
  <si>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</si>
  <si>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</si>
  <si>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</si>
  <si>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</si>
  <si>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</si>
  <si>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</si>
  <si>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</si>
  <si>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</si>
  <si>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</si>
  <si>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</si>
  <si>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</si>
  <si>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</si>
  <si>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</si>
  <si>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</si>
  <si>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</si>
  <si>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</si>
  <si>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</si>
  <si>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</si>
  <si>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</si>
  <si>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</si>
  <si>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</si>
  <si>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</si>
  <si>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</si>
  <si>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</si>
  <si>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</si>
  <si>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</si>
  <si>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</si>
  <si>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</si>
  <si>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</si>
  <si>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</si>
  <si>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</si>
  <si>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</si>
  <si>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</si>
  <si>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</si>
  <si>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</si>
  <si>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</si>
  <si>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</si>
  <si>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</si>
  <si>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</si>
  <si>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</si>
  <si>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</si>
  <si>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</si>
  <si>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</si>
  <si>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</si>
  <si>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</si>
  <si>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</si>
  <si>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</si>
  <si>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</si>
  <si>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</si>
  <si>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</si>
  <si>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</si>
  <si>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</si>
  <si>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</si>
  <si>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</si>
  <si>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</si>
  <si>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</si>
  <si>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</si>
  <si>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</si>
  <si>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</si>
  <si>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</si>
  <si>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</si>
  <si>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</si>
  <si>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</si>
  <si>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</si>
  <si>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</si>
  <si>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</si>
  <si>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</si>
  <si>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</si>
  <si>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</si>
  <si>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</si>
  <si>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</si>
  <si>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</si>
  <si>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</si>
  <si>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</si>
  <si>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</si>
  <si>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</si>
  <si>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</si>
  <si>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</si>
  <si>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</si>
  <si>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</si>
  <si>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</si>
  <si>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</si>
  <si>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</si>
  <si>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</si>
  <si>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</si>
  <si>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</si>
  <si>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</si>
  <si>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</si>
  <si>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</si>
  <si>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</si>
  <si>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</si>
  <si>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</si>
  <si>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</si>
  <si>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</si>
  <si>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</si>
  <si>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</si>
  <si>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</si>
  <si>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</si>
  <si>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</si>
  <si>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</si>
  <si>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</si>
  <si>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</si>
  <si>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</si>
  <si>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</si>
  <si>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</si>
  <si>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</si>
  <si>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</si>
  <si>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</si>
  <si>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</si>
  <si>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</si>
  <si>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</si>
  <si>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</si>
  <si>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</si>
  <si>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</si>
  <si>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</si>
  <si>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</si>
  <si>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</si>
  <si>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</si>
  <si>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</si>
  <si>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</si>
  <si>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</si>
  <si>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</si>
  <si>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</si>
  <si>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</si>
  <si>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</si>
  <si>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</si>
  <si>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</si>
  <si>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</si>
  <si>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</si>
  <si>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</si>
  <si>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</si>
  <si>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</si>
  <si>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</si>
  <si>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</si>
  <si>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</si>
  <si>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</si>
  <si>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</si>
  <si>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</si>
  <si>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</si>
  <si>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</si>
  <si>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</si>
  <si>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</si>
  <si>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</si>
  <si>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</si>
  <si>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</si>
  <si>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</si>
  <si>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</si>
  <si>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</si>
  <si>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</si>
  <si>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</si>
  <si>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</si>
  <si>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</si>
  <si>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</si>
  <si>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</si>
  <si>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</si>
  <si>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</si>
  <si>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</si>
  <si>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</si>
  <si>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</si>
  <si>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</si>
  <si>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</si>
  <si>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</si>
  <si>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</si>
  <si>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</si>
  <si>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</si>
  <si>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</si>
  <si>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</si>
  <si>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</si>
  <si>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</si>
  <si>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</si>
  <si>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</si>
  <si>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</si>
  <si>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</si>
  <si>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</si>
  <si>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</si>
  <si>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</si>
  <si>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</si>
  <si>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</si>
  <si>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</si>
  <si>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</si>
  <si>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</si>
  <si>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</si>
  <si>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</si>
  <si>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</si>
  <si>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</si>
  <si>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</si>
  <si>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</si>
  <si>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</si>
  <si>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</si>
  <si>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</si>
  <si>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</si>
  <si>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</si>
  <si>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</si>
  <si>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</si>
  <si>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</si>
  <si>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</si>
  <si>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</si>
  <si>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</si>
  <si>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</si>
  <si>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</si>
  <si>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</si>
  <si>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</si>
  <si>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</si>
  <si>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</si>
  <si>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</si>
  <si>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</si>
  <si>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</si>
  <si>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</si>
  <si>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</si>
  <si>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</si>
  <si>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</si>
  <si>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</si>
  <si>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</si>
  <si>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</si>
  <si>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</si>
  <si>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</si>
  <si>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</si>
  <si>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</si>
  <si>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</si>
  <si>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</si>
  <si>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</si>
  <si>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</si>
  <si>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</si>
  <si>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</si>
  <si>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</si>
  <si>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</si>
  <si>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</si>
  <si>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</si>
  <si>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</si>
  <si>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</si>
  <si>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</si>
  <si>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</si>
  <si>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</si>
  <si>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</si>
  <si>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</si>
  <si>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</si>
  <si>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</si>
  <si>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</si>
  <si>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</si>
  <si>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</si>
  <si>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</si>
  <si>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</si>
  <si>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</si>
  <si>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</si>
  <si>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</si>
  <si>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</si>
  <si>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</si>
  <si>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</si>
  <si>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</si>
  <si>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</si>
  <si>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</si>
  <si>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</si>
  <si>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</si>
  <si>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</si>
  <si>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</si>
  <si>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</si>
  <si>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</si>
  <si>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</si>
  <si>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</si>
  <si>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</si>
  <si>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</si>
  <si>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</si>
  <si>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</si>
  <si>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</si>
  <si>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</si>
  <si>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</si>
  <si>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</si>
  <si>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</si>
  <si>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</si>
  <si>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</si>
  <si>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</si>
  <si>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</si>
  <si>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</si>
  <si>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</si>
  <si>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</si>
  <si>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</si>
  <si>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</si>
  <si>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</si>
  <si>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</si>
  <si>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</si>
  <si>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</si>
  <si>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</si>
  <si>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</si>
  <si>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</si>
  <si>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</si>
  <si>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</si>
  <si>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</si>
  <si>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</si>
  <si>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</si>
  <si>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</si>
  <si>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</si>
  <si>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</si>
  <si>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</si>
  <si>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</si>
  <si>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</si>
  <si>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</si>
  <si>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</si>
  <si>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</si>
  <si>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</si>
  <si>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</si>
  <si>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</si>
  <si>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</si>
  <si>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</si>
  <si>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</si>
  <si>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</si>
  <si>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</si>
  <si>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</si>
  <si>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</si>
  <si>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</si>
  <si>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</si>
  <si>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</si>
  <si>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</si>
  <si>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</si>
  <si>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</si>
  <si>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</si>
  <si>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</si>
  <si>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</si>
  <si>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</si>
  <si>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</si>
  <si>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</si>
  <si>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</si>
  <si>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</si>
  <si>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</si>
  <si>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</si>
  <si>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</si>
  <si>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</si>
  <si>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</si>
  <si>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</si>
  <si>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</si>
  <si>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</si>
  <si>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</si>
  <si>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</si>
  <si>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</si>
  <si>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</si>
  <si>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</si>
  <si>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</si>
  <si>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</si>
  <si>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</si>
  <si>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</si>
  <si>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</si>
  <si>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</si>
  <si>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</si>
  <si>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</si>
  <si>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</si>
  <si>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</si>
  <si>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</si>
  <si>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</si>
  <si>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</si>
  <si>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</si>
  <si>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</si>
  <si>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</si>
  <si>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</si>
  <si>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</si>
  <si>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</si>
  <si>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</si>
  <si>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</si>
  <si>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</si>
  <si>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</si>
  <si>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</si>
  <si>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</si>
  <si>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</si>
  <si>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</si>
  <si>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</si>
  <si>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</si>
  <si>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</si>
  <si>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</si>
  <si>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</si>
  <si>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</si>
  <si>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</si>
  <si>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</si>
  <si>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</si>
  <si>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</si>
  <si>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</si>
  <si>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</si>
  <si>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</si>
  <si>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</si>
  <si>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</si>
  <si>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</si>
  <si>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</si>
  <si>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</si>
  <si>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</si>
  <si>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</si>
  <si>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</si>
  <si>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</si>
  <si>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</si>
  <si>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</si>
  <si>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</si>
  <si>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</si>
  <si>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</si>
  <si>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</si>
  <si>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</si>
  <si>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</si>
  <si>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</si>
  <si>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</si>
  <si>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</si>
  <si>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</si>
  <si>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</si>
  <si>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</si>
  <si>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</si>
  <si>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</si>
  <si>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</si>
  <si>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</si>
  <si>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</si>
  <si>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</si>
  <si>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</si>
  <si>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</si>
  <si>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</si>
  <si>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</si>
  <si>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</si>
  <si>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</si>
  <si>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</si>
  <si>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</si>
  <si>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</si>
  <si>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</si>
  <si>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</si>
  <si>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</si>
  <si>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</si>
  <si>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</si>
  <si>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</si>
  <si>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</si>
  <si>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</si>
  <si>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</si>
  <si>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</si>
  <si>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</si>
  <si>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</si>
  <si>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</si>
  <si>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</si>
  <si>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</si>
  <si>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</si>
  <si>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</si>
  <si>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</si>
  <si>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</si>
  <si>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</si>
  <si>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</si>
  <si>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</si>
  <si>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</si>
  <si>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</si>
  <si>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</si>
  <si>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</si>
  <si>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</si>
  <si>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</si>
  <si>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</si>
  <si>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</si>
  <si>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</si>
  <si>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</si>
  <si>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</si>
  <si>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</si>
  <si>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</si>
  <si>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</si>
  <si>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</si>
  <si>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</si>
  <si>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</si>
  <si>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</si>
  <si>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</si>
  <si>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</si>
  <si>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</si>
  <si>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</si>
  <si>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</si>
  <si>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</si>
  <si>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</si>
  <si>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</si>
  <si>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</si>
  <si>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</si>
  <si>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</si>
  <si>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</si>
  <si>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</si>
  <si>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</si>
  <si>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</si>
  <si>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</si>
  <si>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</si>
  <si>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</si>
  <si>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</si>
  <si>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</si>
  <si>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</si>
  <si>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</si>
  <si>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</si>
  <si>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</si>
  <si>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</si>
  <si>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</si>
  <si>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</si>
  <si>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</si>
  <si>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</si>
  <si>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</si>
  <si>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</si>
  <si>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</si>
  <si>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</si>
  <si>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</si>
  <si>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</si>
  <si>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</si>
  <si>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</si>
  <si>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</si>
  <si>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</si>
  <si>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</si>
  <si>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</si>
  <si>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</si>
  <si>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</si>
  <si>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</si>
  <si>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</si>
  <si>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</si>
  <si>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</si>
  <si>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</si>
  <si>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</si>
  <si>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</si>
  <si>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</si>
  <si>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</si>
  <si>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</si>
  <si>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</si>
  <si>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</si>
  <si>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</si>
  <si>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</si>
  <si>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</si>
  <si>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</si>
  <si>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</si>
  <si>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</si>
  <si>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</si>
  <si>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</si>
  <si>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</si>
  <si>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</si>
  <si>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</si>
  <si>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</si>
  <si>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</si>
  <si>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</si>
  <si>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</si>
  <si>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</si>
  <si>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</si>
  <si>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</si>
  <si>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</si>
  <si>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</si>
  <si>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</si>
  <si>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</si>
  <si>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</si>
  <si>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</si>
  <si>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</si>
  <si>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</si>
  <si>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</si>
  <si>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</si>
  <si>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</si>
  <si>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</si>
  <si>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</si>
  <si>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</si>
  <si>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</si>
  <si>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</si>
  <si>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</si>
  <si>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</si>
  <si>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</si>
  <si>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</si>
  <si>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</si>
  <si>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</si>
  <si>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</si>
  <si>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</si>
  <si>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</si>
  <si>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</si>
  <si>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</si>
  <si>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</si>
  <si>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</si>
  <si>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</si>
  <si>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</si>
  <si>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</si>
  <si>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</si>
  <si>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</si>
  <si>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</si>
  <si>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</si>
  <si>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</si>
  <si>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</si>
  <si>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</si>
  <si>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</si>
  <si>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</si>
  <si>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</si>
  <si>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</si>
  <si>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</si>
  <si>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</si>
  <si>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</si>
  <si>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</si>
  <si>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</si>
  <si>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</si>
  <si>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</si>
  <si>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</si>
  <si>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</si>
  <si>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</si>
  <si>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</si>
  <si>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</si>
  <si>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</si>
  <si>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</si>
  <si>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</si>
  <si>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</si>
  <si>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</si>
  <si>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</si>
  <si>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</si>
  <si>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</si>
  <si>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</si>
  <si>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</si>
  <si>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</si>
  <si>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</si>
  <si>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</si>
  <si>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</si>
  <si>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</si>
  <si>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</si>
  <si>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</si>
  <si>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</si>
  <si>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</si>
  <si>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</si>
  <si>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</si>
  <si>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</si>
  <si>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</si>
  <si>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</si>
  <si>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</si>
  <si>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</si>
  <si>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</si>
  <si>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</si>
  <si>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</si>
  <si>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</si>
  <si>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</si>
  <si>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</si>
  <si>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</si>
  <si>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</si>
  <si>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</si>
  <si>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</si>
  <si>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</si>
  <si>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</si>
  <si>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</si>
  <si>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</si>
  <si>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</si>
  <si>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</si>
  <si>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</si>
  <si>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</si>
  <si>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</si>
  <si>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</si>
  <si>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</si>
  <si>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</si>
  <si>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</si>
  <si>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</si>
  <si>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</si>
  <si>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</si>
  <si>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</si>
  <si>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</si>
  <si>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</si>
  <si>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</si>
  <si>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</si>
  <si>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</si>
  <si>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</si>
  <si>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</si>
  <si>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</si>
  <si>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</si>
  <si>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</si>
  <si>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</si>
  <si>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</si>
  <si>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</si>
  <si>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</si>
  <si>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</si>
  <si>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</si>
  <si>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</si>
  <si>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</si>
  <si>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</si>
  <si>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</si>
  <si>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</si>
  <si>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</si>
  <si>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</si>
  <si>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</si>
  <si>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</si>
  <si>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</si>
  <si>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</si>
  <si>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</si>
  <si>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</si>
  <si>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</si>
  <si>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</si>
  <si>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</si>
  <si>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</si>
  <si>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</si>
  <si>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</si>
  <si>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</si>
  <si>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</si>
  <si>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</si>
  <si>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</si>
  <si>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</si>
  <si>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</si>
  <si>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</si>
  <si>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</si>
  <si>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</si>
  <si>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</si>
  <si>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</si>
  <si>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</si>
  <si>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</si>
  <si>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</si>
  <si>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</si>
  <si>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</si>
  <si>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</si>
  <si>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</si>
  <si>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</si>
  <si>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</si>
  <si>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</si>
  <si>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</si>
  <si>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</si>
  <si>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</si>
  <si>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</si>
  <si>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</si>
  <si>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</si>
  <si>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</si>
  <si>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</si>
  <si>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</si>
  <si>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</si>
  <si>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</si>
  <si>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</si>
  <si>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</si>
  <si>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</si>
  <si>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</si>
  <si>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</si>
  <si>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</si>
  <si>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</si>
  <si>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</si>
  <si>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</si>
  <si>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</si>
  <si>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</si>
  <si>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</si>
  <si>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</si>
  <si>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</si>
  <si>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</si>
  <si>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</si>
  <si>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</si>
  <si>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</si>
  <si>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</si>
  <si>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</si>
  <si>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</si>
  <si>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</si>
  <si>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</si>
  <si>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</si>
  <si>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</si>
  <si>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</si>
  <si>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</si>
  <si>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</si>
  <si>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</si>
  <si>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</si>
  <si>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</si>
  <si>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</si>
  <si>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</si>
  <si>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</si>
  <si>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</si>
  <si>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</si>
  <si>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</si>
  <si>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</si>
  <si>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</si>
  <si>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</si>
  <si>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</si>
  <si>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</si>
  <si>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</si>
  <si>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</si>
  <si>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</si>
  <si>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</si>
  <si>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</si>
  <si>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</si>
  <si>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</si>
  <si>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</si>
  <si>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</si>
  <si>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</si>
  <si>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</si>
  <si>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</si>
  <si>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</si>
  <si>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</si>
  <si>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</si>
  <si>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</si>
  <si>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</si>
  <si>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</si>
  <si>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</si>
  <si>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</si>
  <si>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</si>
  <si>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</si>
  <si>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</si>
  <si>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</si>
  <si>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</si>
  <si>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</si>
  <si>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</si>
  <si>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</si>
  <si>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</si>
  <si>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</si>
  <si>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</si>
  <si>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</si>
  <si>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</si>
  <si>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</si>
  <si>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</si>
  <si>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</si>
  <si>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</si>
  <si>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</si>
  <si>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</si>
  <si>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</si>
  <si>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</si>
  <si>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</si>
  <si>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</si>
  <si>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</si>
  <si>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</si>
  <si>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</si>
  <si>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</si>
  <si>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</si>
  <si>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</si>
  <si>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</si>
  <si>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</si>
  <si>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</si>
  <si>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</si>
  <si>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</si>
  <si>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</si>
  <si>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</si>
  <si>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</si>
  <si>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</si>
  <si>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</si>
  <si>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</si>
  <si>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</si>
  <si>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</si>
  <si>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</si>
  <si>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</si>
  <si>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</si>
  <si>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</si>
  <si>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</si>
  <si>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</si>
  <si>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</si>
  <si>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</si>
  <si>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</si>
  <si>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</si>
  <si>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</si>
  <si>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</si>
  <si>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</si>
  <si>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</si>
  <si>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</si>
  <si>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</si>
  <si>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</si>
  <si>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</si>
  <si>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</si>
  <si>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</si>
  <si>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</si>
  <si>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</si>
  <si>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</si>
  <si>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</si>
  <si>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</si>
  <si>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</si>
  <si>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</si>
  <si>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</si>
  <si>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</si>
  <si>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</si>
  <si>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</si>
  <si>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</si>
  <si>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</si>
  <si>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</si>
  <si>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</si>
  <si>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</si>
  <si>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</si>
  <si>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</si>
  <si>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</si>
  <si>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</si>
  <si>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</si>
  <si>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</si>
  <si>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</si>
  <si>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</si>
  <si>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</si>
  <si>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</si>
  <si>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</si>
  <si>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</si>
  <si>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</si>
  <si>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</si>
  <si>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</si>
  <si>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</si>
  <si>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</si>
  <si>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</si>
  <si>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</si>
  <si>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</si>
  <si>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</si>
  <si>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</si>
  <si>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</si>
  <si>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</si>
  <si>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</si>
  <si>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</si>
  <si>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</si>
  <si>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</si>
  <si>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</si>
  <si>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</si>
  <si>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</si>
  <si>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</si>
  <si>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</si>
  <si>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</si>
  <si>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</si>
  <si>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</si>
  <si>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</si>
  <si>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</si>
  <si>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</si>
  <si>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</si>
  <si>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</si>
  <si>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</si>
  <si>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</si>
  <si>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</si>
  <si>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</si>
  <si>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</si>
  <si>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</si>
  <si>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</si>
  <si>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</si>
  <si>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</si>
  <si>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</si>
  <si>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</si>
  <si>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</si>
  <si>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</si>
  <si>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</si>
  <si>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</si>
  <si>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</si>
  <si>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</si>
  <si>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</si>
  <si>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</si>
  <si>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</si>
  <si>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</si>
  <si>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</si>
  <si>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</si>
  <si>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</si>
  <si>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</si>
  <si>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</si>
  <si>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</si>
  <si>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</si>
  <si>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</si>
  <si>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</si>
  <si>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</si>
  <si>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</si>
  <si>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</si>
  <si>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</si>
  <si>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</si>
  <si>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</si>
  <si>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</si>
  <si>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</si>
  <si>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</si>
  <si>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</si>
  <si>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</si>
  <si>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</si>
  <si>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</si>
  <si>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</si>
  <si>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</si>
  <si>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</si>
  <si>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</si>
  <si>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</si>
  <si>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</si>
  <si>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</si>
  <si>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</si>
  <si>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</si>
  <si>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</si>
  <si>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</si>
  <si>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</si>
  <si>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</si>
  <si>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</si>
  <si>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</si>
  <si>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</si>
  <si>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</si>
  <si>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</si>
  <si>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</si>
  <si>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</si>
  <si>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</si>
  <si>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</si>
  <si>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</si>
  <si>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</si>
  <si>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</si>
  <si>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</si>
  <si>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</si>
  <si>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</si>
  <si>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</si>
  <si>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</si>
  <si>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</si>
  <si>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</si>
  <si>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</si>
  <si>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</si>
  <si>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</si>
  <si>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</si>
  <si>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</si>
  <si>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</si>
  <si>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</si>
  <si>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</si>
  <si>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</si>
  <si>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</si>
  <si>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</si>
  <si>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</si>
  <si>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</si>
  <si>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</si>
  <si>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</si>
  <si>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</si>
  <si>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</si>
  <si>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</si>
  <si>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</si>
  <si>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</si>
  <si>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</si>
  <si>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</si>
  <si>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</si>
  <si>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</si>
  <si>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</si>
  <si>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</si>
  <si>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</si>
  <si>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</si>
  <si>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</si>
  <si>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</si>
  <si>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</si>
  <si>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</si>
  <si>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</si>
  <si>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</si>
  <si>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</si>
  <si>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</si>
  <si>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</si>
  <si>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</si>
  <si>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</si>
  <si>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</si>
  <si>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</si>
  <si>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</si>
  <si>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</si>
  <si>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</si>
  <si>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</si>
  <si>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</si>
  <si>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</si>
  <si>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</si>
  <si>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</si>
  <si>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</si>
  <si>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</si>
  <si>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</si>
  <si>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</si>
  <si>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</si>
  <si>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</si>
  <si>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</si>
  <si>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</si>
  <si>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</si>
  <si>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</si>
  <si>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</si>
  <si>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</si>
  <si>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</si>
  <si>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</si>
  <si>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</si>
  <si>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</si>
  <si>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</si>
  <si>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</si>
  <si>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</si>
  <si>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</si>
  <si>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</si>
  <si>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</si>
  <si>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</si>
  <si>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</si>
  <si>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</si>
  <si>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</si>
  <si>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</si>
  <si>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</si>
  <si>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</si>
  <si>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</si>
  <si>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</si>
  <si>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</si>
  <si>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</si>
  <si>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</si>
  <si>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</si>
  <si>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</si>
  <si>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</si>
  <si>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</si>
  <si>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</si>
  <si>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</si>
  <si>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</si>
  <si>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</si>
  <si>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</si>
  <si>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</si>
  <si>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</si>
  <si>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</si>
  <si>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</si>
  <si>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</si>
  <si>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</si>
  <si>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</si>
  <si>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</si>
  <si>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</si>
  <si>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</si>
  <si>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</si>
  <si>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</si>
  <si>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</si>
  <si>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</si>
  <si>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</si>
  <si>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</si>
  <si>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</si>
  <si>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</si>
  <si>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</si>
  <si>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</si>
  <si>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</si>
  <si>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</si>
  <si>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</si>
  <si>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</si>
  <si>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</si>
  <si>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</si>
  <si>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</si>
  <si>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</si>
  <si>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</si>
  <si>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</si>
  <si>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</si>
  <si>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</si>
  <si>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</si>
  <si>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</si>
  <si>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</si>
  <si>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</si>
  <si>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</si>
  <si>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</si>
  <si>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</si>
  <si>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</si>
  <si>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</si>
  <si>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</si>
  <si>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</si>
  <si>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</si>
  <si>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</si>
  <si>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</si>
  <si>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</si>
  <si>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</si>
  <si>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</si>
  <si>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</si>
  <si>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</si>
  <si>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</si>
  <si>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</si>
  <si>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</si>
  <si>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</si>
  <si>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</si>
  <si>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</si>
  <si>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</si>
  <si>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</si>
  <si>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</si>
  <si>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</si>
  <si>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</si>
  <si>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</si>
  <si>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</si>
  <si>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</si>
  <si>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</si>
  <si>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</si>
  <si>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</si>
  <si>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</si>
  <si>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</si>
  <si>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</si>
  <si>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</si>
  <si>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</si>
  <si>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</si>
  <si>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</si>
  <si>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</si>
  <si>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</si>
  <si>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</si>
  <si>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</si>
  <si>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</si>
  <si>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</si>
  <si>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</si>
  <si>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</si>
  <si>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</si>
  <si>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</si>
  <si>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</si>
  <si>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</si>
  <si>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</si>
  <si>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</si>
  <si>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</si>
  <si>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</si>
  <si>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</si>
  <si>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</si>
  <si>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</si>
  <si>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</si>
  <si>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</si>
  <si>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</si>
  <si>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</si>
  <si>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</si>
  <si>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</si>
  <si>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</si>
  <si>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</si>
  <si>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</si>
  <si>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</si>
  <si>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</si>
  <si>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</si>
  <si>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</si>
  <si>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</si>
  <si>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</si>
  <si>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</si>
  <si>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</si>
  <si>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</si>
  <si>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</si>
  <si>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</si>
  <si>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</si>
  <si>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</si>
  <si>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</si>
  <si>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</si>
  <si>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</si>
  <si>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</si>
  <si>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</si>
  <si>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</si>
  <si>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</si>
  <si>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</si>
  <si>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</si>
  <si>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</si>
  <si>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</si>
  <si>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</si>
  <si>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</si>
  <si>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</si>
  <si>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</si>
  <si>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</si>
  <si>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</si>
  <si>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</si>
  <si>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</si>
  <si>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</si>
  <si>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</si>
  <si>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</si>
  <si>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</si>
  <si>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</si>
  <si>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</si>
  <si>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</si>
  <si>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</si>
  <si>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</si>
  <si>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</si>
  <si>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</si>
  <si>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</si>
  <si>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</si>
  <si>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</si>
  <si>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</si>
  <si>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</si>
  <si>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</si>
  <si>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</si>
  <si>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</si>
  <si>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</si>
  <si>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</si>
  <si>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</si>
  <si>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</si>
  <si>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</si>
  <si>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</si>
  <si>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</si>
  <si>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</si>
  <si>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</si>
  <si>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</si>
  <si>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</si>
  <si>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</si>
  <si>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</si>
  <si>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</si>
  <si>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</si>
  <si>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</si>
  <si>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</si>
  <si>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</si>
  <si>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</si>
  <si>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</si>
  <si>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</si>
  <si>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</si>
  <si>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</si>
  <si>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</si>
  <si>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</si>
  <si>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</si>
  <si>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</si>
  <si>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</si>
  <si>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</si>
  <si>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</si>
  <si>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</si>
  <si>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</si>
  <si>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</si>
  <si>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</si>
  <si>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</si>
  <si>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</si>
  <si>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</si>
  <si>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</si>
  <si>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</si>
  <si>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</si>
  <si>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</si>
  <si>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</si>
  <si>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</si>
  <si>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</si>
  <si>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</si>
  <si>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</si>
  <si>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</si>
  <si>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</si>
  <si>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</si>
  <si>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</si>
  <si>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</si>
  <si>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</si>
  <si>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</si>
  <si>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</si>
  <si>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</si>
  <si>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</si>
  <si>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</si>
  <si>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</si>
  <si>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</si>
  <si>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</si>
  <si>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</si>
  <si>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</si>
  <si>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</si>
  <si>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</si>
  <si>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</si>
  <si>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</si>
  <si>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</si>
  <si>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</si>
  <si>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</si>
  <si>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</si>
  <si>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</si>
  <si>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</si>
  <si>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</si>
  <si>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</si>
  <si>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</si>
  <si>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</si>
  <si>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</si>
  <si>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</si>
  <si>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</si>
  <si>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</si>
  <si>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</si>
  <si>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</si>
  <si>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</si>
  <si>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</si>
  <si>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</si>
  <si>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</si>
  <si>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</si>
  <si>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</si>
  <si>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</si>
  <si>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</si>
  <si>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</si>
  <si>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</si>
  <si>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</si>
  <si>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</si>
  <si>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</si>
  <si>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</si>
  <si>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</si>
  <si>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</si>
  <si>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</si>
  <si>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</si>
  <si>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</si>
  <si>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</si>
  <si>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</si>
  <si>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</si>
  <si>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</si>
  <si>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</si>
  <si>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</si>
  <si>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</si>
  <si>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</si>
  <si>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</si>
  <si>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</si>
  <si>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</si>
  <si>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</si>
  <si>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</si>
  <si>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</si>
  <si>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</si>
  <si>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</si>
  <si>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</si>
  <si>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</si>
  <si>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</si>
  <si>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</si>
  <si>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</si>
  <si>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</si>
  <si>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</si>
  <si>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</si>
  <si>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</si>
  <si>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</si>
  <si>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</si>
  <si>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</si>
  <si>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</si>
  <si>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</si>
  <si>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</si>
  <si>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</si>
  <si>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</si>
  <si>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</si>
  <si>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</si>
  <si>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</si>
  <si>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</si>
  <si>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</si>
  <si>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</si>
  <si>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</si>
  <si>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</si>
  <si>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</si>
  <si>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</si>
  <si>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</si>
  <si>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</si>
  <si>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</si>
  <si>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</si>
  <si>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</si>
  <si>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</si>
  <si>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</si>
  <si>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</si>
  <si>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</si>
  <si>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</si>
  <si>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</si>
  <si>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</si>
  <si>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</si>
  <si>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</si>
  <si>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</si>
  <si>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</si>
  <si>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</si>
  <si>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</si>
  <si>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</si>
  <si>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</si>
  <si>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</si>
  <si>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</si>
  <si>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</si>
  <si>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</si>
  <si>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</si>
  <si>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</si>
  <si>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</si>
  <si>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</si>
  <si>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</si>
  <si>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</si>
  <si>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</si>
  <si>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</si>
  <si>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</si>
  <si>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</si>
  <si>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</si>
  <si>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</si>
  <si>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</si>
  <si>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</si>
  <si>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</si>
  <si>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</si>
  <si>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</si>
  <si>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</si>
  <si>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</si>
  <si>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</si>
  <si>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</si>
  <si>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</si>
  <si>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</si>
  <si>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</si>
  <si>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</si>
  <si>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</si>
  <si>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</si>
  <si>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</si>
  <si>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</si>
  <si>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</si>
  <si>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</si>
  <si>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</si>
  <si>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</si>
  <si>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</si>
  <si>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</si>
  <si>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</si>
  <si>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</si>
  <si>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</si>
  <si>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</si>
  <si>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</si>
  <si>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</si>
  <si>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</si>
  <si>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</si>
  <si>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</si>
  <si>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</si>
  <si>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</si>
  <si>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</si>
  <si>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</si>
  <si>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</si>
  <si>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</si>
  <si>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</si>
  <si>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</si>
  <si>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</si>
  <si>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</si>
  <si>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</si>
  <si>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</si>
  <si>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</si>
  <si>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</si>
  <si>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</si>
  <si>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</si>
  <si>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</si>
  <si>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</si>
  <si>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</si>
  <si>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</si>
  <si>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</si>
  <si>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</si>
  <si>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</si>
  <si>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</si>
  <si>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</si>
  <si>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</si>
  <si>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</si>
  <si>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</si>
  <si>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</si>
  <si>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</si>
  <si>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</si>
  <si>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</si>
  <si>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</si>
  <si>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</si>
  <si>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</si>
  <si>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</si>
  <si>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</si>
  <si>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</si>
  <si>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</si>
  <si>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</si>
  <si>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</si>
  <si>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</si>
  <si>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</si>
  <si>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</si>
  <si>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</si>
  <si>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</si>
  <si>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</si>
  <si>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</si>
  <si>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</si>
  <si>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</si>
  <si>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</si>
  <si>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</si>
  <si>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</si>
  <si>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</si>
  <si>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</si>
  <si>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</si>
  <si>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</si>
  <si>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</si>
  <si>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</si>
  <si>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</si>
  <si>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</si>
  <si>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</si>
  <si>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</si>
  <si>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</si>
  <si>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</si>
  <si>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</si>
  <si>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</si>
  <si>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</si>
  <si>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</si>
  <si>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</si>
  <si>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</si>
  <si>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</si>
  <si>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</si>
  <si>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</si>
  <si>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</si>
  <si>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</si>
  <si>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</si>
  <si>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</si>
  <si>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</si>
  <si>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</si>
  <si>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</si>
  <si>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</si>
  <si>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</si>
  <si>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</si>
  <si>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</si>
  <si>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</si>
  <si>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</si>
  <si>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</si>
  <si>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</si>
  <si>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</si>
  <si>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</si>
  <si>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</si>
  <si>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</si>
  <si>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</si>
  <si>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</si>
  <si>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</si>
  <si>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</si>
  <si>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</si>
  <si>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</si>
  <si>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</si>
  <si>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</si>
  <si>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</si>
  <si>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</si>
  <si>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</si>
  <si>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</si>
  <si>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</si>
  <si>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</si>
  <si>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</si>
  <si>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</si>
  <si>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</si>
  <si>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</si>
  <si>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</si>
  <si>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</si>
  <si>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</si>
  <si>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</si>
  <si>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</si>
  <si>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</si>
  <si>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</si>
  <si>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</si>
  <si>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</si>
  <si>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</si>
  <si>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</si>
  <si>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</si>
  <si>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</si>
  <si>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</si>
  <si>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</si>
  <si>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</si>
  <si>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</si>
  <si>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</si>
  <si>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</si>
  <si>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</si>
  <si>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</si>
  <si>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</si>
  <si>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</si>
  <si>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</si>
  <si>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</si>
  <si>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</si>
  <si>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</si>
  <si>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</si>
  <si>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</si>
  <si>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</si>
  <si>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</si>
  <si>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</si>
  <si>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</si>
  <si>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</si>
  <si>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</si>
  <si>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</si>
  <si>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</si>
  <si>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</si>
  <si>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</si>
  <si>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</si>
  <si>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</si>
  <si>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</si>
  <si>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</si>
  <si>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</si>
  <si>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</si>
  <si>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</si>
  <si>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</si>
  <si>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</si>
  <si>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</si>
  <si>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</si>
  <si>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</si>
  <si>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</si>
  <si>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</si>
  <si>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</si>
  <si>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</si>
  <si>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</si>
  <si>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</si>
  <si>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</si>
  <si>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</si>
  <si>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</si>
  <si>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</si>
  <si>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</si>
  <si>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</si>
  <si>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</si>
  <si>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</si>
  <si>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</si>
  <si>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</si>
  <si>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</si>
  <si>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</si>
  <si>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</si>
  <si>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</si>
  <si>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</si>
  <si>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</si>
  <si>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</si>
  <si>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</si>
  <si>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</si>
  <si>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</si>
  <si>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</si>
  <si>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</si>
  <si>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</si>
  <si>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</si>
  <si>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</si>
  <si>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</si>
  <si>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</si>
  <si>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</si>
  <si>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</si>
  <si>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</si>
  <si>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</si>
  <si>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</si>
  <si>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</si>
  <si>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</si>
  <si>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</si>
  <si>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</si>
  <si>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</si>
  <si>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</si>
  <si>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</si>
  <si>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</si>
  <si>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</si>
  <si>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</si>
  <si>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</si>
  <si>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</si>
  <si>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</si>
  <si>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</si>
  <si>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</si>
  <si>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</si>
  <si>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</si>
  <si>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</si>
  <si>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</si>
  <si>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</si>
  <si>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</si>
  <si>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</si>
  <si>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</si>
  <si>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</si>
  <si>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</si>
  <si>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</si>
  <si>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</si>
  <si>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</si>
  <si>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</si>
  <si>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</si>
  <si>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</si>
  <si>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</si>
  <si>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</si>
  <si>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</si>
  <si>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</si>
  <si>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</si>
  <si>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</si>
  <si>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</si>
  <si>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</si>
  <si>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</si>
  <si>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</si>
  <si>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</si>
  <si>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</si>
  <si>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</si>
  <si>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</si>
  <si>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</si>
  <si>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</si>
  <si>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</si>
  <si>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</si>
  <si>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</si>
  <si>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</si>
  <si>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</si>
  <si>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</si>
  <si>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</si>
  <si>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</si>
  <si>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</si>
  <si>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</si>
  <si>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</si>
  <si>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</si>
  <si>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</si>
  <si>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</si>
  <si>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</si>
  <si>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</si>
  <si>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</si>
  <si>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</si>
  <si>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</si>
  <si>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</si>
  <si>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</si>
  <si>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</si>
  <si>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</si>
  <si>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</si>
  <si>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</si>
  <si>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</si>
  <si>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</si>
  <si>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</si>
  <si>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</si>
  <si>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</si>
  <si>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</si>
  <si>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</si>
  <si>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</si>
  <si>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</si>
  <si>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</si>
  <si>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</si>
  <si>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</si>
  <si>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</si>
  <si>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</si>
  <si>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</si>
  <si>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</si>
  <si>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</si>
  <si>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</si>
  <si>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</si>
  <si>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</si>
  <si>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</si>
  <si>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</si>
  <si>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</si>
  <si>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</si>
  <si>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</si>
  <si>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</si>
  <si>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</si>
  <si>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</si>
  <si>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</si>
  <si>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</si>
  <si>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</si>
  <si>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</si>
  <si>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</si>
  <si>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</si>
  <si>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</si>
  <si>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</si>
  <si>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</si>
  <si>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</si>
  <si>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</si>
  <si>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</si>
  <si>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</si>
  <si>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</si>
  <si>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</si>
  <si>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</si>
  <si>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</si>
  <si>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</si>
  <si>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</si>
  <si>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</si>
  <si>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</si>
  <si>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</si>
  <si>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</si>
  <si>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</si>
  <si>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</si>
  <si>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</si>
  <si>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</si>
  <si>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</si>
  <si>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</si>
  <si>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</si>
  <si>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</si>
  <si>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</si>
  <si>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</si>
  <si>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</si>
  <si>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</si>
  <si>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</si>
  <si>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</si>
  <si>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</si>
  <si>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</si>
  <si>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</si>
  <si>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</si>
  <si>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</si>
  <si>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</si>
  <si>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</si>
  <si>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</si>
  <si>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</si>
  <si>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</si>
  <si>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</si>
  <si>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</si>
  <si>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</si>
  <si>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</si>
  <si>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</si>
  <si>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</si>
  <si>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</si>
  <si>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</si>
  <si>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</si>
  <si>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</si>
  <si>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</si>
  <si>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</si>
  <si>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</si>
  <si>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</si>
  <si>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</si>
  <si>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</si>
  <si>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</si>
  <si>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</si>
  <si>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</si>
  <si>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</si>
  <si>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</si>
  <si>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</si>
  <si>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</si>
  <si>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</si>
  <si>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</si>
  <si>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</si>
  <si>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</si>
  <si>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</si>
  <si>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</si>
  <si>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</si>
  <si>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</si>
  <si>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</si>
  <si>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</si>
  <si>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</si>
  <si>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</si>
  <si>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</si>
  <si>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</si>
  <si>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</si>
  <si>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</si>
  <si>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</si>
  <si>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</si>
  <si>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</si>
  <si>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</si>
  <si>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</si>
  <si>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</si>
  <si>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</si>
  <si>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</si>
  <si>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</si>
  <si>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</si>
  <si>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</si>
  <si>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</si>
  <si>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</si>
  <si>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</si>
  <si>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</si>
  <si>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</si>
  <si>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</si>
  <si>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</si>
  <si>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</si>
  <si>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</si>
  <si>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</si>
  <si>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</si>
  <si>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</si>
  <si>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</si>
  <si>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</si>
  <si>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</si>
  <si>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</si>
  <si>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</si>
  <si>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</si>
  <si>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</si>
  <si>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</si>
  <si>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</si>
  <si>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</si>
  <si>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</si>
  <si>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</si>
  <si>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</si>
  <si>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</si>
  <si>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</si>
  <si>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</si>
  <si>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</si>
  <si>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</si>
  <si>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</si>
  <si>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</si>
  <si>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</si>
  <si>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</si>
  <si>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</si>
  <si>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</si>
  <si>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</si>
  <si>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</si>
  <si>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</si>
  <si>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</si>
  <si>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</si>
  <si>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</si>
  <si>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</si>
  <si>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</si>
  <si>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</si>
  <si>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</si>
  <si>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</si>
  <si>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</si>
  <si>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</si>
  <si>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</si>
  <si>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</si>
  <si>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</si>
  <si>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</si>
  <si>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</si>
  <si>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</si>
  <si>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</si>
  <si>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</si>
  <si>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</si>
  <si>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</si>
  <si>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</si>
  <si>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</si>
  <si>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</si>
  <si>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</si>
  <si>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</si>
  <si>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</si>
  <si>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</si>
  <si>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</si>
  <si>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</si>
  <si>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</si>
  <si>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</si>
  <si>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</si>
  <si>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</si>
  <si>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</si>
  <si>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</si>
  <si>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</si>
  <si>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</si>
  <si>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</si>
  <si>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</si>
  <si>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</si>
  <si>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</si>
  <si>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</si>
  <si>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</si>
  <si>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</si>
  <si>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</si>
  <si>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</si>
  <si>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</si>
  <si>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</si>
  <si>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</si>
  <si>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</si>
  <si>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</si>
  <si>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</si>
  <si>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</si>
  <si>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</si>
  <si>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</si>
  <si>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</si>
  <si>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</si>
  <si>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</si>
  <si>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</si>
  <si>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</si>
  <si>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</si>
  <si>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</si>
  <si>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</si>
  <si>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</si>
  <si>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</si>
  <si>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</si>
  <si>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</si>
  <si>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</si>
  <si>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</si>
  <si>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</si>
  <si>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</si>
  <si>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</si>
  <si>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</si>
  <si>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</si>
  <si>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</si>
  <si>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</si>
  <si>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</si>
  <si>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</si>
  <si>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</si>
  <si>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</si>
  <si>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</si>
  <si>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</si>
  <si>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</si>
  <si>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</si>
  <si>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</si>
  <si>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</si>
  <si>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</si>
  <si>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</si>
  <si>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</si>
  <si>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</si>
  <si>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</si>
  <si>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</si>
  <si>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</si>
  <si>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</si>
  <si>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</si>
  <si>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</si>
  <si>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</si>
  <si>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</si>
  <si>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</si>
  <si>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</si>
  <si>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</si>
  <si>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</si>
  <si>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</si>
  <si>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</si>
  <si>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</si>
  <si>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</si>
  <si>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</si>
  <si>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</si>
  <si>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</si>
  <si>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</si>
  <si>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</si>
  <si>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</si>
  <si>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</si>
  <si>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</si>
  <si>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</si>
  <si>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</si>
  <si>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</si>
  <si>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</si>
  <si>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</si>
  <si>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</si>
  <si>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</si>
  <si>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</si>
  <si>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</si>
  <si>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</si>
  <si>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</si>
  <si>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</si>
  <si>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</si>
  <si>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</si>
  <si>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</si>
  <si>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</si>
  <si>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</si>
  <si>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</si>
  <si>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</si>
  <si>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</si>
  <si>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</si>
  <si>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</si>
  <si>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</si>
  <si>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</si>
  <si>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</si>
  <si>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</si>
  <si>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</si>
  <si>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</si>
  <si>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</si>
  <si>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</si>
  <si>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</si>
  <si>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</si>
  <si>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</si>
  <si>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</si>
  <si>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</si>
  <si>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</si>
  <si>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</si>
  <si>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</si>
  <si>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</si>
  <si>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</si>
  <si>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</si>
  <si>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</si>
  <si>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</si>
  <si>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</si>
  <si>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</si>
  <si>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</si>
  <si>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</si>
  <si>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</si>
  <si>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</si>
  <si>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</si>
  <si>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</si>
  <si>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</si>
  <si>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</si>
  <si>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</si>
  <si>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</si>
  <si>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</si>
  <si>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</si>
  <si>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</si>
  <si>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</si>
  <si>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</si>
  <si>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</si>
  <si>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</si>
  <si>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</si>
  <si>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</si>
  <si>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</si>
  <si>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</si>
  <si>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</si>
  <si>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</si>
  <si>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</si>
  <si>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</si>
  <si>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</si>
  <si>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</si>
  <si>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</si>
  <si>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</si>
  <si>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</si>
  <si>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</si>
  <si>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</si>
  <si>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</si>
  <si>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</si>
  <si>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</si>
  <si>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</si>
  <si>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</si>
  <si>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</si>
  <si>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</si>
  <si>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</si>
  <si>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</si>
  <si>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</si>
  <si>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</si>
  <si>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</si>
  <si>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</si>
  <si>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</si>
  <si>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</si>
  <si>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</si>
  <si>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</si>
  <si>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</si>
  <si>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</si>
  <si>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</si>
  <si>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</si>
  <si>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</si>
  <si>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</si>
  <si>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</si>
  <si>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</si>
  <si>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</si>
  <si>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</si>
  <si>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</si>
  <si>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</si>
  <si>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</si>
  <si>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</si>
  <si>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</si>
  <si>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</si>
  <si>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</si>
  <si>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</si>
  <si>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</si>
  <si>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</si>
  <si>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</si>
  <si>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</si>
  <si>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</si>
  <si>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</si>
  <si>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</si>
  <si>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</si>
  <si>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</si>
  <si>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</si>
  <si>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</si>
  <si>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</si>
  <si>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</si>
  <si>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</si>
  <si>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</si>
  <si>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</si>
  <si>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</si>
  <si>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</si>
  <si>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</si>
  <si>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</si>
  <si>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</si>
  <si>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</si>
  <si>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</si>
  <si>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</si>
  <si>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</si>
  <si>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</si>
  <si>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</si>
  <si>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</si>
  <si>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</si>
  <si>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</si>
  <si>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</si>
  <si>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</si>
  <si>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</si>
  <si>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</si>
  <si>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</si>
  <si>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</si>
  <si>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</si>
  <si>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</si>
  <si>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</si>
  <si>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</si>
  <si>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</si>
  <si>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</si>
  <si>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</si>
  <si>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</si>
  <si>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</si>
  <si>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</si>
  <si>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</si>
  <si>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</si>
  <si>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</si>
  <si>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</si>
  <si>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</si>
  <si>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</si>
  <si>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</si>
  <si>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</si>
  <si>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</si>
  <si>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</si>
  <si>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</si>
  <si>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</si>
  <si>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</si>
  <si>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</si>
  <si>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</si>
  <si>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</si>
  <si>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</si>
  <si>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</si>
  <si>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</si>
  <si>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</si>
  <si>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</si>
  <si>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</si>
  <si>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</si>
  <si>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</si>
  <si>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</si>
  <si>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</si>
  <si>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</si>
  <si>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</si>
  <si>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</si>
  <si>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</si>
  <si>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</si>
  <si>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</si>
  <si>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</si>
  <si>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</si>
  <si>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</si>
  <si>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</si>
  <si>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</si>
  <si>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</si>
  <si>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</si>
  <si>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</si>
  <si>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</si>
  <si>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</si>
  <si>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</si>
  <si>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</si>
  <si>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</si>
  <si>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</si>
  <si>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</si>
  <si>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</si>
  <si>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</si>
  <si>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</si>
  <si>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</si>
  <si>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</si>
  <si>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</si>
  <si>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</si>
  <si>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</si>
  <si>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</si>
  <si>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</si>
  <si>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</si>
  <si>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</si>
  <si>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</si>
  <si>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</si>
  <si>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</si>
  <si>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</si>
  <si>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</si>
  <si>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</si>
  <si>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</si>
  <si>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</si>
  <si>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</si>
  <si>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</si>
  <si>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</si>
  <si>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</si>
  <si>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</si>
  <si>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</si>
  <si>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</si>
  <si>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</si>
  <si>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</si>
  <si>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</si>
  <si>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</si>
  <si>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</si>
  <si>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</si>
  <si>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</si>
  <si>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</si>
  <si>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</si>
  <si>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</si>
  <si>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</si>
  <si>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</si>
  <si>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</si>
  <si>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</si>
  <si>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</si>
  <si>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</si>
  <si>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</si>
  <si>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</si>
  <si>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</si>
  <si>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</si>
  <si>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</si>
  <si>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</si>
  <si>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</si>
  <si>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</si>
  <si>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</si>
  <si>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</si>
  <si>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</si>
  <si>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</si>
  <si>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</si>
  <si>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</si>
  <si>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</si>
  <si>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</si>
  <si>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</si>
  <si>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</si>
  <si>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</si>
  <si>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</si>
  <si>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</si>
  <si>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</si>
  <si>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</si>
  <si>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</si>
  <si>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</si>
  <si>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</si>
  <si>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</si>
  <si>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</si>
  <si>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</si>
  <si>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</si>
  <si>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</si>
  <si>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</si>
  <si>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</si>
  <si>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</si>
  <si>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</si>
  <si>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</si>
  <si>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</si>
  <si>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</si>
  <si>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</si>
  <si>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</si>
  <si>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</si>
  <si>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</si>
  <si>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</si>
  <si>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</si>
  <si>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</si>
  <si>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</si>
  <si>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</si>
  <si>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</si>
  <si>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</si>
  <si>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</si>
  <si>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</si>
  <si>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</si>
  <si>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</si>
  <si>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</si>
  <si>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</si>
  <si>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</si>
  <si>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</si>
  <si>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</si>
  <si>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</si>
  <si>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</si>
  <si>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</si>
  <si>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</si>
  <si>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</si>
  <si>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</si>
  <si>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</si>
  <si>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</si>
  <si>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</si>
  <si>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</si>
  <si>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</si>
  <si>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</si>
  <si>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</si>
  <si>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</si>
  <si>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</si>
  <si>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</si>
  <si>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</si>
  <si>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</si>
  <si>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</si>
  <si>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</si>
  <si>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</si>
  <si>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</si>
  <si>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</si>
  <si>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</si>
  <si>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</si>
  <si>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</si>
  <si>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</si>
  <si>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</si>
  <si>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</si>
  <si>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</si>
  <si>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</si>
  <si>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</si>
  <si>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</si>
  <si>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</si>
  <si>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</si>
  <si>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</si>
  <si>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</si>
  <si>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</si>
  <si>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</si>
  <si>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</si>
  <si>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</si>
  <si>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</si>
  <si>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</si>
  <si>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</si>
  <si>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</si>
  <si>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</si>
  <si>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</si>
  <si>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</si>
  <si>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</si>
  <si>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</si>
  <si>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</si>
  <si>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</si>
  <si>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</si>
  <si>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</si>
  <si>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</si>
  <si>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</si>
  <si>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</si>
  <si>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</si>
  <si>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</si>
  <si>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</si>
  <si>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</si>
  <si>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</si>
  <si>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</si>
  <si>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</si>
  <si>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</si>
  <si>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</si>
  <si>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</si>
  <si>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</si>
  <si>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</si>
  <si>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</si>
  <si>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</si>
  <si>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</si>
  <si>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</si>
  <si>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</si>
  <si>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</si>
  <si>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</si>
  <si>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</si>
  <si>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</si>
  <si>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</si>
  <si>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</si>
  <si>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</si>
  <si>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</si>
  <si>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</si>
  <si>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</si>
  <si>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</si>
  <si>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</si>
  <si>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</si>
  <si>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</si>
  <si>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</si>
  <si>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</si>
  <si>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</si>
  <si>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</si>
  <si>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</si>
  <si>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</si>
  <si>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</si>
  <si>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</si>
  <si>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</si>
  <si>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</si>
  <si>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</si>
  <si>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</si>
  <si>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</si>
  <si>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</si>
  <si>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</si>
  <si>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</si>
  <si>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</si>
  <si>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</si>
  <si>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</si>
  <si>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</si>
  <si>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</si>
  <si>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</si>
  <si>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</si>
  <si>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</si>
  <si>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</si>
  <si>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</si>
  <si>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</si>
  <si>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</si>
  <si>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</si>
  <si>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</si>
  <si>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</si>
  <si>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</si>
  <si>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</si>
  <si>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</si>
  <si>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</si>
  <si>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</si>
  <si>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</si>
  <si>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</si>
  <si>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</si>
  <si>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</si>
  <si>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</si>
  <si>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</si>
  <si>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</si>
  <si>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</si>
  <si>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</si>
  <si>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</si>
  <si>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</si>
  <si>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</si>
  <si>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</si>
  <si>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</si>
  <si>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</si>
  <si>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</si>
  <si>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</si>
  <si>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</si>
  <si>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</si>
  <si>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</si>
  <si>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</si>
  <si>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</si>
  <si>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</si>
  <si>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</si>
  <si>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</si>
  <si>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</si>
  <si>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</si>
  <si>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</si>
  <si>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</si>
  <si>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</si>
  <si>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</si>
  <si>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</si>
  <si>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</si>
  <si>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</si>
  <si>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</si>
  <si>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</si>
  <si>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</si>
  <si>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</si>
  <si>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</si>
  <si>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</si>
  <si>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</si>
  <si>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</si>
  <si>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</si>
  <si>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</si>
  <si>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</si>
  <si>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</si>
  <si>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</si>
  <si>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</si>
  <si>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</si>
  <si>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</si>
  <si>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</si>
  <si>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</si>
  <si>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</si>
  <si>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</si>
  <si>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</si>
  <si>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</si>
  <si>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</si>
  <si>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</si>
  <si>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</si>
  <si>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</si>
  <si>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</si>
  <si>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</si>
  <si>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</si>
  <si>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</si>
  <si>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</si>
  <si>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</si>
  <si>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</si>
  <si>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</si>
  <si>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</si>
  <si>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</si>
  <si>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</si>
  <si>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</si>
  <si>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</si>
  <si>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</si>
  <si>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</si>
  <si>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</si>
  <si>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</si>
  <si>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</si>
  <si>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</si>
  <si>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</si>
  <si>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</si>
  <si>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</si>
  <si>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</si>
  <si>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</si>
  <si>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</si>
  <si>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</si>
  <si>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</si>
  <si>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</si>
  <si>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</si>
  <si>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</si>
  <si>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</si>
  <si>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</si>
  <si>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</si>
  <si>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</si>
  <si>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</si>
  <si>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</si>
  <si>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</si>
  <si>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</si>
  <si>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</si>
  <si>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</si>
  <si>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</si>
  <si>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</si>
  <si>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</si>
  <si>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</si>
  <si>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</si>
  <si>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</si>
  <si>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</si>
  <si>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</si>
  <si>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</si>
  <si>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</si>
  <si>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</si>
  <si>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</si>
  <si>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</si>
  <si>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</si>
  <si>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</si>
  <si>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</si>
  <si>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</si>
  <si>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</si>
  <si>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</si>
  <si>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</si>
  <si>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</si>
  <si>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</si>
  <si>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</si>
  <si>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</si>
  <si>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</si>
  <si>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</si>
  <si>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</si>
  <si>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</si>
  <si>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</si>
  <si>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</si>
  <si>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</si>
  <si>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</si>
  <si>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</si>
  <si>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</si>
  <si>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</si>
  <si>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</si>
  <si>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</si>
  <si>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</si>
  <si>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</si>
  <si>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</si>
  <si>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</si>
  <si>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</si>
  <si>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</si>
  <si>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</si>
  <si>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</si>
  <si>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</si>
  <si>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</si>
  <si>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</si>
  <si>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</si>
  <si>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</si>
  <si>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</si>
  <si>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</si>
  <si>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</si>
  <si>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</si>
  <si>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</si>
  <si>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</si>
  <si>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</si>
  <si>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</si>
  <si>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</si>
  <si>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</si>
  <si>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</si>
  <si>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</si>
  <si>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</si>
  <si>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</si>
  <si>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</si>
  <si>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</si>
  <si>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</si>
  <si>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</si>
  <si>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</si>
  <si>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</si>
  <si>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</si>
  <si>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</si>
  <si>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</si>
  <si>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</si>
  <si>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</si>
  <si>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</si>
  <si>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</si>
  <si>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</si>
  <si>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</si>
  <si>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</si>
  <si>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</si>
  <si>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</si>
  <si>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</si>
  <si>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</si>
  <si>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</si>
  <si>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</si>
  <si>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</si>
  <si>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</si>
  <si>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</si>
  <si>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</si>
  <si>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</si>
  <si>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</si>
  <si>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</si>
  <si>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</si>
  <si>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</si>
  <si>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</si>
  <si>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</si>
  <si>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</si>
  <si>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</si>
  <si>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</si>
  <si>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</si>
  <si>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</si>
  <si>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</si>
  <si>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</si>
  <si>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</si>
  <si>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</si>
  <si>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</si>
  <si>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</si>
  <si>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</si>
  <si>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</si>
  <si>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</si>
  <si>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</si>
  <si>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</si>
  <si>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</si>
  <si>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</si>
  <si>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</si>
  <si>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</si>
  <si>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</si>
  <si>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</si>
  <si>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</si>
  <si>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</si>
  <si>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</si>
  <si>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</si>
  <si>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</si>
  <si>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</si>
  <si>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</si>
  <si>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</si>
  <si>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</si>
  <si>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</si>
  <si>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</si>
  <si>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</si>
  <si>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</si>
  <si>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</si>
  <si>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</si>
  <si>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</si>
  <si>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</si>
  <si>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</si>
  <si>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</si>
  <si>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</si>
  <si>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</si>
  <si>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</si>
  <si>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</si>
  <si>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</si>
  <si>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</si>
  <si>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</si>
  <si>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</si>
  <si>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</si>
  <si>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</si>
  <si>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</si>
  <si>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</si>
  <si>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</si>
  <si>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</si>
  <si>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</si>
  <si>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</si>
  <si>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</si>
  <si>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</si>
  <si>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</si>
  <si>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</si>
  <si>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</si>
  <si>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</si>
  <si>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</si>
  <si>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</si>
  <si>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</si>
  <si>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</si>
  <si>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</si>
  <si>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</si>
  <si>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</si>
  <si>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</si>
  <si>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</si>
  <si>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</si>
  <si>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</si>
  <si>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</si>
  <si>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</si>
  <si>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</si>
  <si>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</si>
  <si>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</si>
  <si>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</si>
  <si>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</si>
  <si>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</si>
  <si>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</si>
  <si>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</si>
  <si>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</si>
  <si>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</si>
  <si>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</si>
  <si>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</si>
  <si>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</si>
  <si>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</si>
  <si>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</si>
  <si>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</si>
  <si>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</si>
  <si>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</si>
  <si>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</si>
  <si>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</si>
  <si>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</si>
  <si>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</si>
  <si>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</si>
  <si>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</si>
  <si>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</si>
  <si>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</si>
  <si>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</si>
  <si>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</si>
  <si>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</si>
  <si>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</si>
  <si>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</si>
  <si>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</si>
  <si>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</si>
  <si>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</si>
  <si>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</si>
  <si>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</si>
  <si>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</si>
  <si>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</si>
  <si>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</si>
  <si>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</si>
  <si>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</si>
  <si>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</si>
  <si>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</si>
  <si>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</si>
  <si>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</si>
  <si>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</si>
  <si>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</si>
  <si>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</si>
  <si>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</si>
  <si>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</si>
  <si>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</si>
  <si>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</si>
  <si>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</si>
  <si>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</si>
  <si>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</si>
  <si>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</si>
  <si>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</si>
  <si>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</si>
  <si>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</si>
  <si>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</si>
  <si>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</si>
  <si>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</si>
  <si>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</si>
  <si>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</si>
  <si>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</si>
  <si>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</si>
  <si>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</si>
  <si>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</si>
  <si>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</si>
  <si>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</si>
  <si>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</si>
  <si>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</si>
  <si>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</si>
  <si>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</si>
  <si>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</si>
  <si>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</si>
  <si>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</si>
  <si>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</si>
  <si>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</si>
  <si>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</si>
  <si>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</si>
  <si>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</si>
  <si>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</si>
  <si>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</si>
  <si>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</si>
  <si>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</si>
  <si>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</si>
  <si>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</si>
  <si>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</si>
  <si>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</si>
  <si>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</si>
  <si>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</si>
  <si>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</si>
  <si>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</si>
  <si>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</si>
  <si>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</si>
  <si>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</si>
  <si>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</si>
  <si>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</si>
  <si>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</si>
  <si>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</si>
  <si>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</si>
  <si>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</si>
  <si>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</si>
  <si>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</si>
  <si>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</si>
  <si>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</si>
  <si>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</si>
  <si>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</si>
  <si>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</si>
  <si>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</si>
  <si>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</si>
  <si>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</si>
  <si>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</si>
  <si>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</si>
  <si>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</si>
  <si>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</si>
  <si>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</si>
  <si>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</si>
  <si>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</si>
  <si>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</si>
  <si>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</si>
  <si>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</si>
  <si>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</si>
  <si>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</si>
  <si>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</si>
  <si>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</si>
  <si>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</si>
  <si>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</si>
  <si>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</si>
  <si>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</si>
  <si>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</si>
  <si>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</si>
  <si>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</si>
  <si>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</si>
  <si>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</si>
  <si>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</si>
  <si>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</si>
  <si>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</si>
  <si>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</si>
  <si>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</si>
  <si>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</si>
  <si>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</si>
  <si>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</si>
  <si>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</si>
  <si>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</si>
  <si>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</si>
  <si>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</si>
  <si>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</si>
  <si>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</si>
  <si>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</si>
  <si>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</si>
  <si>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</si>
  <si>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</si>
  <si>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</si>
  <si>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</si>
  <si>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</si>
  <si>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</si>
  <si>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</si>
  <si>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</si>
  <si>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</si>
  <si>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</si>
  <si>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</si>
  <si>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</si>
  <si>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</si>
  <si>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</si>
  <si>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</si>
  <si>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</si>
  <si>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</si>
  <si>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</si>
  <si>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</si>
  <si>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</si>
  <si>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</si>
  <si>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</si>
  <si>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</si>
  <si>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</si>
  <si>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</si>
  <si>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</si>
  <si>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</si>
  <si>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</si>
  <si>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</si>
  <si>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</si>
  <si>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</si>
  <si>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</si>
  <si>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</si>
  <si>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</si>
  <si>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</si>
  <si>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</si>
  <si>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</si>
  <si>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</si>
  <si>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</si>
  <si>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</si>
  <si>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</si>
  <si>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</si>
  <si>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</si>
  <si>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</si>
  <si>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</si>
  <si>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</si>
  <si>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</si>
  <si>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</si>
  <si>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</si>
  <si>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</si>
  <si>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</si>
  <si>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</si>
  <si>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</si>
  <si>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</si>
  <si>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</si>
  <si>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</si>
  <si>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</si>
  <si>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</si>
  <si>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</si>
  <si>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</si>
  <si>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</si>
  <si>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</si>
  <si>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</si>
  <si>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</si>
  <si>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</si>
  <si>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</si>
  <si>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</si>
  <si>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</si>
  <si>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</si>
  <si>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</si>
  <si>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</si>
  <si>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</si>
  <si>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</si>
  <si>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</si>
  <si>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</si>
  <si>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</si>
  <si>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</si>
  <si>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</si>
  <si>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</si>
  <si>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</si>
  <si>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</si>
  <si>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</si>
  <si>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</si>
  <si>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</si>
  <si>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</si>
  <si>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</si>
  <si>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</si>
  <si>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</si>
  <si>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</si>
  <si>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</si>
  <si>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</si>
  <si>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</si>
  <si>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</si>
  <si>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</si>
  <si>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</si>
  <si>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</si>
  <si>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</si>
  <si>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</si>
  <si>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</si>
  <si>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</si>
  <si>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</si>
  <si>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</si>
  <si>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</si>
  <si>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</si>
  <si>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</si>
  <si>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</si>
  <si>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</si>
  <si>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</si>
  <si>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</si>
  <si>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</si>
  <si>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</si>
  <si>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</si>
  <si>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</si>
  <si>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</si>
  <si>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</si>
  <si>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</si>
  <si>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</si>
  <si>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</si>
  <si>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</si>
  <si>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</si>
  <si>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</si>
  <si>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</si>
  <si>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</si>
  <si>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</si>
  <si>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</si>
  <si>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</si>
  <si>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</si>
  <si>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</si>
  <si>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</si>
  <si>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</si>
  <si>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</si>
  <si>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</si>
  <si>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</si>
  <si>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</si>
  <si>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</si>
  <si>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</si>
  <si>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</si>
  <si>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</si>
  <si>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</si>
  <si>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</si>
  <si>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</si>
  <si>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</si>
  <si>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</si>
  <si>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</si>
  <si>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</si>
  <si>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</si>
  <si>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</si>
  <si>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</si>
  <si>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</si>
  <si>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</si>
  <si>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</si>
  <si>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</si>
  <si>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</si>
  <si>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</si>
  <si>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</si>
  <si>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</si>
  <si>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</si>
  <si>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</si>
  <si>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</si>
  <si>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</si>
  <si>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</si>
  <si>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</si>
  <si>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</si>
  <si>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</si>
  <si>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</si>
  <si>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</si>
  <si>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</si>
  <si>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</si>
  <si>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</si>
  <si>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</si>
  <si>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</si>
  <si>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</si>
  <si>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</si>
  <si>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</si>
  <si>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</si>
  <si>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</si>
  <si>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</si>
  <si>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</si>
  <si>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</si>
  <si>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</si>
  <si>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</si>
  <si>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</si>
  <si>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</si>
  <si>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</si>
  <si>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</si>
  <si>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</si>
  <si>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</si>
  <si>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</si>
  <si>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</si>
  <si>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</si>
  <si>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</si>
  <si>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</si>
  <si>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</si>
  <si>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</si>
  <si>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</si>
  <si>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</si>
  <si>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</si>
  <si>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</si>
  <si>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</si>
  <si>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</si>
  <si>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</si>
  <si>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</si>
  <si>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</si>
  <si>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</si>
  <si>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</si>
  <si>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</si>
  <si>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</si>
  <si>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</si>
  <si>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</si>
  <si>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</si>
  <si>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</si>
  <si>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</si>
  <si>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</si>
  <si>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</si>
  <si>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</si>
  <si>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</si>
  <si>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</si>
  <si>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</si>
  <si>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</si>
  <si>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</si>
  <si>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</si>
  <si>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</si>
  <si>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</si>
  <si>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</si>
  <si>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</si>
  <si>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</si>
  <si>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</si>
  <si>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</si>
  <si>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</si>
  <si>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</si>
  <si>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</si>
  <si>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</si>
  <si>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</si>
  <si>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</si>
  <si>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</si>
  <si>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</si>
  <si>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</si>
  <si>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</si>
  <si>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</si>
  <si>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</si>
  <si>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</si>
  <si>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</si>
  <si>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</si>
  <si>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</si>
  <si>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</si>
  <si>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</si>
  <si>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</si>
  <si>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</si>
  <si>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</si>
  <si>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</si>
  <si>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</si>
  <si>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</si>
  <si>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</si>
  <si>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</si>
  <si>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</si>
  <si>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</si>
  <si>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</si>
  <si>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</si>
  <si>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</si>
  <si>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</si>
  <si>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</si>
  <si>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</si>
  <si>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</si>
  <si>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</si>
  <si>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</si>
  <si>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</si>
  <si>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</si>
  <si>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</si>
  <si>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</si>
  <si>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</si>
  <si>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</si>
  <si>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</si>
  <si>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</si>
  <si>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</si>
  <si>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</si>
  <si>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</si>
  <si>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</si>
  <si>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</si>
  <si>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</si>
  <si>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</si>
  <si>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</si>
  <si>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</si>
  <si>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</si>
  <si>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</si>
  <si>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</si>
  <si>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</si>
  <si>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</si>
  <si>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</si>
  <si>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</si>
  <si>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</si>
  <si>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</si>
  <si>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</si>
  <si>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</si>
  <si>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</si>
  <si>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</si>
  <si>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</si>
  <si>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</si>
  <si>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</si>
  <si>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</si>
  <si>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</si>
  <si>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</si>
  <si>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</si>
  <si>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</si>
  <si>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</si>
  <si>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</si>
  <si>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</si>
  <si>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</si>
  <si>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</si>
  <si>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</si>
  <si>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</si>
  <si>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</si>
  <si>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</si>
  <si>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</si>
  <si>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</si>
  <si>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</si>
  <si>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</si>
  <si>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</si>
  <si>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</si>
  <si>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</si>
  <si>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</si>
  <si>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</si>
  <si>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</si>
  <si>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</si>
  <si>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</si>
  <si>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</si>
  <si>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</si>
  <si>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</si>
  <si>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</si>
  <si>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</si>
  <si>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</si>
  <si>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</si>
  <si>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</si>
  <si>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</si>
  <si>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</si>
  <si>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</si>
  <si>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</si>
  <si>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</si>
  <si>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</si>
  <si>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</si>
  <si>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</si>
  <si>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</si>
  <si>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</si>
  <si>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</si>
  <si>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</si>
  <si>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</si>
  <si>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</si>
  <si>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</si>
  <si>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</si>
  <si>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</si>
  <si>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</si>
  <si>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</si>
  <si>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</si>
  <si>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</si>
  <si>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</si>
  <si>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</si>
  <si>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</si>
  <si>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</si>
  <si>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</si>
  <si>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</si>
  <si>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</si>
  <si>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</si>
  <si>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</si>
  <si>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</si>
  <si>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</si>
  <si>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</si>
  <si>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</si>
  <si>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</si>
  <si>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</si>
  <si>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</si>
  <si>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</si>
  <si>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</si>
  <si>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</si>
  <si>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</si>
  <si>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</si>
  <si>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</si>
  <si>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</si>
  <si>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</si>
  <si>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</si>
  <si>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</si>
  <si>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</si>
  <si>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</si>
  <si>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</si>
  <si>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</si>
  <si>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</si>
  <si>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</si>
  <si>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</si>
  <si>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</si>
  <si>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</si>
  <si>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</si>
  <si>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</si>
  <si>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</si>
  <si>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</si>
  <si>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</si>
  <si>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</si>
  <si>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</si>
  <si>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</si>
  <si>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</si>
  <si>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</si>
  <si>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</si>
  <si>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</si>
  <si>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</si>
  <si>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</si>
  <si>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</si>
  <si>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</si>
  <si>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</si>
  <si>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</si>
  <si>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</si>
  <si>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</si>
  <si>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</si>
  <si>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</si>
  <si>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</si>
  <si>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</si>
  <si>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</si>
  <si>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</si>
  <si>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</si>
  <si>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</si>
  <si>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</si>
  <si>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</si>
  <si>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</si>
  <si>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</si>
  <si>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</si>
  <si>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</si>
  <si>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</si>
  <si>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</si>
  <si>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</si>
  <si>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</si>
  <si>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</si>
  <si>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</si>
  <si>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</si>
  <si>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</si>
  <si>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</si>
  <si>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</si>
  <si>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</si>
  <si>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</si>
  <si>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</si>
  <si>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</si>
  <si>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</si>
  <si>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</si>
  <si>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</si>
  <si>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</si>
  <si>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</si>
  <si>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</si>
  <si>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</si>
  <si>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</si>
  <si>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</si>
  <si>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</si>
  <si>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</si>
  <si>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</si>
  <si>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</si>
  <si>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</si>
  <si>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</si>
  <si>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</si>
  <si>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</si>
  <si>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</si>
  <si>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</si>
  <si>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</si>
  <si>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</si>
  <si>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</si>
  <si>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</si>
  <si>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</si>
  <si>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</si>
  <si>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</si>
  <si>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</si>
  <si>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</si>
  <si>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</si>
  <si>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</si>
  <si>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</si>
  <si>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</si>
  <si>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</si>
  <si>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</si>
  <si>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</si>
  <si>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</si>
  <si>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</si>
  <si>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</si>
  <si>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</si>
  <si>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</si>
  <si>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</si>
  <si>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</si>
  <si>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</si>
  <si>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</si>
  <si>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</si>
  <si>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</si>
  <si>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</si>
  <si>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</si>
  <si>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</si>
  <si>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</si>
  <si>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</si>
  <si>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</si>
  <si>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</si>
  <si>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</si>
  <si>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</si>
  <si>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</si>
  <si>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</si>
  <si>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</si>
  <si>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</si>
  <si>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</si>
  <si>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</si>
  <si>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</si>
  <si>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</si>
  <si>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</si>
  <si>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</si>
  <si>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</si>
  <si>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</si>
  <si>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</si>
  <si>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</si>
  <si>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</si>
  <si>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</si>
  <si>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</si>
  <si>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</si>
  <si>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</si>
  <si>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</si>
  <si>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</si>
  <si>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</si>
  <si>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</si>
  <si>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</si>
  <si>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</si>
  <si>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</si>
  <si>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</si>
  <si>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</si>
  <si>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</si>
  <si>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</si>
  <si>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</si>
  <si>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</si>
  <si>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</si>
  <si>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</si>
  <si>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</si>
  <si>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</si>
  <si>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</si>
  <si>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</si>
  <si>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</si>
  <si>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</si>
  <si>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</si>
  <si>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</si>
  <si>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</si>
  <si>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</si>
  <si>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</si>
  <si>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</si>
  <si>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</si>
  <si>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</si>
  <si>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</si>
  <si>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</si>
  <si>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</si>
  <si>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</si>
  <si>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</si>
  <si>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</si>
  <si>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</si>
  <si>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</si>
  <si>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</si>
  <si>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</si>
  <si>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</si>
  <si>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</si>
  <si>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</si>
  <si>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</si>
  <si>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</si>
  <si>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</si>
  <si>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</si>
  <si>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</si>
  <si>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</si>
  <si>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</si>
  <si>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</si>
  <si>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</si>
  <si>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</si>
  <si>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</si>
  <si>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</si>
  <si>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</si>
  <si>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</si>
  <si>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</si>
  <si>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</si>
  <si>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</si>
  <si>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</si>
  <si>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</si>
  <si>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</si>
  <si>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</si>
  <si>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</si>
  <si>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</si>
  <si>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</si>
  <si>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</si>
  <si>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</si>
  <si>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</si>
  <si>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</si>
  <si>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</si>
  <si>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</si>
  <si>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</si>
  <si>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</si>
  <si>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</si>
  <si>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</si>
  <si>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</si>
  <si>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</si>
  <si>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</si>
  <si>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</si>
  <si>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</si>
  <si>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</si>
  <si>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</si>
  <si>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</si>
  <si>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</si>
  <si>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</si>
  <si>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</si>
  <si>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</si>
  <si>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</si>
  <si>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</si>
  <si>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</si>
  <si>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</si>
  <si>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</si>
  <si>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</si>
  <si>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</si>
  <si>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</si>
  <si>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</si>
  <si>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</si>
  <si>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</si>
  <si>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</si>
  <si>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</si>
  <si>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</si>
  <si>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</si>
  <si>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</si>
  <si>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</si>
  <si>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</si>
  <si>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</si>
  <si>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</si>
  <si>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</si>
  <si>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</si>
  <si>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</si>
  <si>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</si>
  <si>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</si>
  <si>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</si>
  <si>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</si>
  <si>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</si>
  <si>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</si>
  <si>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</si>
  <si>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</si>
  <si>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</si>
  <si>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</si>
  <si>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</si>
  <si>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</si>
  <si>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</si>
  <si>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</si>
  <si>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</si>
  <si>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</si>
  <si>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</si>
  <si>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</si>
  <si>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</si>
  <si>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</si>
  <si>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</si>
  <si>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</si>
  <si>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</si>
  <si>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</si>
  <si>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</si>
  <si>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</si>
  <si>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</si>
  <si>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</si>
  <si>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</si>
  <si>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</si>
  <si>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</si>
  <si>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</si>
  <si>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</si>
  <si>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</si>
  <si>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</si>
  <si>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</si>
  <si>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</si>
  <si>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</si>
  <si>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</si>
  <si>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</si>
  <si>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</si>
  <si>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</si>
  <si>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</si>
  <si>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</si>
  <si>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</si>
  <si>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</si>
  <si>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</si>
  <si>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</si>
  <si>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</si>
  <si>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</si>
  <si>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</si>
  <si>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</si>
  <si>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</si>
  <si>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</si>
  <si>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</si>
  <si>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</si>
  <si>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</si>
  <si>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</si>
  <si>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</si>
  <si>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</si>
  <si>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</si>
  <si>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</si>
  <si>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</si>
  <si>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</si>
  <si>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</si>
  <si>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</si>
  <si>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</si>
  <si>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</si>
  <si>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</si>
  <si>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</si>
  <si>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</si>
  <si>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</si>
  <si>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</si>
  <si>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</si>
  <si>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</si>
  <si>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</si>
  <si>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</si>
  <si>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</si>
  <si>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</si>
  <si>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</si>
  <si>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</si>
  <si>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</si>
  <si>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</si>
  <si>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</si>
  <si>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</si>
  <si>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</si>
  <si>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</si>
  <si>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</si>
  <si>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</si>
  <si>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</si>
  <si>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</si>
  <si>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</si>
  <si>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</si>
  <si>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</si>
  <si>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</si>
  <si>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</si>
  <si>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</si>
  <si>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</si>
  <si>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</si>
  <si>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</si>
  <si>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</si>
  <si>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</si>
  <si>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</si>
  <si>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</si>
  <si>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</si>
  <si>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</si>
  <si>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</si>
  <si>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</si>
  <si>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</si>
  <si>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</si>
  <si>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</si>
  <si>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</si>
  <si>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</si>
  <si>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</si>
  <si>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</si>
  <si>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</si>
  <si>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</si>
  <si>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</si>
  <si>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</si>
  <si>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</si>
  <si>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</si>
  <si>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</si>
  <si>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</si>
  <si>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</si>
  <si>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</si>
  <si>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</si>
  <si>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</si>
  <si>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</si>
  <si>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</si>
  <si>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</si>
  <si>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</si>
  <si>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</si>
  <si>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</si>
  <si>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</si>
  <si>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</si>
  <si>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</si>
  <si>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</si>
  <si>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</si>
  <si>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</si>
  <si>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</si>
  <si>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</si>
  <si>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</si>
  <si>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</si>
  <si>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</si>
  <si>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</si>
  <si>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</si>
  <si>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</si>
  <si>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</si>
  <si>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</si>
  <si>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</si>
  <si>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</si>
  <si>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</si>
  <si>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</si>
  <si>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</si>
  <si>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</si>
  <si>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</si>
  <si>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</si>
  <si>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</si>
  <si>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</si>
  <si>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</si>
  <si>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</si>
  <si>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</si>
  <si>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</si>
  <si>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</si>
  <si>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</si>
  <si>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</si>
  <si>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</si>
  <si>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</si>
  <si>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</si>
  <si>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</si>
  <si>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</si>
  <si>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</si>
  <si>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</si>
  <si>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</si>
  <si>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</si>
  <si>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</si>
  <si>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</si>
  <si>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</si>
  <si>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</si>
  <si>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</si>
  <si>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</si>
  <si>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</si>
  <si>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</si>
  <si>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</si>
  <si>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</si>
  <si>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</si>
  <si>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</si>
  <si>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</si>
  <si>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</si>
  <si>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</si>
  <si>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</si>
  <si>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</si>
  <si>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</si>
  <si>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</si>
  <si>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</si>
  <si>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</si>
  <si>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</si>
  <si>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</si>
  <si>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</si>
  <si>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</si>
  <si>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</si>
  <si>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</si>
  <si>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</si>
  <si>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</si>
  <si>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</si>
  <si>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</si>
  <si>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</si>
  <si>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</si>
  <si>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</si>
  <si>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</si>
  <si>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</si>
  <si>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</si>
  <si>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</si>
  <si>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</si>
  <si>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</si>
  <si>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</si>
  <si>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</si>
  <si>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</si>
  <si>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</si>
  <si>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</si>
  <si>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</si>
  <si>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</si>
  <si>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</si>
  <si>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</si>
  <si>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</si>
  <si>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</si>
  <si>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</si>
  <si>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</si>
  <si>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</si>
  <si>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</si>
  <si>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</si>
  <si>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</si>
  <si>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</si>
  <si>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</si>
  <si>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</si>
  <si>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</si>
  <si>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</si>
  <si>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</si>
  <si>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</si>
  <si>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</si>
  <si>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</si>
  <si>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</si>
  <si>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</si>
  <si>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</si>
  <si>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</si>
  <si>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</si>
  <si>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</si>
  <si>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</si>
  <si>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</si>
  <si>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</si>
  <si>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</si>
  <si>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</si>
  <si>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</si>
  <si>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</si>
  <si>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</si>
  <si>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</si>
  <si>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</si>
  <si>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</si>
  <si>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</si>
  <si>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</si>
  <si>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</si>
  <si>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</si>
  <si>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</si>
  <si>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</si>
  <si>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</si>
  <si>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</si>
  <si>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</si>
  <si>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</si>
  <si>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</si>
  <si>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</si>
  <si>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</si>
  <si>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</si>
  <si>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</si>
  <si>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</si>
  <si>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</si>
  <si>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</si>
  <si>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</si>
  <si>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</si>
  <si>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</si>
  <si>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</si>
  <si>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</si>
  <si>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</si>
  <si>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</si>
  <si>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</si>
  <si>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</si>
  <si>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</si>
  <si>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</si>
  <si>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</si>
  <si>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</si>
  <si>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</si>
  <si>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</si>
  <si>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</si>
  <si>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</si>
  <si>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</si>
  <si>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</si>
  <si>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</si>
  <si>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</si>
  <si>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</si>
  <si>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</si>
  <si>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</si>
  <si>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</si>
  <si>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</si>
  <si>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</si>
  <si>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</si>
  <si>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</si>
  <si>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</si>
  <si>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</si>
  <si>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</si>
  <si>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</si>
  <si>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</si>
  <si>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</si>
  <si>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</si>
  <si>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</si>
  <si>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</si>
  <si>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</si>
  <si>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</si>
  <si>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</si>
  <si>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</si>
  <si>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</si>
  <si>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</si>
  <si>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</si>
  <si>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</si>
  <si>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</si>
  <si>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</si>
  <si>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</si>
  <si>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</si>
  <si>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</si>
  <si>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</si>
  <si>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</si>
  <si>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</si>
  <si>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</si>
  <si>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</si>
  <si>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</si>
  <si>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</si>
  <si>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</si>
  <si>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</si>
  <si>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</si>
  <si>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</si>
  <si>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</si>
  <si>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</si>
  <si>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</si>
  <si>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</si>
  <si>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</si>
  <si>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</si>
  <si>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</si>
  <si>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</si>
  <si>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</si>
  <si>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</si>
  <si>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</si>
  <si>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</si>
  <si>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</si>
  <si>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</si>
  <si>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</si>
  <si>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</si>
  <si>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</si>
  <si>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</si>
  <si>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</si>
  <si>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</si>
  <si>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</si>
  <si>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</si>
  <si>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</si>
  <si>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</si>
  <si>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</si>
  <si>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</si>
  <si>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</si>
  <si>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</si>
  <si>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</si>
  <si>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</si>
  <si>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</si>
  <si>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</si>
  <si>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</si>
  <si>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</si>
  <si>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</si>
  <si>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</si>
  <si>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</si>
  <si>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</si>
  <si>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</si>
  <si>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</si>
  <si>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</si>
  <si>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</si>
  <si>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</si>
  <si>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</si>
  <si>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</si>
  <si>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</si>
  <si>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</si>
  <si>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</si>
  <si>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</si>
  <si>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</si>
  <si>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</si>
  <si>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</si>
  <si>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</si>
  <si>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</si>
  <si>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</si>
  <si>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</si>
  <si>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</si>
  <si>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</si>
  <si>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</si>
  <si>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</si>
  <si>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</si>
  <si>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</si>
  <si>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</si>
  <si>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</si>
  <si>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</si>
  <si>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</si>
  <si>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</si>
  <si>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</si>
  <si>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</si>
  <si>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</si>
  <si>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</si>
  <si>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</si>
  <si>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</si>
  <si>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</si>
  <si>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</si>
  <si>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</si>
  <si>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</si>
  <si>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</si>
  <si>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</si>
  <si>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</si>
  <si>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</si>
  <si>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</si>
  <si>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</si>
  <si>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</si>
  <si>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</si>
  <si>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</si>
  <si>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</si>
  <si>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</si>
  <si>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</si>
  <si>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</si>
  <si>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</si>
  <si>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</si>
  <si>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</si>
  <si>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</si>
  <si>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</si>
  <si>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</si>
  <si>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</si>
  <si>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</si>
  <si>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</si>
  <si>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</si>
  <si>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</si>
  <si>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</si>
  <si>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</si>
  <si>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</si>
  <si>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</si>
  <si>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</si>
  <si>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</si>
  <si>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</si>
  <si>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</si>
  <si>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</si>
  <si>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</si>
  <si>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</si>
  <si>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</si>
  <si>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</si>
  <si>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</si>
  <si>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</si>
  <si>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</si>
  <si>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</si>
  <si>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</si>
  <si>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</si>
  <si>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</si>
  <si>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</si>
  <si>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</si>
  <si>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</si>
  <si>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</si>
  <si>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</si>
  <si>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</si>
  <si>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</si>
  <si>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</si>
  <si>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</si>
  <si>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</si>
  <si>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</si>
  <si>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</si>
  <si>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</si>
  <si>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</si>
  <si>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</si>
  <si>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</si>
  <si>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</si>
  <si>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</si>
  <si>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</si>
  <si>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</si>
  <si>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</si>
  <si>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</si>
  <si>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</si>
  <si>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</si>
  <si>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</si>
  <si>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</si>
  <si>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</si>
  <si>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</si>
  <si>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</si>
  <si>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</si>
  <si>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</si>
  <si>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</si>
  <si>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</si>
  <si>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</si>
  <si>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</si>
  <si>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</si>
  <si>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</si>
  <si>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</si>
  <si>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</si>
  <si>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</si>
  <si>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</si>
  <si>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</si>
  <si>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</si>
  <si>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</si>
  <si>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</si>
  <si>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</si>
  <si>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</si>
  <si>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</si>
  <si>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</si>
  <si>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</si>
  <si>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</si>
  <si>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</si>
  <si>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</si>
  <si>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</si>
  <si>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</si>
  <si>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</si>
  <si>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</si>
  <si>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</si>
  <si>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</si>
  <si>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</si>
  <si>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</si>
  <si>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</si>
  <si>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</si>
  <si>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</si>
  <si>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</si>
  <si>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</si>
  <si>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</si>
  <si>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</si>
  <si>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</si>
  <si>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</si>
  <si>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</si>
  <si>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</si>
  <si>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</si>
  <si>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</si>
  <si>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</si>
  <si>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</si>
  <si>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</si>
  <si>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</si>
  <si>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</si>
  <si>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</si>
  <si>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</si>
  <si>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</si>
  <si>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</si>
  <si>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</si>
  <si>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</si>
  <si>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</si>
  <si>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</si>
  <si>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</si>
  <si>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</si>
  <si>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</si>
  <si>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</si>
  <si>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</si>
  <si>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</si>
  <si>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</si>
  <si>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</si>
  <si>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</si>
  <si>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</si>
  <si>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</si>
  <si>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</si>
  <si>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</si>
  <si>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</si>
  <si>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</si>
  <si>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</si>
  <si>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</si>
  <si>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</si>
  <si>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</si>
  <si>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</si>
  <si>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</si>
  <si>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</si>
  <si>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</si>
  <si>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</si>
  <si>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</si>
  <si>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</si>
  <si>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</si>
  <si>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</si>
  <si>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</si>
  <si>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</si>
  <si>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</si>
  <si>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</si>
  <si>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</si>
  <si>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</si>
  <si>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</si>
  <si>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</si>
  <si>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</si>
  <si>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</si>
  <si>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</si>
  <si>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</si>
  <si>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</si>
  <si>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</si>
  <si>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</si>
  <si>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</si>
  <si>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</si>
  <si>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</si>
  <si>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</si>
  <si>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</si>
  <si>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</si>
  <si>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</si>
  <si>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</si>
  <si>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</si>
  <si>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</si>
  <si>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</si>
  <si>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</si>
  <si>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</si>
  <si>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</si>
  <si>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</si>
  <si>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</si>
  <si>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</si>
  <si>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</si>
  <si>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</si>
  <si>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</si>
  <si>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</si>
  <si>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</si>
  <si>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</si>
  <si>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</si>
  <si>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</si>
  <si>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</si>
  <si>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</si>
  <si>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</si>
  <si>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</si>
  <si>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</si>
  <si>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</si>
  <si>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</si>
  <si>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</si>
  <si>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</si>
  <si>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</si>
  <si>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</si>
  <si>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</si>
  <si>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</si>
  <si>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</si>
  <si>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</si>
  <si>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</si>
  <si>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</si>
  <si>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</si>
  <si>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</si>
  <si>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</si>
  <si>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</si>
  <si>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</si>
  <si>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</si>
  <si>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</si>
  <si>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</si>
  <si>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</si>
  <si>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</si>
  <si>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</si>
  <si>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</si>
  <si>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</si>
  <si>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</si>
  <si>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</si>
  <si>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</si>
  <si>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</si>
  <si>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</si>
  <si>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</si>
  <si>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</si>
  <si>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</si>
  <si>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</si>
  <si>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</si>
  <si>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</si>
  <si>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</si>
  <si>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</si>
  <si>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</si>
  <si>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</si>
  <si>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</si>
  <si>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</si>
  <si>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</si>
  <si>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</si>
  <si>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</si>
  <si>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</si>
  <si>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</si>
  <si>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</si>
  <si>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</si>
  <si>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</si>
  <si>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</si>
  <si>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</si>
  <si>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</si>
  <si>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</si>
  <si>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</si>
  <si>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</si>
  <si>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</si>
  <si>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</si>
  <si>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</si>
  <si>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</si>
  <si>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</si>
  <si>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</si>
  <si>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</si>
  <si>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</si>
  <si>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</si>
  <si>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</si>
  <si>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</si>
  <si>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</si>
  <si>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</si>
  <si>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</si>
  <si>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</si>
  <si>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</si>
  <si>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</si>
  <si>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</si>
  <si>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</si>
  <si>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</si>
  <si>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</si>
  <si>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</si>
  <si>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</si>
  <si>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</si>
  <si>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</si>
  <si>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</si>
  <si>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</si>
  <si>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</si>
  <si>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</si>
  <si>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</si>
  <si>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</si>
  <si>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</si>
  <si>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</si>
  <si>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</si>
  <si>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</si>
  <si>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</si>
  <si>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</si>
  <si>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</si>
  <si>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</si>
  <si>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</si>
  <si>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</si>
  <si>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</si>
  <si>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</si>
  <si>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</si>
  <si>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</si>
  <si>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</si>
  <si>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</si>
  <si>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</si>
  <si>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</si>
  <si>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</si>
  <si>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</si>
  <si>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</si>
  <si>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</si>
  <si>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</si>
  <si>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</si>
  <si>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</si>
  <si>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</si>
  <si>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</si>
  <si>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</si>
  <si>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</si>
  <si>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</si>
  <si>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</si>
  <si>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</si>
  <si>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</si>
  <si>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</si>
  <si>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</si>
  <si>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</si>
  <si>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</si>
  <si>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</si>
  <si>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</si>
  <si>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</si>
  <si>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</si>
  <si>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</si>
  <si>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</si>
  <si>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</si>
  <si>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</si>
  <si>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</si>
  <si>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</si>
  <si>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</si>
  <si>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</si>
  <si>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</si>
  <si>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</si>
  <si>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</si>
  <si>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</si>
  <si>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</si>
  <si>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</si>
  <si>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</si>
  <si>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</si>
  <si>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</si>
  <si>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</si>
  <si>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</si>
  <si>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</si>
  <si>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</si>
  <si>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</si>
  <si>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</si>
  <si>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</si>
  <si>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</si>
  <si>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</si>
  <si>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</si>
  <si>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</si>
  <si>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</si>
  <si>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</si>
  <si>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</si>
  <si>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</si>
  <si>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</si>
  <si>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</si>
  <si>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</si>
  <si>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</si>
  <si>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</si>
  <si>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</si>
  <si>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</si>
  <si>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</si>
  <si>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</si>
  <si>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</si>
  <si>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</si>
  <si>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</si>
  <si>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</si>
  <si>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</si>
  <si>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</si>
  <si>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</si>
  <si>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</si>
  <si>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</si>
  <si>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</si>
  <si>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</si>
  <si>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</si>
  <si>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</si>
  <si>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</si>
  <si>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</si>
  <si>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</si>
  <si>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</si>
  <si>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</si>
  <si>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</si>
  <si>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</si>
  <si>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</si>
  <si>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</si>
  <si>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</si>
  <si>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</si>
  <si>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</si>
  <si>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</si>
  <si>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</si>
  <si>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</si>
  <si>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</si>
  <si>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</si>
  <si>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</si>
  <si>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</si>
  <si>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</si>
  <si>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</si>
  <si>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</si>
  <si>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</si>
  <si>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</si>
  <si>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</si>
  <si>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</si>
  <si>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</si>
  <si>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</si>
  <si>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</si>
  <si>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</si>
  <si>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</si>
  <si>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</si>
  <si>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</si>
  <si>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</si>
  <si>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</si>
  <si>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</si>
  <si>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</si>
  <si>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</si>
  <si>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</si>
  <si>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</si>
  <si>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</si>
  <si>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</si>
  <si>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</si>
  <si>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</si>
  <si>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</si>
  <si>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</si>
  <si>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</si>
  <si>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</si>
  <si>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</si>
  <si>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</si>
  <si>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</si>
  <si>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</si>
  <si>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</si>
  <si>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</si>
  <si>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</si>
  <si>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</si>
  <si>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</si>
  <si>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</si>
  <si>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</si>
  <si>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</si>
  <si>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</si>
  <si>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</si>
  <si>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</si>
  <si>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</si>
  <si>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</si>
  <si>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</si>
  <si>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</si>
  <si>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</si>
  <si>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</si>
  <si>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</si>
  <si>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</si>
  <si>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</si>
  <si>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</si>
  <si>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</si>
  <si>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</si>
  <si>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</si>
  <si>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</si>
  <si>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</si>
  <si>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</si>
  <si>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</si>
  <si>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</si>
  <si>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</si>
  <si>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</si>
  <si>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</si>
  <si>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</si>
  <si>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</si>
  <si>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</si>
  <si>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</si>
  <si>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</si>
  <si>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</si>
  <si>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</si>
  <si>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</si>
  <si>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</si>
  <si>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</si>
  <si>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</si>
  <si>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</si>
  <si>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</si>
  <si>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</si>
  <si>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</si>
  <si>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</si>
  <si>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</si>
  <si>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</si>
  <si>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</si>
  <si>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</si>
  <si>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</si>
  <si>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</si>
  <si>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</si>
  <si>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</si>
  <si>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</si>
  <si>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</si>
  <si>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</si>
  <si>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</si>
  <si>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</si>
  <si>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</si>
  <si>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</si>
  <si>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</si>
  <si>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</si>
  <si>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</si>
  <si>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</si>
  <si>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</si>
  <si>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</si>
  <si>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</si>
  <si>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</si>
  <si>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</si>
  <si>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</si>
  <si>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</si>
  <si>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</si>
  <si>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</si>
  <si>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</si>
  <si>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</si>
  <si>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</si>
  <si>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</si>
  <si>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</si>
  <si>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</si>
  <si>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</si>
  <si>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</si>
  <si>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</si>
  <si>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</si>
  <si>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</si>
  <si>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</si>
  <si>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</si>
  <si>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</si>
  <si>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</si>
  <si>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</si>
  <si>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</si>
  <si>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</si>
  <si>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</si>
  <si>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</si>
  <si>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</si>
  <si>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</si>
  <si>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</si>
  <si>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</si>
  <si>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</si>
  <si>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</si>
  <si>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</si>
  <si>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</si>
  <si>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</si>
  <si>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</si>
  <si>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</si>
  <si>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</si>
  <si>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</si>
  <si>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</si>
  <si>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</si>
  <si>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</si>
  <si>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</si>
  <si>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</si>
  <si>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</si>
  <si>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</si>
  <si>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</si>
  <si>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</si>
  <si>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</si>
  <si>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</si>
  <si>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</si>
  <si>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</si>
  <si>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</si>
  <si>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</si>
  <si>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</si>
  <si>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</si>
  <si>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</si>
  <si>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</si>
  <si>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</si>
  <si>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</si>
  <si>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</si>
  <si>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</si>
  <si>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</si>
  <si>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</si>
  <si>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</si>
  <si>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</si>
  <si>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</si>
  <si>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</si>
  <si>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</si>
  <si>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</si>
  <si>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</si>
  <si>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</si>
  <si>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</si>
  <si>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</si>
  <si>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</si>
  <si>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</si>
  <si>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</si>
  <si>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</si>
  <si>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</si>
  <si>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</si>
  <si>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</si>
  <si>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</si>
  <si>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</si>
  <si>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</si>
  <si>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</si>
  <si>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</si>
  <si>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</si>
  <si>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</si>
  <si>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</si>
  <si>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</si>
  <si>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</si>
  <si>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</si>
  <si>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</si>
  <si>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</si>
  <si>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</si>
  <si>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</si>
  <si>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</si>
  <si>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</si>
  <si>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</si>
  <si>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</si>
  <si>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</si>
  <si>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</si>
  <si>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</si>
  <si>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</si>
  <si>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</si>
  <si>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</si>
  <si>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</si>
  <si>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</si>
  <si>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</si>
  <si>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</si>
  <si>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</si>
  <si>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</si>
  <si>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</si>
  <si>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</si>
  <si>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</si>
  <si>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</si>
  <si>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</si>
  <si>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</si>
  <si>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</si>
  <si>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</si>
  <si>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</si>
  <si>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</si>
  <si>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</si>
  <si>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</si>
  <si>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</si>
  <si>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</si>
  <si>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</si>
  <si>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</si>
  <si>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</si>
  <si>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</si>
  <si>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</si>
  <si>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</si>
  <si>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</si>
  <si>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</si>
  <si>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</si>
  <si>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</si>
  <si>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</si>
  <si>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</si>
  <si>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</si>
  <si>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</si>
  <si>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</si>
  <si>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</si>
  <si>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</si>
  <si>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</si>
  <si>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</si>
  <si>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</si>
  <si>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</si>
  <si>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</si>
  <si>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</si>
  <si>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</si>
  <si>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</si>
  <si>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</si>
  <si>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</si>
  <si>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</si>
  <si>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</si>
  <si>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</si>
  <si>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</si>
  <si>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</si>
  <si>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</si>
  <si>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</si>
  <si>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</si>
  <si>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</si>
  <si>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</si>
  <si>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</si>
  <si>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</si>
  <si>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</si>
  <si>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</si>
  <si>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</si>
  <si>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</si>
  <si>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</si>
  <si>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</si>
  <si>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</si>
  <si>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</si>
  <si>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</si>
  <si>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</si>
  <si>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</si>
  <si>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</si>
  <si>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</si>
  <si>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</si>
  <si>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</si>
  <si>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</si>
  <si>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</si>
  <si>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</si>
  <si>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</si>
  <si>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</si>
  <si>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</si>
  <si>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</si>
  <si>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</si>
  <si>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</si>
  <si>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</si>
  <si>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</si>
  <si>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</si>
  <si>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</si>
  <si>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</si>
  <si>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</si>
  <si>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</si>
  <si>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</si>
  <si>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</si>
  <si>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</si>
  <si>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</si>
  <si>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</si>
  <si>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</si>
  <si>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</si>
  <si>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</si>
  <si>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</si>
  <si>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</si>
  <si>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</si>
  <si>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</si>
  <si>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</si>
  <si>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</si>
  <si>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</si>
  <si>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</si>
  <si>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</si>
  <si>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</si>
  <si>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</si>
  <si>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</si>
  <si>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</si>
  <si>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</si>
  <si>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</si>
  <si>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</si>
  <si>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</si>
  <si>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</si>
  <si>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</si>
  <si>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</si>
  <si>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</si>
  <si>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</si>
  <si>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</si>
  <si>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</si>
  <si>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</si>
  <si>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</si>
  <si>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</si>
  <si>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</si>
  <si>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</si>
  <si>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</si>
  <si>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</si>
  <si>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</si>
  <si>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</si>
  <si>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</si>
  <si>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</si>
  <si>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</si>
  <si>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</si>
  <si>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</si>
  <si>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</si>
  <si>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</si>
  <si>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</si>
  <si>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</si>
  <si>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</si>
  <si>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</si>
  <si>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</si>
  <si>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</si>
  <si>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</si>
  <si>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</si>
  <si>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</si>
  <si>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</si>
  <si>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</si>
  <si>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</si>
  <si>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</si>
  <si>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</si>
  <si>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</si>
  <si>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</si>
  <si>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</si>
  <si>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</si>
  <si>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</si>
  <si>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</si>
  <si>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</si>
  <si>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</si>
  <si>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</si>
  <si>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</si>
  <si>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</si>
  <si>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</si>
  <si>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</si>
  <si>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</si>
  <si>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</si>
  <si>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</si>
  <si>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</si>
  <si>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</si>
  <si>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</si>
  <si>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</si>
  <si>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</si>
  <si>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</si>
  <si>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</si>
  <si>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</si>
  <si>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</si>
  <si>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</si>
  <si>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</si>
  <si>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</si>
  <si>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</si>
  <si>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</si>
  <si>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</si>
  <si>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</si>
  <si>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</si>
  <si>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</si>
  <si>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</si>
  <si>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</si>
  <si>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</si>
  <si>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</si>
  <si>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</si>
  <si>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</si>
  <si>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</si>
  <si>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</si>
  <si>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</si>
  <si>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</si>
  <si>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</si>
  <si>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</si>
  <si>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</si>
  <si>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</si>
  <si>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</si>
  <si>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</si>
  <si>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</si>
  <si>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</si>
  <si>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</si>
  <si>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</si>
  <si>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</si>
  <si>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</si>
  <si>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</si>
  <si>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</si>
  <si>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</si>
  <si>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</si>
  <si>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</si>
  <si>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</si>
  <si>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</si>
  <si>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</si>
  <si>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</si>
  <si>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</si>
  <si>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</si>
  <si>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</si>
  <si>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</si>
  <si>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</si>
  <si>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</si>
  <si>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</si>
  <si>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</si>
  <si>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</si>
  <si>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</si>
  <si>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</si>
  <si>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</si>
  <si>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</si>
  <si>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</si>
  <si>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</si>
  <si>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</si>
  <si>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</si>
  <si>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</si>
  <si>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</si>
  <si>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</si>
  <si>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</si>
  <si>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</si>
  <si>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</si>
  <si>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</si>
  <si>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</si>
  <si>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</si>
  <si>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</si>
  <si>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</si>
  <si>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</si>
  <si>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</si>
  <si>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</si>
  <si>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</si>
  <si>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</si>
  <si>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</si>
  <si>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</si>
  <si>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</si>
  <si>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</si>
  <si>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</si>
  <si>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</si>
  <si>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</si>
  <si>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</si>
  <si>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</si>
  <si>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</si>
  <si>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</si>
  <si>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</si>
  <si>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</si>
  <si>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</si>
  <si>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</si>
  <si>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</si>
  <si>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</si>
  <si>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</si>
  <si>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</si>
  <si>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</si>
  <si>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</si>
  <si>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</si>
  <si>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</si>
  <si>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</si>
  <si>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</si>
  <si>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</si>
  <si>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</si>
  <si>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</si>
  <si>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</si>
  <si>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</si>
  <si>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</si>
  <si>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</si>
  <si>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</si>
  <si>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</si>
  <si>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</si>
  <si>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</si>
  <si>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</si>
  <si>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</si>
  <si>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</si>
  <si>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</si>
  <si>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</si>
  <si>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</si>
  <si>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</si>
  <si>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</si>
  <si>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</si>
  <si>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</si>
  <si>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</si>
  <si>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</si>
  <si>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</si>
  <si>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</si>
  <si>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</si>
  <si>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</si>
  <si>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</si>
  <si>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</si>
  <si>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</si>
  <si>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</si>
  <si>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</si>
  <si>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</si>
  <si>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</si>
  <si>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</si>
  <si>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</si>
  <si>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</si>
  <si>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</si>
  <si>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</si>
  <si>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</si>
  <si>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</si>
  <si>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</si>
  <si>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</si>
  <si>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</si>
  <si>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</si>
  <si>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</si>
  <si>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</si>
  <si>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</si>
  <si>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</si>
  <si>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</si>
  <si>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</si>
  <si>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</si>
  <si>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</si>
  <si>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</si>
  <si>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</si>
  <si>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</si>
  <si>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</si>
  <si>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</si>
  <si>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</si>
  <si>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</si>
  <si>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</si>
  <si>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</si>
  <si>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</si>
  <si>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</si>
  <si>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</si>
  <si>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</si>
  <si>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</si>
  <si>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</si>
  <si>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</si>
  <si>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</si>
  <si>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</si>
  <si>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</si>
  <si>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</si>
  <si>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</si>
  <si>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</si>
  <si>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</si>
  <si>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</si>
  <si>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</si>
  <si>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</si>
  <si>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</si>
  <si>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</si>
  <si>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</si>
  <si>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</si>
  <si>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</si>
  <si>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</si>
  <si>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</si>
  <si>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</si>
  <si>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</si>
  <si>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</si>
  <si>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</si>
  <si>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</si>
  <si>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</si>
  <si>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</si>
  <si>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</si>
  <si>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</si>
  <si>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</si>
  <si>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</si>
  <si>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</si>
  <si>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</si>
  <si>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</si>
  <si>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</si>
  <si>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</si>
  <si>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</si>
  <si>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</si>
  <si>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</si>
  <si>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</si>
  <si>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</si>
  <si>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</si>
  <si>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</si>
  <si>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</si>
  <si>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</si>
  <si>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</si>
  <si>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</si>
  <si>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</si>
  <si>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</si>
  <si>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</si>
  <si>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</si>
  <si>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</si>
  <si>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</si>
  <si>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</si>
  <si>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</si>
  <si>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</si>
  <si>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</si>
  <si>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</si>
  <si>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</si>
  <si>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</si>
  <si>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</si>
  <si>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</si>
  <si>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</si>
  <si>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</si>
  <si>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</si>
  <si>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</si>
  <si>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</si>
  <si>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</si>
  <si>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</si>
  <si>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</si>
  <si>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</si>
  <si>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</si>
  <si>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</si>
  <si>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</si>
  <si>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</si>
  <si>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</si>
  <si>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</si>
  <si>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</si>
  <si>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</si>
  <si>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</si>
  <si>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</si>
  <si>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</si>
  <si>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</si>
  <si>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</si>
  <si>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</si>
  <si>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</si>
  <si>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</si>
  <si>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</si>
  <si>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</si>
  <si>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</si>
  <si>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</si>
  <si>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</si>
  <si>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</si>
  <si>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</si>
  <si>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</si>
  <si>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</si>
  <si>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</si>
  <si>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</si>
  <si>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</si>
  <si>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</si>
  <si>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</si>
  <si>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</si>
  <si>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</si>
  <si>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</si>
  <si>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</si>
  <si>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</si>
  <si>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</si>
  <si>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</si>
  <si>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</si>
  <si>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</si>
  <si>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</si>
  <si>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</si>
  <si>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</si>
  <si>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</si>
  <si>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</si>
  <si>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</si>
  <si>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</si>
  <si>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</si>
  <si>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</si>
  <si>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</si>
  <si>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</si>
  <si>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</si>
  <si>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</si>
  <si>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</si>
  <si>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</si>
  <si>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</si>
  <si>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</si>
  <si>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</si>
  <si>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</si>
  <si>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</si>
  <si>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</si>
  <si>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</si>
  <si>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</si>
  <si>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</si>
  <si>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</si>
  <si>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</si>
  <si>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</si>
  <si>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</si>
  <si>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</si>
  <si>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</si>
  <si>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</si>
  <si>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</si>
  <si>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</si>
  <si>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</si>
  <si>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</si>
  <si>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</si>
  <si>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</si>
  <si>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</si>
  <si>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</si>
  <si>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</si>
  <si>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</si>
  <si>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</si>
  <si>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</si>
  <si>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</si>
  <si>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</si>
  <si>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</si>
  <si>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</si>
  <si>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</si>
  <si>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</si>
  <si>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</si>
  <si>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</si>
  <si>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</si>
  <si>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</si>
  <si>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</si>
  <si>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</si>
  <si>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</si>
  <si>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</si>
  <si>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</si>
  <si>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</si>
  <si>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</si>
  <si>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</si>
  <si>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</si>
  <si>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</si>
  <si>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</si>
  <si>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</si>
  <si>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</si>
  <si>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</si>
  <si>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</si>
  <si>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</si>
  <si>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</si>
  <si>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</si>
  <si>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</si>
  <si>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</si>
  <si>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</si>
  <si>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</si>
  <si>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</si>
  <si>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</si>
  <si>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</si>
  <si>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</si>
  <si>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</si>
  <si>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</si>
  <si>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</si>
  <si>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</si>
  <si>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</si>
  <si>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</si>
  <si>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</si>
  <si>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</si>
  <si>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</si>
  <si>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</si>
  <si>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</si>
  <si>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</si>
  <si>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</si>
  <si>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</si>
  <si>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</si>
  <si>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</si>
  <si>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</si>
  <si>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</si>
  <si>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</si>
  <si>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</si>
  <si>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</si>
  <si>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</si>
  <si>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</si>
  <si>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</si>
  <si>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</si>
  <si>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</si>
  <si>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</si>
  <si>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</si>
  <si>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</si>
  <si>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</si>
  <si>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</si>
  <si>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</si>
  <si>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</si>
  <si>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</si>
  <si>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</si>
  <si>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</si>
  <si>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</si>
  <si>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</si>
  <si>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</si>
  <si>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</si>
  <si>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</si>
  <si>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</si>
  <si>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</si>
  <si>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</si>
  <si>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</si>
  <si>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</si>
  <si>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</si>
  <si>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</si>
  <si>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</si>
  <si>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</si>
  <si>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</si>
  <si>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</si>
  <si>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</si>
  <si>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</si>
  <si>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</si>
  <si>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</si>
  <si>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</si>
  <si>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</si>
  <si>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</si>
  <si>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</si>
  <si>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</si>
  <si>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</si>
  <si>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</si>
  <si>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</si>
  <si>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</si>
  <si>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</si>
  <si>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</si>
  <si>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</si>
  <si>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</si>
  <si>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</si>
  <si>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</si>
  <si>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</si>
  <si>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</si>
  <si>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</si>
  <si>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</si>
  <si>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</si>
  <si>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</si>
  <si>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</si>
  <si>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</si>
  <si>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</si>
  <si>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</si>
  <si>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</si>
  <si>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</si>
  <si>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</si>
  <si>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</si>
  <si>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</si>
  <si>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</si>
  <si>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</si>
  <si>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</si>
  <si>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</si>
  <si>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</si>
  <si>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</si>
  <si>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</si>
  <si>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</si>
  <si>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</si>
  <si>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</si>
  <si>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</si>
  <si>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</si>
  <si>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</si>
  <si>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</si>
  <si>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</si>
  <si>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</si>
  <si>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</si>
  <si>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</si>
  <si>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</si>
  <si>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</si>
  <si>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</si>
  <si>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</si>
  <si>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</si>
  <si>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</si>
  <si>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</si>
  <si>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</si>
  <si>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</si>
  <si>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</si>
  <si>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</si>
  <si>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</si>
  <si>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</si>
  <si>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</si>
  <si>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</si>
  <si>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</si>
  <si>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</si>
  <si>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</si>
  <si>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</si>
  <si>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</si>
  <si>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</si>
  <si>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</si>
  <si>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</si>
  <si>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</si>
  <si>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</si>
  <si>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</si>
  <si>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</si>
  <si>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</si>
  <si>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</si>
  <si>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</si>
  <si>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</si>
  <si>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</si>
  <si>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</si>
  <si>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</si>
  <si>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</si>
  <si>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</si>
  <si>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</si>
  <si>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</si>
  <si>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</si>
  <si>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</si>
  <si>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</si>
  <si>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</si>
  <si>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</si>
  <si>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</si>
  <si>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</si>
  <si>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</si>
  <si>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</si>
  <si>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</si>
  <si>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</si>
  <si>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</si>
  <si>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</si>
  <si>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</si>
  <si>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</si>
  <si>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</si>
  <si>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</si>
  <si>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</si>
  <si>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</si>
  <si>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</si>
  <si>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</si>
  <si>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</si>
  <si>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</si>
  <si>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</si>
  <si>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</si>
  <si>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</si>
  <si>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</si>
  <si>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</si>
  <si>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</si>
  <si>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</si>
  <si>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</si>
  <si>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</si>
  <si>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</si>
  <si>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</si>
  <si>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</si>
  <si>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</si>
  <si>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</si>
  <si>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</si>
  <si>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</si>
  <si>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</si>
  <si>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</si>
  <si>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</si>
  <si>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</si>
  <si>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</si>
  <si>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</si>
  <si>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</si>
  <si>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</si>
  <si>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</si>
  <si>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</si>
  <si>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</si>
  <si>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</si>
  <si>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</si>
  <si>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</si>
  <si>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</si>
  <si>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</si>
  <si>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</si>
  <si>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</si>
  <si>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</si>
  <si>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</si>
  <si>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</si>
  <si>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</si>
  <si>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</si>
  <si>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</si>
  <si>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</si>
  <si>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</si>
  <si>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</si>
  <si>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</si>
  <si>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</si>
  <si>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</si>
  <si>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</si>
  <si>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</si>
  <si>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</si>
  <si>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</si>
  <si>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</si>
  <si>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</si>
  <si>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</si>
  <si>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</si>
  <si>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</si>
  <si>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</si>
  <si>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</si>
  <si>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</si>
  <si>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</si>
  <si>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</si>
  <si>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</si>
  <si>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</si>
  <si>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</si>
  <si>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</si>
  <si>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</si>
  <si>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</si>
  <si>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</si>
  <si>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</si>
  <si>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</si>
  <si>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</si>
  <si>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</si>
  <si>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</si>
  <si>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</si>
  <si>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</si>
  <si>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</si>
  <si>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</si>
  <si>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</si>
  <si>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</si>
  <si>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</si>
  <si>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</si>
  <si>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</si>
  <si>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</si>
  <si>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</si>
  <si>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</si>
  <si>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</si>
  <si>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</si>
  <si>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</si>
  <si>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</si>
  <si>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</si>
  <si>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</si>
  <si>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</si>
  <si>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</si>
  <si>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</si>
  <si>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</si>
  <si>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</si>
  <si>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</si>
  <si>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</si>
  <si>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</si>
  <si>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</si>
  <si>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</si>
  <si>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</si>
  <si>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</si>
  <si>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</si>
  <si>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</si>
  <si>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</si>
  <si>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</si>
  <si>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</si>
  <si>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</si>
  <si>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</si>
  <si>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</si>
  <si>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</si>
  <si>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</si>
  <si>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</si>
  <si>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</si>
  <si>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</si>
  <si>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</si>
  <si>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</si>
  <si>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</si>
  <si>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</si>
  <si>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</si>
  <si>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</si>
  <si>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</si>
  <si>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</si>
  <si>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</si>
  <si>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</si>
  <si>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</si>
  <si>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</si>
  <si>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</si>
  <si>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</si>
  <si>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</si>
  <si>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</si>
  <si>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</si>
  <si>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</si>
  <si>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</si>
  <si>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</si>
  <si>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</si>
  <si>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</si>
  <si>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</si>
  <si>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</si>
  <si>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</si>
  <si>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</si>
  <si>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</si>
  <si>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</si>
  <si>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</si>
  <si>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</si>
  <si>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</si>
  <si>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</si>
  <si>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</si>
  <si>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</si>
  <si>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</si>
  <si>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</si>
  <si>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</si>
  <si>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</si>
  <si>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</si>
  <si>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</si>
  <si>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</si>
  <si>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</si>
  <si>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</si>
  <si>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</si>
  <si>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</si>
  <si>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</si>
  <si>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</si>
  <si>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</si>
  <si>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</si>
  <si>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</si>
  <si>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</si>
  <si>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</si>
  <si>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</si>
  <si>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</si>
  <si>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</si>
  <si>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</si>
  <si>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</si>
  <si>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</si>
  <si>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</si>
  <si>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</si>
  <si>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</si>
  <si>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</si>
  <si>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</si>
  <si>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</si>
  <si>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</si>
  <si>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</si>
  <si>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</si>
  <si>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</si>
  <si>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</si>
  <si>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</si>
  <si>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</si>
  <si>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</si>
  <si>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</si>
  <si>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</si>
  <si>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</si>
  <si>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</si>
  <si>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</si>
  <si>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</si>
  <si>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</si>
  <si>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</si>
  <si>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</si>
  <si>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</si>
  <si>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</si>
  <si>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</si>
  <si>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</si>
  <si>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</si>
  <si>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</si>
  <si>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</si>
  <si>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</si>
  <si>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</si>
  <si>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</si>
  <si>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</si>
  <si>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</si>
  <si>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</si>
  <si>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</si>
  <si>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</si>
  <si>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</si>
  <si>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</si>
  <si>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</si>
  <si>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</si>
  <si>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</si>
  <si>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</si>
  <si>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</si>
  <si>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</si>
  <si>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</si>
  <si>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</si>
  <si>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</si>
  <si>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</si>
  <si>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</si>
  <si>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</si>
  <si>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</si>
  <si>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</si>
  <si>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</si>
  <si>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</si>
  <si>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</si>
  <si>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</si>
  <si>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</si>
  <si>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</si>
  <si>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</si>
  <si>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</si>
  <si>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</si>
  <si>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</si>
  <si>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</si>
  <si>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</si>
  <si>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</si>
  <si>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</si>
  <si>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</si>
  <si>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</si>
  <si>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</si>
  <si>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</si>
  <si>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</si>
  <si>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</si>
  <si>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</si>
  <si>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</si>
  <si>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</si>
  <si>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</si>
  <si>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</si>
  <si>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</si>
  <si>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</si>
  <si>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</si>
  <si>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</si>
  <si>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</si>
  <si>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</si>
  <si>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</si>
  <si>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</si>
  <si>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</si>
  <si>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</si>
  <si>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</si>
  <si>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</si>
  <si>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</si>
  <si>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</si>
  <si>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</si>
  <si>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</si>
  <si>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</si>
  <si>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</si>
  <si>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</si>
  <si>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</si>
  <si>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</si>
  <si>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</si>
  <si>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</si>
  <si>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</si>
  <si>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</si>
  <si>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</si>
  <si>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</si>
  <si>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</si>
  <si>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</si>
  <si>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</si>
  <si>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</si>
  <si>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</si>
  <si>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</si>
  <si>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</si>
  <si>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</si>
  <si>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</si>
  <si>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</si>
  <si>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</si>
  <si>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</si>
  <si>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</si>
  <si>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</si>
  <si>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</si>
  <si>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</si>
  <si>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</si>
  <si>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</si>
  <si>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</si>
  <si>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</si>
  <si>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</si>
  <si>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</si>
  <si>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</si>
  <si>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</si>
  <si>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</si>
  <si>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</si>
  <si>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</si>
  <si>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</si>
  <si>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</si>
  <si>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</si>
  <si>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</si>
  <si>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</si>
  <si>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</si>
  <si>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</si>
  <si>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</si>
  <si>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</si>
  <si>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</si>
  <si>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</si>
  <si>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</si>
  <si>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</si>
  <si>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</si>
  <si>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</si>
  <si>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</si>
  <si>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</si>
  <si>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</si>
  <si>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</si>
  <si>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</si>
  <si>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</si>
  <si>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</si>
  <si>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</si>
  <si>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</si>
  <si>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</si>
  <si>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</si>
  <si>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</si>
  <si>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</si>
  <si>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</si>
  <si>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</si>
  <si>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</si>
  <si>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</si>
  <si>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</si>
  <si>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</si>
  <si>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</si>
  <si>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</si>
  <si>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</si>
  <si>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</si>
  <si>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</si>
  <si>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</si>
  <si>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</si>
  <si>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</si>
  <si>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</si>
  <si>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</si>
  <si>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</si>
  <si>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</si>
  <si>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</si>
  <si>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</si>
  <si>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</si>
  <si>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</si>
  <si>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</si>
  <si>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</si>
  <si>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</si>
  <si>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</si>
  <si>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</si>
  <si>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</si>
  <si>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</si>
  <si>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</si>
  <si>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</si>
  <si>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</si>
  <si>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</si>
  <si>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</si>
  <si>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</si>
  <si>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</si>
  <si>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</si>
  <si>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</si>
  <si>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</si>
  <si>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</si>
  <si>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</si>
  <si>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</si>
  <si>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</si>
  <si>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</si>
  <si>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</si>
  <si>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</si>
  <si>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</si>
  <si>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</si>
  <si>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</si>
  <si>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</si>
  <si>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</si>
  <si>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</si>
  <si>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</si>
  <si>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</si>
  <si>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</si>
  <si>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</si>
  <si>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</si>
  <si>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</si>
  <si>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</si>
  <si>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</si>
  <si>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</si>
  <si>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</si>
  <si>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</si>
  <si>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</si>
  <si>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</si>
  <si>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</si>
  <si>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</si>
  <si>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</si>
  <si>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</si>
  <si>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</si>
  <si>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</si>
  <si>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</si>
  <si>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</si>
  <si>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</si>
  <si>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</si>
  <si>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</si>
  <si>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</si>
  <si>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</si>
  <si>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</si>
  <si>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</si>
  <si>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</si>
  <si>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</si>
  <si>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</si>
  <si>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</si>
  <si>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</si>
  <si>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</si>
  <si>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</si>
  <si>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</si>
  <si>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</si>
  <si>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</si>
  <si>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</si>
  <si>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</si>
  <si>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</si>
  <si>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</si>
  <si>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</si>
  <si>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</si>
  <si>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</si>
  <si>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</si>
  <si>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</si>
  <si>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</si>
  <si>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</si>
  <si>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</si>
  <si>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</si>
  <si>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</si>
  <si>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</si>
  <si>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</si>
  <si>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</si>
  <si>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</si>
  <si>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</si>
  <si>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</si>
  <si>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</si>
  <si>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</si>
  <si>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</si>
  <si>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</si>
  <si>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</si>
  <si>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</si>
  <si>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</si>
  <si>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</si>
  <si>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</si>
  <si>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</si>
  <si>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</si>
  <si>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</si>
  <si>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</si>
  <si>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</si>
  <si>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</si>
  <si>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</si>
  <si>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</si>
  <si>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</si>
  <si>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</si>
  <si>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</si>
  <si>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</si>
  <si>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</si>
  <si>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</si>
  <si>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</si>
  <si>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</si>
  <si>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</si>
  <si>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</si>
  <si>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</si>
  <si>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</si>
  <si>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</si>
  <si>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</si>
  <si>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</si>
  <si>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</si>
  <si>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</si>
  <si>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</si>
  <si>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</si>
  <si>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</si>
  <si>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</si>
  <si>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</si>
  <si>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</si>
  <si>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</si>
  <si>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</si>
  <si>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</si>
  <si>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</si>
  <si>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</si>
  <si>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</si>
  <si>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</si>
  <si>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</si>
  <si>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</si>
  <si>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</si>
  <si>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</si>
  <si>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</si>
  <si>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</si>
  <si>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</si>
  <si>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</si>
  <si>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</si>
  <si>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</si>
  <si>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</si>
  <si>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</si>
  <si>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</si>
  <si>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</si>
  <si>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</si>
  <si>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</si>
  <si>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</si>
  <si>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</si>
  <si>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</si>
  <si>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</si>
  <si>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</si>
  <si>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</si>
  <si>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</si>
  <si>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</si>
  <si>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</si>
  <si>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</si>
  <si>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</si>
  <si>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</si>
  <si>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</si>
  <si>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</si>
  <si>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</si>
  <si>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</si>
  <si>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</si>
  <si>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</si>
  <si>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</si>
  <si>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</si>
  <si>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</si>
  <si>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</si>
  <si>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</si>
  <si>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</si>
  <si>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</si>
  <si>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</si>
  <si>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</si>
  <si>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</si>
  <si>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</si>
  <si>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</si>
  <si>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</si>
  <si>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</si>
  <si>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</si>
  <si>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</si>
  <si>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</si>
  <si>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</si>
  <si>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</si>
  <si>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</si>
  <si>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</si>
  <si>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</si>
  <si>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</si>
  <si>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</si>
  <si>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</si>
  <si>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</si>
  <si>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</si>
  <si>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</si>
  <si>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</si>
  <si>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</si>
  <si>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</si>
  <si>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</si>
  <si>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</si>
  <si>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</si>
  <si>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</si>
  <si>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</si>
  <si>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</si>
  <si>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</si>
  <si>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</si>
  <si>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</si>
  <si>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</si>
  <si>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</si>
  <si>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</si>
  <si>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</si>
  <si>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</si>
  <si>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</si>
  <si>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</si>
  <si>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</si>
  <si>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</si>
  <si>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</si>
  <si>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</si>
  <si>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</si>
  <si>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</si>
  <si>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</si>
  <si>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</si>
  <si>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</si>
  <si>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</si>
  <si>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</si>
  <si>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</si>
  <si>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</si>
  <si>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</si>
  <si>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</si>
  <si>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</si>
  <si>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</si>
  <si>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</si>
  <si>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</si>
  <si>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</si>
  <si>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</si>
  <si>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</si>
  <si>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</si>
  <si>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</si>
  <si>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</si>
  <si>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</si>
  <si>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</si>
  <si>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</si>
  <si>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</si>
  <si>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</si>
  <si>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</si>
  <si>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</si>
  <si>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</si>
  <si>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</si>
  <si>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</si>
  <si>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</si>
  <si>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</si>
  <si>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</si>
  <si>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</si>
  <si>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</si>
  <si>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</si>
  <si>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</si>
  <si>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</si>
  <si>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</si>
  <si>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</si>
  <si>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</si>
  <si>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</si>
  <si>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</si>
  <si>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</si>
  <si>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</si>
  <si>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</si>
  <si>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</si>
  <si>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</si>
  <si>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</si>
  <si>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</si>
  <si>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</si>
  <si>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</si>
  <si>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</si>
  <si>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</si>
  <si>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</si>
  <si>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</si>
  <si>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</si>
  <si>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</si>
  <si>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</si>
  <si>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</si>
  <si>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</si>
  <si>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</si>
  <si>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</si>
  <si>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</si>
  <si>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</si>
  <si>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</si>
  <si>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</si>
  <si>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</si>
  <si>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</si>
  <si>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</si>
  <si>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</si>
  <si>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</si>
  <si>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</si>
  <si>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</si>
  <si>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</si>
  <si>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</si>
  <si>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</si>
  <si>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</si>
  <si>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</si>
  <si>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</si>
  <si>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</si>
  <si>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</si>
  <si>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</si>
  <si>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</si>
  <si>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</si>
  <si>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</si>
  <si>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</si>
  <si>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</si>
  <si>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</si>
  <si>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</si>
  <si>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</si>
  <si>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</si>
  <si>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</si>
  <si>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</si>
  <si>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</si>
  <si>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</si>
  <si>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</si>
  <si>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</si>
  <si>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</si>
  <si>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</si>
  <si>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</si>
  <si>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</si>
  <si>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</si>
  <si>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</si>
  <si>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</si>
  <si>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</si>
  <si>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</si>
  <si>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</si>
  <si>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</si>
  <si>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</si>
  <si>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</si>
  <si>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</si>
  <si>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</si>
  <si>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</si>
  <si>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</si>
  <si>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</si>
  <si>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</si>
  <si>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</si>
  <si>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</si>
  <si>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</si>
  <si>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</si>
  <si>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</si>
  <si>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</si>
  <si>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</si>
  <si>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</si>
  <si>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</si>
  <si>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</si>
  <si>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</si>
  <si>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</si>
  <si>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</si>
  <si>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</si>
  <si>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</si>
  <si>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</si>
  <si>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</si>
  <si>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</si>
  <si>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</si>
  <si>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</si>
  <si>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</si>
  <si>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</si>
  <si>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</si>
  <si>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</si>
  <si>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</si>
  <si>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</si>
  <si>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</si>
  <si>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</si>
  <si>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</si>
  <si>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</si>
  <si>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</si>
  <si>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</si>
  <si>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</si>
  <si>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</si>
  <si>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</si>
  <si>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</si>
  <si>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</si>
  <si>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</si>
  <si>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</si>
  <si>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</si>
  <si>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</si>
  <si>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</si>
  <si>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</si>
  <si>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</si>
  <si>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</si>
  <si>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</si>
  <si>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</si>
  <si>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</si>
  <si>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</si>
  <si>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</si>
  <si>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</si>
  <si>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</si>
  <si>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</si>
  <si>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</si>
  <si>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</si>
  <si>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</si>
  <si>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</si>
  <si>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</si>
  <si>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</si>
  <si>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</si>
  <si>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</si>
  <si>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</si>
  <si>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</si>
  <si>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</si>
  <si>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</si>
  <si>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</si>
  <si>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</si>
  <si>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</si>
  <si>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</si>
  <si>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</si>
  <si>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</si>
  <si>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</si>
  <si>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</si>
  <si>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</si>
  <si>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</si>
  <si>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</si>
  <si>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</si>
  <si>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</si>
  <si>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</si>
  <si>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</si>
  <si>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</si>
  <si>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</si>
  <si>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</si>
  <si>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</si>
  <si>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</si>
  <si>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</si>
  <si>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</si>
  <si>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</si>
  <si>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</si>
  <si>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</si>
  <si>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</si>
  <si>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</si>
  <si>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</si>
  <si>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</si>
  <si>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</si>
  <si>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</si>
  <si>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</si>
  <si>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</si>
  <si>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</si>
  <si>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</si>
  <si>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</si>
  <si>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</si>
  <si>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</si>
  <si>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</si>
  <si>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</si>
  <si>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</si>
  <si>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</si>
  <si>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</si>
  <si>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</si>
  <si>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</si>
  <si>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</si>
  <si>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</si>
  <si>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</si>
  <si>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</si>
  <si>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</si>
  <si>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</si>
  <si>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</si>
  <si>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</si>
  <si>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</si>
  <si>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</si>
  <si>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</si>
  <si>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</si>
  <si>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</si>
  <si>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</si>
  <si>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</si>
  <si>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</si>
  <si>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</si>
  <si>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</si>
  <si>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</si>
  <si>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</si>
  <si>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</si>
  <si>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</si>
  <si>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</si>
  <si>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</si>
  <si>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</si>
  <si>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</si>
  <si>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</si>
  <si>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</si>
  <si>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</si>
  <si>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</si>
  <si>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</si>
  <si>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</si>
  <si>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</si>
  <si>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</si>
  <si>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</si>
  <si>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</si>
  <si>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</si>
  <si>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</si>
  <si>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</si>
  <si>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</si>
  <si>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</si>
  <si>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</si>
  <si>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</si>
  <si>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</si>
  <si>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</si>
  <si>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</si>
  <si>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</si>
  <si>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</si>
  <si>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</si>
  <si>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</si>
  <si>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</si>
  <si>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</si>
  <si>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</si>
  <si>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</si>
  <si>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</si>
  <si>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</si>
  <si>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</si>
  <si>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</si>
  <si>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</si>
  <si>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</si>
  <si>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</si>
  <si>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</si>
  <si>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</si>
  <si>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</si>
  <si>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</si>
  <si>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</si>
  <si>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</si>
  <si>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</si>
  <si>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</si>
  <si>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</si>
  <si>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</si>
  <si>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</si>
  <si>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</si>
  <si>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</si>
  <si>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</si>
  <si>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</si>
  <si>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</si>
  <si>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</si>
  <si>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</si>
  <si>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</si>
  <si>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</si>
  <si>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</si>
  <si>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</si>
  <si>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</si>
  <si>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</si>
  <si>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</si>
  <si>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</si>
  <si>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</si>
  <si>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</si>
  <si>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</si>
  <si>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</si>
  <si>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</si>
  <si>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</si>
  <si>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</si>
  <si>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</si>
  <si>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</si>
  <si>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</si>
  <si>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</si>
  <si>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</si>
  <si>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</si>
  <si>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</si>
  <si>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</si>
  <si>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</si>
  <si>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</si>
  <si>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</si>
  <si>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</si>
  <si>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</si>
  <si>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</si>
  <si>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</si>
  <si>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</si>
  <si>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</si>
  <si>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</si>
  <si>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</si>
  <si>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</si>
  <si>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</si>
  <si>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</si>
  <si>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</si>
  <si>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</si>
  <si>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</si>
  <si>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</si>
  <si>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</si>
  <si>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</si>
  <si>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</si>
  <si>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</si>
  <si>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</si>
  <si>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</si>
  <si>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</si>
  <si>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</si>
  <si>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</si>
  <si>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</si>
  <si>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</si>
  <si>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</si>
  <si>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</si>
  <si>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</si>
  <si>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</si>
  <si>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</si>
  <si>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</si>
  <si>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</si>
  <si>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</si>
  <si>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</si>
  <si>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</si>
  <si>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</si>
  <si>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</si>
  <si>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</si>
  <si>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</si>
  <si>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</si>
  <si>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</si>
  <si>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</si>
  <si>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</si>
  <si>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</si>
  <si>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</si>
  <si>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</si>
  <si>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</si>
  <si>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</si>
  <si>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</si>
  <si>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</si>
  <si>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</si>
  <si>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</si>
  <si>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</si>
  <si>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</si>
  <si>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</si>
  <si>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</si>
  <si>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</si>
  <si>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</si>
  <si>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</si>
  <si>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</si>
  <si>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</si>
  <si>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</si>
  <si>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</si>
  <si>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</si>
  <si>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</si>
  <si>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</si>
  <si>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</si>
  <si>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</si>
  <si>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</si>
  <si>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</si>
  <si>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</si>
  <si>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</si>
  <si>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</si>
  <si>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</si>
  <si>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</si>
  <si>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</si>
  <si>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</si>
  <si>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</si>
  <si>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</si>
  <si>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</si>
  <si>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</si>
  <si>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</si>
  <si>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</si>
  <si>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</si>
  <si>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</si>
  <si>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</si>
  <si>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</si>
  <si>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</si>
  <si>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</si>
  <si>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</si>
  <si>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</si>
  <si>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</si>
  <si>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</si>
  <si>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</si>
  <si>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</si>
  <si>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</si>
  <si>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</si>
  <si>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</si>
  <si>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</si>
  <si>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</si>
  <si>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</si>
  <si>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</si>
  <si>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</si>
  <si>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</si>
  <si>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</si>
  <si>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</si>
  <si>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</si>
  <si>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</si>
  <si>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</si>
  <si>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</si>
  <si>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</si>
  <si>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</si>
  <si>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</si>
  <si>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</si>
  <si>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</si>
  <si>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</si>
  <si>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</si>
  <si>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</si>
  <si>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</si>
  <si>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</si>
  <si>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</si>
  <si>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</si>
  <si>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</si>
  <si>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</si>
  <si>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</si>
  <si>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</si>
  <si>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</si>
  <si>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</si>
  <si>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</si>
  <si>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</si>
  <si>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</si>
  <si>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</si>
  <si>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</si>
  <si>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</si>
  <si>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</si>
  <si>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</si>
  <si>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</si>
  <si>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</si>
  <si>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</si>
  <si>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</si>
  <si>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</si>
  <si>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</si>
  <si>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</si>
  <si>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</si>
  <si>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</si>
  <si>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</si>
  <si>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</si>
  <si>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</si>
  <si>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</si>
  <si>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</si>
  <si>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</si>
  <si>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</si>
  <si>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</si>
  <si>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</si>
  <si>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</si>
  <si>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</si>
  <si>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</si>
  <si>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</si>
  <si>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</si>
  <si>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</si>
  <si>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</si>
  <si>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</si>
  <si>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</si>
  <si>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</si>
  <si>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</si>
  <si>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</si>
  <si>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</si>
  <si>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</si>
  <si>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</si>
  <si>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</si>
  <si>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</si>
  <si>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</si>
  <si>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</si>
  <si>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</si>
  <si>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</si>
  <si>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</si>
  <si>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</si>
  <si>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</si>
  <si>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</si>
  <si>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</si>
  <si>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</si>
  <si>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</si>
  <si>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</si>
  <si>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</si>
  <si>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</si>
  <si>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</si>
  <si>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</si>
  <si>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</si>
  <si>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</si>
  <si>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</si>
  <si>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</si>
  <si>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</si>
  <si>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</si>
  <si>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</si>
  <si>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</si>
  <si>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</si>
  <si>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</si>
  <si>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</si>
  <si>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</si>
  <si>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</si>
  <si>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</si>
  <si>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</si>
  <si>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</si>
  <si>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</si>
  <si>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</si>
  <si>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</si>
  <si>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</si>
  <si>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</si>
  <si>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</si>
  <si>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</si>
  <si>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</si>
  <si>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</si>
  <si>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</si>
  <si>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</si>
  <si>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</si>
  <si>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</si>
  <si>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</si>
  <si>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</si>
  <si>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</si>
  <si>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</si>
  <si>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</si>
  <si>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</si>
  <si>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</si>
  <si>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</si>
  <si>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</si>
  <si>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</si>
  <si>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</si>
  <si>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</si>
  <si>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</si>
  <si>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</si>
  <si>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</si>
  <si>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</si>
  <si>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</si>
  <si>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</si>
  <si>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</si>
  <si>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</si>
  <si>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</si>
  <si>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</si>
  <si>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</si>
  <si>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</si>
  <si>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</si>
  <si>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</si>
  <si>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</si>
  <si>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</si>
  <si>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</si>
  <si>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</si>
  <si>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</si>
  <si>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</si>
  <si>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</si>
  <si>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</si>
  <si>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</si>
  <si>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</si>
  <si>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</si>
  <si>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</si>
  <si>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</si>
  <si>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</si>
  <si>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</si>
  <si>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</si>
  <si>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</si>
  <si>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</si>
  <si>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</si>
  <si>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</si>
  <si>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</si>
  <si>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</si>
  <si>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</si>
  <si>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</si>
  <si>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</si>
  <si>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</si>
  <si>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</si>
  <si>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</si>
  <si>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</si>
  <si>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</si>
  <si>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</si>
  <si>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</si>
  <si>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</si>
  <si>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</si>
  <si>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</si>
  <si>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</si>
  <si>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</si>
  <si>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</si>
  <si>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</si>
  <si>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</si>
  <si>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</si>
  <si>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</si>
  <si>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</si>
  <si>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</si>
  <si>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</si>
  <si>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</si>
  <si>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</si>
  <si>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</si>
  <si>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</si>
  <si>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</si>
  <si>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</si>
  <si>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</si>
  <si>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</si>
  <si>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</si>
  <si>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</si>
  <si>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</si>
  <si>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</si>
  <si>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</si>
  <si>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</si>
  <si>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</si>
  <si>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</si>
  <si>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</si>
  <si>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</si>
  <si>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</si>
  <si>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</si>
  <si>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</si>
  <si>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</si>
  <si>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</si>
  <si>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</si>
  <si>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</si>
  <si>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</si>
  <si>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</si>
  <si>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</si>
  <si>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</si>
  <si>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</si>
  <si>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</si>
  <si>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</si>
  <si>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</si>
  <si>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</si>
  <si>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</si>
  <si>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</si>
  <si>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</si>
  <si>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</si>
  <si>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</si>
  <si>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</si>
  <si>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</si>
  <si>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</si>
  <si>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</si>
  <si>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</si>
  <si>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</si>
  <si>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</si>
  <si>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</si>
  <si>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</si>
  <si>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</si>
  <si>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</si>
  <si>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</si>
  <si>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</si>
  <si>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</si>
  <si>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</si>
  <si>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</si>
  <si>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</si>
  <si>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</si>
  <si>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</si>
  <si>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</si>
  <si>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</si>
  <si>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</si>
  <si>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</si>
  <si>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</si>
  <si>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</si>
  <si>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</si>
  <si>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</si>
  <si>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</si>
  <si>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</si>
  <si>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</si>
  <si>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</si>
  <si>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</si>
  <si>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</si>
  <si>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</si>
  <si>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</si>
  <si>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</si>
  <si>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</si>
  <si>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</si>
  <si>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</si>
  <si>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</si>
  <si>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</si>
  <si>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</si>
  <si>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</si>
  <si>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</si>
  <si>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</si>
  <si>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</si>
  <si>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</si>
  <si>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</si>
  <si>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</si>
  <si>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</si>
  <si>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</si>
  <si>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</si>
  <si>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</si>
  <si>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</si>
  <si>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</si>
  <si>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</si>
  <si>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</si>
  <si>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</si>
  <si>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</si>
  <si>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</si>
  <si>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</si>
  <si>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</si>
  <si>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</si>
  <si>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</si>
  <si>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</si>
  <si>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</si>
  <si>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</si>
  <si>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</si>
  <si>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</si>
  <si>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</si>
  <si>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</si>
  <si>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</si>
  <si>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</si>
  <si>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</si>
  <si>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</si>
  <si>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</si>
  <si>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</si>
  <si>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</si>
  <si>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</si>
  <si>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</si>
  <si>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</si>
  <si>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</si>
  <si>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</si>
  <si>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</si>
  <si>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</si>
  <si>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</si>
  <si>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</si>
  <si>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</si>
  <si>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</si>
  <si>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</si>
  <si>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</si>
  <si>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</si>
  <si>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</si>
  <si>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</si>
  <si>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</si>
  <si>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</si>
  <si>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</si>
  <si>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</si>
  <si>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</si>
  <si>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</si>
  <si>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</si>
  <si>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</si>
  <si>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</si>
  <si>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</si>
  <si>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</si>
  <si>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</si>
  <si>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</si>
  <si>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</si>
  <si>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</si>
  <si>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</si>
  <si>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</si>
  <si>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</si>
  <si>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</si>
  <si>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</si>
  <si>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</si>
  <si>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</si>
  <si>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</si>
  <si>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</si>
  <si>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</si>
  <si>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</si>
  <si>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</si>
  <si>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</si>
  <si>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</si>
  <si>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</si>
  <si>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</si>
  <si>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</si>
  <si>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</si>
  <si>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</si>
  <si>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</si>
  <si>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</si>
  <si>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</si>
  <si>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</si>
  <si>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</si>
  <si>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</si>
  <si>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</si>
  <si>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</si>
  <si>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</si>
  <si>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</si>
  <si>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</si>
  <si>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</si>
  <si>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</si>
  <si>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</si>
  <si>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</si>
  <si>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</si>
  <si>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</si>
  <si>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</si>
  <si>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</si>
  <si>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</si>
  <si>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</si>
  <si>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</si>
  <si>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</si>
  <si>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</si>
  <si>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</si>
  <si>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</si>
  <si>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</si>
  <si>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</si>
  <si>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</si>
  <si>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</si>
  <si>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</si>
  <si>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</si>
  <si>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</si>
  <si>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</si>
  <si>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</si>
  <si>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</si>
  <si>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</si>
  <si>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</si>
  <si>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</si>
  <si>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</si>
  <si>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</si>
  <si>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</si>
  <si>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</si>
  <si>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</si>
  <si>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</si>
  <si>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</si>
  <si>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</si>
  <si>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</si>
  <si>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</si>
  <si>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</si>
  <si>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</si>
  <si>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</si>
  <si>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</si>
  <si>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</si>
  <si>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</si>
  <si>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</si>
  <si>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</si>
  <si>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</si>
  <si>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</si>
  <si>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</si>
  <si>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</si>
  <si>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</si>
  <si>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</si>
  <si>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</si>
  <si>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</si>
  <si>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</si>
  <si>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</si>
  <si>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</si>
  <si>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</si>
  <si>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</si>
  <si>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</si>
  <si>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</si>
  <si>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</si>
  <si>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</si>
  <si>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</si>
  <si>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</si>
  <si>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</si>
  <si>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</si>
  <si>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</si>
  <si>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</si>
  <si>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</si>
  <si>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</si>
  <si>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</si>
  <si>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</si>
  <si>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</si>
  <si>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</si>
  <si>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</si>
  <si>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</si>
  <si>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</si>
  <si>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</si>
  <si>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</si>
  <si>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</si>
  <si>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</si>
  <si>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</si>
  <si>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</si>
  <si>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</si>
  <si>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</si>
  <si>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</si>
  <si>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</si>
  <si>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</si>
  <si>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</si>
  <si>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</si>
  <si>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</si>
  <si>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</si>
  <si>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</si>
  <si>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</si>
  <si>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</si>
  <si>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</si>
  <si>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</si>
  <si>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</si>
  <si>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</si>
  <si>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</si>
  <si>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</si>
  <si>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</si>
  <si>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</si>
  <si>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</si>
  <si>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</si>
  <si>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</si>
  <si>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</si>
  <si>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</si>
  <si>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</si>
  <si>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</si>
  <si>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</si>
  <si>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</si>
  <si>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</si>
  <si>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</si>
  <si>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</si>
  <si>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</si>
  <si>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</si>
  <si>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</si>
  <si>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</si>
  <si>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</si>
  <si>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</si>
  <si>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</si>
  <si>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</si>
  <si>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</si>
  <si>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</si>
  <si>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</si>
  <si>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</si>
  <si>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</si>
  <si>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</si>
  <si>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</si>
  <si>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</si>
  <si>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</si>
  <si>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</si>
  <si>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</si>
  <si>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</si>
  <si>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</si>
  <si>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</si>
  <si>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</si>
  <si>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</si>
  <si>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</si>
  <si>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</si>
  <si>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</si>
  <si>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</si>
  <si>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</si>
  <si>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</si>
  <si>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</si>
  <si>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</si>
  <si>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</si>
  <si>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</si>
  <si>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</si>
  <si>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</si>
  <si>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</si>
  <si>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</si>
  <si>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</si>
  <si>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</si>
  <si>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</si>
  <si>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</si>
  <si>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</si>
  <si>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</si>
  <si>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</si>
  <si>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</si>
  <si>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</si>
  <si>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</si>
  <si>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</si>
  <si>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</si>
  <si>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</si>
  <si>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</si>
  <si>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</si>
  <si>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</si>
  <si>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</si>
  <si>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</si>
  <si>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</si>
  <si>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</si>
  <si>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</si>
  <si>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</si>
  <si>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</si>
  <si>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</si>
  <si>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</si>
  <si>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</si>
  <si>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</si>
  <si>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</si>
  <si>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</si>
  <si>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</si>
  <si>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</si>
  <si>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</si>
  <si>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</si>
  <si>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</si>
  <si>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</si>
  <si>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</si>
  <si>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</si>
  <si>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</si>
  <si>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</si>
  <si>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</si>
  <si>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</si>
  <si>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</si>
  <si>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</si>
  <si>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</si>
  <si>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</si>
  <si>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</si>
  <si>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</si>
  <si>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</si>
  <si>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</si>
  <si>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</si>
  <si>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</si>
  <si>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</si>
  <si>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</si>
  <si>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</si>
  <si>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</si>
  <si>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</si>
  <si>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</si>
  <si>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</si>
  <si>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</si>
  <si>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</si>
  <si>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</si>
  <si>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</si>
  <si>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</si>
  <si>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</si>
  <si>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</si>
  <si>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</si>
  <si>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</si>
  <si>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</si>
  <si>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</si>
  <si>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</si>
  <si>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</si>
  <si>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</si>
  <si>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</si>
  <si>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</si>
  <si>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</si>
  <si>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</si>
  <si>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</si>
  <si>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</si>
  <si>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</si>
  <si>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</si>
  <si>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</si>
  <si>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</si>
  <si>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</si>
  <si>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</si>
  <si>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</si>
  <si>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</si>
  <si>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</si>
  <si>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</si>
  <si>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</si>
  <si>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</si>
  <si>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</si>
  <si>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</si>
  <si>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</si>
  <si>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</si>
  <si>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</si>
  <si>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</si>
  <si>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</si>
  <si>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</si>
  <si>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</si>
  <si>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</si>
  <si>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</si>
  <si>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</si>
  <si>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</si>
  <si>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</si>
  <si>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</si>
  <si>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</si>
  <si>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</si>
  <si>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</si>
  <si>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</si>
  <si>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</si>
  <si>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</si>
  <si>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</si>
  <si>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</si>
  <si>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</si>
  <si>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</si>
  <si>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</si>
  <si>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</si>
  <si>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</si>
  <si>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</si>
  <si>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</si>
  <si>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</si>
  <si>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</si>
  <si>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</si>
  <si>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</si>
  <si>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</si>
  <si>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</si>
  <si>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</si>
  <si>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</si>
  <si>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</si>
  <si>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</si>
  <si>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</si>
  <si>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</si>
  <si>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</si>
  <si>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</si>
  <si>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</si>
  <si>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</si>
  <si>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</si>
  <si>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</si>
  <si>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</si>
  <si>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</si>
  <si>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</si>
  <si>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</si>
  <si>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</si>
  <si>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</si>
  <si>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</si>
  <si>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</si>
  <si>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</si>
  <si>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</si>
  <si>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</si>
  <si>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</si>
  <si>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</si>
  <si>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</si>
  <si>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</si>
  <si>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</si>
  <si>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</si>
  <si>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</si>
  <si>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</si>
  <si>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</si>
  <si>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</si>
  <si>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</si>
  <si>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</si>
  <si>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</si>
  <si>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</si>
  <si>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</si>
  <si>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</si>
  <si>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</si>
  <si>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</si>
  <si>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</si>
  <si>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</si>
  <si>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</si>
  <si>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</si>
  <si>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</si>
  <si>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</si>
  <si>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</si>
  <si>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</si>
  <si>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</si>
  <si>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</si>
  <si>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</si>
  <si>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</si>
  <si>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</si>
  <si>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</si>
  <si>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</si>
  <si>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</si>
  <si>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</si>
  <si>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</si>
  <si>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</si>
  <si>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</si>
  <si>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</si>
  <si>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</si>
  <si>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</si>
  <si>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</si>
  <si>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</si>
  <si>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</si>
  <si>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</si>
  <si>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</si>
  <si>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</si>
  <si>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</si>
  <si>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</si>
  <si>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</si>
  <si>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</si>
  <si>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</si>
  <si>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</si>
  <si>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</si>
  <si>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</si>
  <si>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</si>
  <si>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</si>
  <si>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</si>
  <si>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</si>
  <si>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</si>
  <si>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</si>
  <si>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</si>
  <si>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</si>
  <si>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</si>
  <si>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</si>
  <si>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</si>
  <si>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</si>
  <si>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</si>
  <si>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</si>
  <si>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</si>
  <si>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</si>
  <si>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</si>
  <si>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</si>
  <si>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</si>
  <si>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</si>
  <si>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</si>
  <si>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</si>
  <si>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</si>
  <si>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</si>
  <si>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</si>
  <si>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</si>
  <si>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</si>
  <si>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</si>
  <si>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</si>
  <si>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</si>
  <si>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</si>
  <si>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</si>
  <si>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</si>
  <si>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</si>
  <si>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</si>
  <si>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</si>
  <si>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</si>
  <si>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</si>
  <si>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</si>
  <si>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</si>
  <si>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</si>
  <si>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</si>
  <si>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</si>
  <si>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</si>
  <si>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</si>
  <si>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</si>
  <si>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</si>
  <si>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</si>
  <si>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</si>
  <si>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</si>
  <si>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</si>
  <si>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</si>
  <si>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</si>
  <si>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</si>
  <si>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</si>
  <si>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</si>
  <si>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</si>
  <si>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</si>
  <si>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</si>
  <si>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</si>
  <si>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</si>
  <si>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</si>
  <si>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</si>
  <si>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</si>
  <si>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</si>
  <si>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</si>
  <si>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</si>
  <si>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</si>
  <si>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</si>
  <si>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</si>
  <si>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</si>
  <si>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</si>
  <si>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</si>
  <si>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</si>
  <si>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</si>
  <si>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</si>
  <si>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</si>
  <si>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</si>
  <si>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</si>
  <si>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</si>
  <si>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</si>
  <si>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</si>
  <si>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</si>
  <si>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</si>
  <si>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</si>
  <si>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</si>
  <si>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</si>
  <si>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</si>
  <si>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</si>
  <si>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</si>
  <si>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</si>
  <si>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</si>
  <si>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</si>
  <si>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</si>
  <si>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</si>
  <si>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</si>
  <si>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</si>
  <si>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</si>
  <si>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</si>
  <si>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</si>
  <si>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</si>
  <si>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</si>
  <si>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</si>
  <si>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</si>
  <si>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</si>
  <si>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</si>
  <si>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</si>
  <si>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</si>
  <si>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</si>
  <si>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</si>
  <si>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</si>
  <si>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</si>
  <si>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</si>
  <si>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</si>
  <si>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</si>
  <si>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</si>
  <si>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</si>
  <si>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</si>
  <si>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</si>
  <si>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</si>
  <si>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</si>
  <si>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</si>
  <si>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</si>
  <si>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</si>
  <si>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</si>
  <si>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</si>
  <si>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</si>
  <si>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</si>
  <si>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</si>
  <si>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</si>
  <si>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</si>
  <si>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</si>
  <si>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</si>
  <si>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</si>
  <si>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</si>
  <si>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</si>
  <si>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</si>
  <si>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</si>
  <si>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</si>
  <si>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</si>
  <si>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</si>
  <si>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</si>
  <si>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</si>
  <si>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</si>
  <si>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</si>
  <si>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</si>
  <si>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</si>
  <si>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</si>
  <si>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</si>
  <si>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</si>
  <si>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</si>
  <si>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</si>
  <si>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</si>
  <si>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</si>
  <si>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</si>
  <si>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</si>
  <si>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</si>
  <si>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</si>
  <si>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</si>
  <si>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</si>
  <si>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</si>
  <si>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</si>
  <si>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</si>
  <si>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</si>
  <si>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</si>
  <si>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</si>
  <si>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</si>
  <si>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</si>
  <si>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</si>
  <si>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</si>
  <si>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</si>
  <si>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</si>
  <si>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</si>
  <si>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</si>
  <si>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</si>
  <si>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</si>
  <si>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</si>
  <si>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</si>
  <si>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</si>
  <si>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</si>
  <si>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</si>
  <si>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</si>
  <si>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</si>
  <si>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</si>
  <si>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</si>
  <si>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</si>
  <si>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</si>
  <si>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</si>
  <si>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</si>
  <si>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</si>
  <si>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</si>
  <si>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</si>
  <si>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</si>
  <si>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</si>
  <si>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</si>
  <si>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</si>
  <si>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</si>
  <si>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</si>
  <si>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</si>
  <si>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</si>
  <si>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</si>
  <si>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</si>
  <si>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</si>
  <si>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</si>
  <si>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</si>
  <si>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</si>
  <si>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</si>
  <si>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</si>
  <si>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</si>
  <si>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</si>
  <si>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</si>
  <si>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</si>
  <si>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</si>
  <si>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</si>
  <si>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</si>
  <si>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</si>
  <si>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</si>
  <si>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</si>
  <si>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</si>
  <si>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</si>
  <si>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</si>
  <si>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</si>
  <si>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</si>
  <si>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</si>
  <si>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</si>
  <si>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</si>
  <si>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</si>
  <si>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</si>
  <si>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</si>
  <si>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</si>
  <si>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</si>
  <si>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</si>
  <si>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</si>
  <si>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</si>
  <si>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</si>
  <si>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</si>
  <si>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</si>
  <si>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</si>
  <si>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</si>
  <si>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</si>
  <si>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</si>
  <si>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</si>
  <si>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</si>
  <si>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</si>
  <si>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</si>
  <si>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</si>
  <si>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</si>
  <si>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</si>
  <si>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</si>
  <si>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</si>
  <si>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</si>
  <si>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</si>
  <si>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</si>
  <si>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</si>
  <si>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</si>
  <si>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</si>
  <si>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</si>
  <si>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</si>
  <si>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</si>
  <si>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</si>
  <si>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</si>
  <si>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</si>
  <si>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</si>
  <si>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</si>
  <si>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</si>
  <si>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</si>
  <si>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</si>
  <si>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</si>
  <si>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</si>
  <si>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</si>
  <si>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</si>
  <si>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</si>
  <si>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</si>
  <si>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</si>
  <si>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</si>
  <si>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</si>
  <si>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</si>
  <si>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</si>
  <si>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</si>
  <si>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</si>
  <si>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</si>
  <si>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</si>
  <si>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</si>
  <si>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</si>
  <si>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</si>
  <si>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</si>
  <si>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</si>
  <si>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</si>
  <si>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</si>
  <si>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</si>
  <si>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</si>
  <si>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</si>
  <si>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</si>
  <si>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</si>
  <si>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</si>
  <si>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</si>
  <si>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</si>
  <si>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</si>
  <si>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</si>
  <si>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</si>
  <si>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</si>
  <si>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</si>
  <si>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</si>
  <si>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</si>
  <si>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</si>
  <si>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</si>
  <si>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</si>
  <si>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</si>
  <si>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</si>
  <si>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</si>
  <si>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</si>
  <si>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</si>
  <si>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</si>
  <si>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</si>
  <si>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</si>
  <si>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</si>
  <si>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</si>
  <si>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</si>
  <si>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</si>
  <si>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</si>
  <si>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</si>
  <si>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</si>
  <si>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</si>
  <si>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</si>
  <si>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</si>
  <si>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</si>
  <si>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</si>
  <si>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</si>
  <si>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</si>
  <si>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</si>
  <si>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</si>
  <si>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</si>
  <si>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</si>
  <si>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</si>
  <si>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</si>
  <si>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</si>
  <si>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</si>
  <si>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</si>
  <si>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</si>
  <si>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</si>
  <si>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</si>
  <si>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</si>
  <si>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</si>
  <si>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</si>
  <si>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</si>
  <si>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</si>
  <si>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</si>
  <si>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</si>
  <si>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</si>
  <si>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</si>
  <si>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</si>
  <si>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</si>
  <si>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</si>
  <si>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</si>
  <si>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</si>
  <si>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</si>
  <si>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</si>
  <si>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</si>
  <si>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</si>
  <si>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</si>
  <si>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</si>
  <si>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</si>
  <si>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</si>
  <si>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</si>
  <si>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</si>
  <si>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</si>
  <si>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</si>
  <si>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</si>
  <si>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</si>
  <si>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</si>
  <si>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</si>
  <si>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</si>
  <si>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</si>
  <si>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</si>
  <si>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</si>
  <si>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</si>
  <si>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</si>
  <si>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</si>
  <si>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</si>
  <si>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</si>
  <si>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</si>
  <si>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</si>
  <si>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</si>
  <si>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</si>
  <si>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</si>
  <si>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</si>
  <si>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</si>
  <si>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</si>
  <si>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</si>
  <si>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</si>
  <si>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</si>
  <si>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</si>
  <si>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</si>
  <si>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</si>
  <si>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</si>
  <si>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</si>
  <si>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</si>
  <si>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</si>
  <si>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</si>
  <si>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</si>
  <si>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</si>
  <si>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</si>
  <si>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</si>
  <si>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</si>
  <si>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</si>
  <si>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</si>
  <si>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</si>
  <si>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</si>
  <si>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</si>
  <si>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</si>
  <si>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</si>
  <si>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</si>
  <si>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</si>
  <si>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</si>
  <si>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</si>
  <si>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</si>
  <si>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</si>
  <si>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</si>
  <si>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</si>
  <si>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</si>
  <si>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</si>
  <si>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</si>
  <si>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</si>
  <si>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</si>
  <si>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</si>
  <si>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</si>
  <si>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</si>
  <si>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</si>
  <si>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</si>
  <si>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</si>
  <si>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</si>
  <si>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</si>
  <si>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</si>
  <si>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</si>
  <si>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</si>
  <si>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</si>
  <si>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</si>
  <si>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</si>
  <si>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</si>
  <si>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</si>
  <si>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</si>
  <si>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</si>
  <si>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</si>
  <si>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</si>
  <si>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</si>
  <si>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</si>
  <si>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</si>
  <si>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</si>
  <si>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</si>
  <si>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</si>
  <si>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</si>
  <si>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</si>
  <si>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</si>
  <si>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</si>
  <si>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</si>
  <si>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</si>
  <si>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</si>
  <si>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</si>
  <si>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</si>
  <si>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</si>
  <si>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</si>
  <si>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</si>
  <si>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</si>
  <si>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</si>
  <si>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</si>
  <si>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</si>
  <si>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</si>
  <si>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</si>
  <si>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</si>
  <si>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</si>
  <si>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</si>
  <si>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</si>
  <si>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</si>
  <si>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</si>
  <si>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</si>
  <si>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</si>
  <si>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</si>
  <si>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</si>
  <si>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</si>
  <si>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</si>
  <si>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</si>
  <si>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</si>
  <si>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</si>
  <si>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</si>
  <si>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</si>
  <si>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</si>
  <si>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</si>
  <si>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</si>
  <si>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</si>
  <si>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</si>
  <si>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</si>
  <si>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</si>
  <si>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</si>
  <si>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</si>
  <si>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</si>
  <si>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</si>
  <si>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</si>
  <si>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</si>
  <si>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</si>
  <si>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</si>
  <si>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</si>
  <si>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</si>
  <si>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</si>
  <si>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</si>
  <si>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</si>
  <si>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</si>
  <si>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</si>
  <si>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</si>
  <si>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</si>
  <si>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</si>
  <si>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</si>
  <si>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</si>
  <si>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</si>
  <si>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</si>
  <si>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</si>
  <si>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</si>
  <si>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</si>
  <si>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</si>
  <si>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</si>
  <si>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</si>
  <si>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</si>
  <si>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</si>
  <si>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</si>
  <si>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</si>
  <si>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</si>
  <si>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</si>
  <si>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</si>
  <si>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</si>
  <si>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</si>
  <si>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</si>
  <si>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</si>
  <si>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</si>
  <si>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</si>
  <si>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</si>
  <si>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</si>
  <si>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</si>
  <si>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</si>
  <si>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</si>
  <si>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</si>
  <si>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</si>
  <si>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</si>
  <si>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</si>
  <si>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</si>
  <si>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</si>
  <si>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</si>
  <si>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</si>
  <si>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</si>
  <si>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</si>
  <si>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</si>
  <si>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</si>
  <si>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</si>
  <si>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</si>
  <si>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</si>
  <si>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</si>
  <si>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</si>
  <si>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</si>
  <si>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</si>
  <si>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</si>
  <si>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</si>
  <si>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</si>
  <si>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</si>
  <si>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</si>
  <si>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</si>
  <si>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</si>
  <si>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</si>
  <si>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</si>
  <si>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</si>
  <si>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</si>
  <si>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</si>
  <si>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</si>
  <si>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</si>
  <si>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</si>
  <si>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</si>
  <si>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</si>
  <si>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</si>
  <si>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</si>
  <si>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</si>
  <si>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</si>
  <si>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</si>
  <si>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</si>
  <si>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</si>
  <si>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</si>
  <si>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</si>
  <si>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</si>
  <si>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</si>
  <si>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</si>
  <si>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</si>
  <si>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</si>
  <si>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</si>
  <si>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</si>
  <si>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</si>
  <si>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</si>
  <si>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</si>
  <si>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</si>
  <si>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</si>
  <si>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</si>
  <si>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</si>
  <si>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</si>
  <si>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</si>
  <si>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</si>
  <si>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</si>
  <si>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</si>
  <si>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</si>
  <si>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</si>
  <si>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</si>
  <si>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</si>
  <si>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</si>
  <si>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</si>
  <si>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</si>
  <si>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</si>
  <si>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</si>
  <si>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</si>
  <si>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</si>
  <si>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</si>
  <si>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</si>
  <si>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</si>
  <si>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</si>
  <si>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</si>
  <si>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</si>
  <si>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</si>
  <si>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</si>
  <si>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</si>
  <si>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</si>
  <si>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</si>
  <si>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</si>
  <si>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</si>
  <si>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</si>
  <si>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</si>
  <si>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</si>
  <si>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</si>
  <si>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</si>
  <si>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</si>
  <si>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</si>
  <si>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</si>
  <si>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</si>
  <si>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</si>
  <si>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</si>
  <si>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</si>
  <si>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</si>
  <si>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</si>
  <si>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</si>
  <si>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</si>
  <si>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</si>
  <si>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</si>
  <si>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</si>
  <si>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</si>
  <si>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</si>
  <si>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</si>
  <si>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</si>
  <si>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</si>
  <si>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</si>
  <si>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</si>
  <si>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</si>
  <si>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</si>
  <si>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</si>
  <si>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</si>
  <si>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</si>
  <si>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</si>
  <si>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</si>
  <si>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</si>
  <si>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</si>
  <si>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</si>
  <si>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</si>
  <si>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</si>
  <si>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</si>
  <si>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</si>
  <si>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</si>
  <si>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</si>
  <si>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</si>
  <si>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</si>
  <si>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</si>
  <si>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</si>
  <si>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</si>
  <si>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</si>
  <si>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</si>
  <si>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</si>
  <si>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</si>
  <si>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</si>
  <si>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</si>
  <si>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</si>
  <si>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</si>
  <si>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</si>
  <si>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</si>
  <si>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</si>
  <si>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</si>
  <si>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</si>
  <si>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</si>
  <si>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</si>
  <si>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</si>
  <si>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</si>
  <si>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</si>
  <si>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</si>
  <si>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</si>
  <si>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</si>
  <si>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</si>
  <si>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</si>
  <si>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</si>
  <si>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</si>
  <si>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</si>
  <si>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</si>
  <si>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</si>
  <si>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</si>
  <si>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</si>
  <si>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</si>
  <si>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</si>
  <si>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</si>
  <si>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</si>
  <si>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</si>
  <si>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</si>
  <si>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</si>
  <si>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</si>
  <si>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</si>
  <si>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</si>
  <si>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</si>
  <si>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</si>
  <si>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</si>
  <si>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</si>
  <si>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</si>
  <si>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</si>
  <si>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</si>
  <si>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</si>
  <si>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</si>
  <si>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</si>
  <si>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</si>
  <si>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</si>
  <si>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</si>
  <si>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</si>
  <si>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</si>
  <si>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</si>
  <si>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</si>
  <si>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</si>
  <si>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</si>
  <si>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</si>
  <si>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</si>
  <si>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</si>
  <si>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</si>
  <si>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</si>
  <si>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</si>
  <si>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</si>
  <si>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</si>
  <si>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</si>
  <si>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</si>
  <si>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</si>
  <si>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</si>
  <si>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</si>
  <si>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</si>
  <si>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</si>
  <si>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</si>
  <si>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</si>
  <si>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</si>
  <si>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</si>
  <si>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</si>
  <si>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</si>
  <si>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</si>
  <si>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</si>
  <si>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</si>
  <si>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</si>
  <si>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</si>
  <si>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</si>
  <si>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</si>
  <si>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</si>
  <si>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</si>
  <si>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</si>
  <si>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</si>
  <si>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</si>
  <si>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</si>
  <si>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</si>
  <si>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</si>
  <si>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</si>
  <si>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</si>
  <si>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</si>
  <si>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</si>
  <si>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</si>
  <si>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</si>
  <si>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</si>
  <si>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</si>
  <si>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</si>
  <si>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</si>
  <si>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</si>
  <si>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</si>
  <si>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</si>
  <si>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</si>
  <si>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</si>
  <si>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</si>
  <si>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</si>
  <si>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</si>
  <si>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</si>
  <si>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</si>
  <si>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</si>
  <si>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</si>
  <si>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</si>
  <si>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</si>
  <si>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</si>
  <si>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</si>
  <si>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</si>
  <si>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</si>
  <si>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</si>
  <si>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</si>
  <si>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</si>
  <si>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</si>
  <si>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</si>
  <si>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</si>
  <si>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</si>
  <si>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</si>
  <si>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</si>
  <si>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</si>
  <si>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</si>
  <si>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</si>
  <si>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</si>
  <si>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</si>
  <si>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</si>
  <si>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</si>
  <si>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</si>
  <si>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</si>
  <si>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</si>
  <si>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</si>
  <si>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</si>
  <si>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</si>
  <si>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</si>
  <si>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</si>
  <si>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</si>
  <si>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</si>
  <si>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</si>
  <si>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</si>
  <si>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</si>
  <si>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</si>
  <si>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</si>
  <si>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</si>
  <si>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</si>
  <si>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</si>
  <si>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</si>
  <si>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</si>
  <si>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</si>
  <si>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</si>
  <si>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</si>
  <si>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</si>
  <si>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</si>
  <si>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</si>
  <si>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</si>
  <si>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</si>
  <si>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</si>
  <si>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</si>
  <si>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</si>
  <si>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</si>
  <si>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</si>
  <si>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</si>
  <si>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</si>
  <si>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</si>
  <si>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</si>
  <si>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</si>
  <si>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</si>
  <si>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</si>
  <si>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</si>
  <si>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</si>
  <si>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</si>
  <si>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</si>
  <si>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</si>
  <si>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</si>
  <si>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</si>
  <si>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</si>
  <si>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</si>
  <si>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</si>
  <si>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</si>
  <si>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</si>
  <si>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</si>
  <si>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</si>
  <si>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</si>
  <si>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</si>
  <si>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</si>
  <si>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</si>
  <si>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</si>
  <si>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</si>
  <si>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</si>
  <si>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</si>
  <si>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</si>
  <si>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</si>
  <si>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</si>
  <si>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</si>
  <si>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</si>
  <si>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</si>
  <si>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</si>
  <si>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</si>
  <si>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</si>
  <si>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</si>
  <si>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</si>
  <si>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</si>
  <si>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</si>
  <si>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</si>
  <si>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</si>
  <si>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</si>
  <si>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</si>
  <si>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</si>
  <si>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</si>
  <si>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</si>
  <si>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</si>
  <si>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</si>
  <si>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</si>
  <si>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</si>
  <si>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</si>
  <si>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</si>
  <si>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</si>
  <si>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</si>
  <si>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</si>
  <si>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</si>
  <si>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</si>
  <si>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</si>
  <si>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</si>
  <si>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</si>
  <si>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</si>
  <si>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</si>
  <si>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</si>
  <si>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</si>
  <si>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</si>
  <si>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</si>
  <si>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</si>
  <si>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</si>
  <si>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</si>
  <si>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</si>
  <si>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</si>
  <si>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</si>
  <si>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</si>
  <si>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</si>
  <si>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</si>
  <si>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</si>
  <si>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</si>
  <si>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</si>
  <si>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</si>
  <si>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</si>
  <si>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</si>
  <si>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</si>
  <si>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</si>
  <si>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</si>
  <si>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</si>
  <si>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</si>
  <si>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</si>
  <si>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</si>
  <si>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</si>
  <si>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</si>
  <si>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</si>
  <si>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</si>
  <si>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</si>
  <si>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</si>
  <si>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</si>
  <si>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</si>
  <si>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</si>
  <si>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</si>
  <si>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</si>
  <si>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</si>
  <si>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</si>
  <si>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</si>
  <si>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</si>
  <si>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</si>
  <si>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</si>
  <si>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</si>
  <si>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</si>
  <si>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</si>
  <si>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</si>
  <si>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</si>
  <si>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</si>
  <si>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</si>
  <si>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</si>
  <si>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</si>
  <si>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</si>
  <si>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</si>
  <si>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</si>
  <si>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</si>
  <si>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</si>
  <si>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</si>
  <si>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</si>
  <si>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</si>
  <si>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</si>
  <si>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</si>
  <si>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</si>
  <si>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</si>
  <si>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</si>
  <si>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</si>
  <si>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</si>
  <si>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</si>
  <si>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</si>
  <si>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</si>
  <si>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</si>
  <si>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</si>
  <si>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</si>
  <si>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</si>
  <si>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</si>
  <si>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</si>
  <si>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</si>
  <si>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</si>
  <si>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</si>
  <si>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</si>
  <si>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</si>
  <si>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</si>
  <si>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</si>
  <si>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</si>
  <si>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</si>
  <si>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</si>
  <si>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</si>
  <si>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</si>
  <si>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</si>
  <si>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</si>
  <si>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</si>
  <si>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</si>
  <si>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</si>
  <si>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</si>
  <si>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</si>
  <si>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</si>
  <si>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</si>
  <si>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</si>
  <si>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</si>
  <si>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</si>
  <si>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</si>
  <si>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</si>
  <si>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</si>
  <si>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</si>
  <si>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</si>
  <si>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</si>
  <si>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</si>
  <si>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</si>
  <si>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</si>
  <si>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</si>
  <si>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</si>
  <si>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</si>
  <si>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</si>
  <si>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</si>
  <si>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</si>
  <si>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</si>
  <si>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</si>
  <si>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</si>
  <si>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</si>
  <si>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</si>
  <si>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</si>
  <si>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</si>
  <si>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</si>
  <si>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</si>
  <si>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</si>
  <si>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</si>
  <si>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</si>
  <si>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</si>
  <si>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</si>
  <si>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</si>
  <si>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</si>
  <si>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</si>
  <si>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</si>
  <si>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</si>
  <si>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</si>
  <si>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</si>
  <si>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</si>
  <si>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</si>
  <si>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</si>
  <si>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</si>
  <si>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</si>
  <si>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</si>
  <si>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</si>
  <si>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</si>
  <si>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</si>
  <si>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</si>
  <si>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</si>
  <si>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</si>
  <si>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</si>
  <si>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</si>
  <si>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</si>
  <si>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</si>
  <si>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</si>
  <si>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</si>
  <si>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</si>
  <si>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</si>
  <si>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</si>
  <si>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</si>
  <si>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</si>
  <si>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</si>
  <si>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</si>
  <si>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</si>
  <si>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</si>
  <si>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</si>
  <si>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</si>
  <si>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</si>
  <si>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</si>
  <si>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</si>
  <si>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</si>
  <si>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</si>
  <si>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</si>
  <si>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</si>
  <si>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</si>
  <si>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</si>
  <si>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</si>
  <si>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</si>
  <si>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</si>
  <si>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</si>
  <si>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</si>
  <si>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</si>
  <si>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</si>
  <si>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</si>
  <si>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</si>
  <si>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</si>
  <si>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</si>
  <si>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</si>
  <si>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</si>
  <si>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</si>
  <si>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</si>
  <si>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</si>
  <si>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</si>
  <si>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</si>
  <si>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</si>
  <si>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</si>
  <si>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</si>
  <si>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</si>
  <si>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</si>
  <si>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</si>
  <si>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</si>
  <si>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</si>
  <si>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</si>
  <si>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</si>
  <si>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</si>
  <si>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</si>
  <si>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</si>
  <si>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</si>
  <si>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</si>
  <si>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</si>
  <si>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</si>
  <si>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</si>
  <si>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</si>
  <si>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</si>
  <si>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</si>
  <si>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</si>
  <si>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</si>
  <si>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</si>
  <si>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</si>
  <si>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</si>
  <si>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</si>
  <si>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</si>
  <si>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</si>
  <si>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</si>
  <si>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</si>
  <si>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</si>
  <si>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</si>
  <si>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</si>
  <si>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</si>
  <si>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</si>
  <si>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</si>
  <si>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</si>
  <si>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</si>
  <si>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</si>
  <si>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</si>
  <si>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</si>
  <si>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</si>
  <si>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</si>
  <si>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</si>
  <si>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</si>
  <si>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</si>
  <si>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</si>
  <si>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</si>
  <si>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</si>
  <si>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</si>
  <si>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</si>
  <si>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</si>
  <si>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</si>
  <si>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</si>
  <si>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</si>
  <si>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</si>
  <si>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</si>
  <si>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</si>
  <si>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</si>
  <si>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</si>
  <si>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</si>
  <si>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</si>
  <si>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</si>
  <si>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</si>
  <si>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</si>
  <si>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</si>
  <si>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</si>
  <si>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</si>
  <si>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</si>
  <si>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</si>
  <si>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</si>
  <si>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</si>
  <si>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</si>
  <si>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</si>
  <si>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</si>
  <si>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</si>
  <si>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</si>
  <si>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</si>
  <si>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</si>
  <si>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</si>
  <si>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</si>
  <si>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</si>
  <si>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</si>
  <si>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</si>
  <si>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</si>
  <si>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</si>
  <si>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</si>
  <si>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</si>
  <si>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</si>
  <si>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</si>
  <si>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</si>
  <si>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</si>
  <si>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</si>
  <si>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</si>
  <si>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</si>
  <si>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</si>
  <si>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</si>
  <si>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</si>
  <si>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</si>
  <si>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</si>
  <si>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</si>
  <si>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</si>
  <si>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</si>
  <si>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</si>
  <si>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</si>
  <si>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</si>
  <si>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</si>
  <si>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</si>
  <si>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</si>
  <si>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</si>
  <si>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</si>
  <si>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</si>
  <si>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</si>
  <si>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</si>
  <si>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</si>
  <si>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</si>
  <si>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</si>
  <si>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</si>
  <si>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</si>
  <si>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</si>
  <si>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</si>
  <si>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</si>
  <si>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</si>
  <si>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</si>
  <si>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</si>
  <si>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</si>
  <si>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</si>
  <si>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</si>
  <si>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</si>
  <si>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</si>
  <si>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</si>
  <si>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</si>
  <si>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</si>
  <si>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</si>
  <si>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</si>
  <si>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</si>
  <si>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</si>
  <si>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</si>
  <si>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</si>
  <si>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</si>
  <si>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</si>
  <si>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</si>
  <si>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</si>
  <si>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</si>
  <si>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</si>
  <si>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</si>
  <si>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</si>
  <si>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</si>
  <si>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</si>
  <si>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</si>
  <si>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</si>
  <si>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</si>
  <si>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</si>
  <si>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</si>
  <si>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</si>
  <si>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</si>
  <si>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</si>
  <si>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</si>
  <si>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</si>
  <si>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</si>
  <si>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</si>
  <si>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</si>
  <si>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</si>
  <si>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</si>
  <si>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</si>
  <si>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</si>
  <si>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</si>
  <si>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</si>
  <si>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</si>
  <si>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</si>
  <si>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</si>
  <si>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</si>
  <si>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</si>
  <si>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</si>
  <si>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</si>
  <si>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</si>
  <si>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</si>
  <si>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</si>
  <si>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</si>
  <si>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</si>
  <si>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</si>
  <si>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</si>
  <si>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</si>
  <si>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</si>
  <si>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</si>
  <si>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</si>
  <si>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</si>
  <si>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</si>
  <si>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</si>
  <si>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</si>
  <si>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</si>
  <si>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</si>
  <si>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</si>
  <si>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</si>
  <si>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</si>
  <si>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</si>
  <si>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</si>
  <si>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</si>
  <si>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</si>
  <si>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</si>
  <si>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</si>
  <si>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</si>
  <si>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</si>
  <si>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</si>
  <si>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</si>
  <si>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</si>
  <si>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</si>
  <si>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</si>
  <si>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</si>
  <si>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</si>
  <si>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</si>
  <si>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</si>
  <si>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</si>
  <si>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</si>
  <si>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</si>
  <si>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</si>
  <si>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</si>
  <si>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</si>
  <si>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</si>
  <si>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</si>
  <si>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</si>
  <si>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</si>
  <si>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</si>
  <si>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</si>
  <si>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</si>
  <si>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</si>
  <si>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</si>
  <si>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</si>
  <si>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</si>
  <si>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</si>
  <si>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</si>
  <si>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</si>
  <si>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</si>
  <si>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</si>
  <si>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</si>
  <si>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</si>
  <si>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</si>
  <si>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</si>
  <si>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</si>
  <si>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</si>
  <si>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</si>
  <si>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</si>
  <si>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</si>
  <si>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</si>
  <si>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</si>
  <si>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</si>
  <si>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</si>
  <si>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</si>
  <si>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</si>
  <si>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</si>
  <si>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</si>
  <si>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</si>
  <si>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</si>
  <si>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</si>
  <si>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</si>
  <si>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</si>
  <si>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</si>
  <si>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</si>
  <si>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</si>
  <si>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</si>
  <si>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</si>
  <si>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</si>
  <si>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</si>
  <si>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</si>
  <si>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</si>
  <si>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</si>
  <si>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</si>
  <si>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</si>
  <si>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</si>
  <si>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</si>
  <si>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</si>
  <si>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</si>
  <si>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</si>
  <si>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</si>
  <si>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</si>
  <si>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</si>
  <si>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</si>
  <si>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</si>
  <si>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</si>
  <si>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</si>
  <si>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</si>
  <si>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</si>
  <si>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</si>
  <si>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</si>
  <si>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</si>
  <si>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</si>
  <si>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</si>
  <si>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</si>
  <si>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</si>
  <si>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</si>
  <si>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</si>
  <si>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</si>
  <si>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</si>
  <si>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</si>
  <si>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</si>
  <si>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</si>
  <si>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</si>
  <si>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</si>
  <si>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</si>
  <si>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</si>
  <si>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</si>
  <si>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</si>
  <si>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</si>
  <si>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</si>
  <si>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</si>
  <si>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</si>
  <si>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</si>
  <si>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</si>
  <si>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</si>
  <si>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</si>
  <si>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</si>
  <si>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</si>
  <si>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</si>
  <si>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</si>
  <si>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</si>
  <si>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</si>
  <si>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</si>
  <si>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</si>
  <si>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</si>
  <si>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</si>
  <si>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</si>
  <si>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</si>
  <si>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</si>
  <si>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</si>
  <si>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</si>
  <si>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</si>
  <si>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</si>
  <si>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</si>
  <si>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</si>
  <si>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</si>
  <si>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</si>
  <si>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</si>
  <si>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</si>
  <si>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</si>
  <si>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</si>
  <si>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</si>
  <si>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</si>
  <si>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</si>
  <si>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</si>
  <si>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</si>
  <si>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</si>
  <si>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</si>
  <si>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</si>
  <si>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</si>
  <si>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</si>
  <si>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</si>
  <si>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</si>
  <si>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</si>
  <si>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</si>
  <si>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</si>
  <si>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</si>
  <si>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</si>
  <si>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</si>
  <si>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</si>
  <si>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</si>
  <si>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</si>
  <si>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</si>
  <si>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</si>
  <si>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</si>
  <si>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</si>
  <si>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</si>
  <si>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</si>
  <si>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</si>
  <si>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</si>
  <si>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</si>
  <si>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</si>
  <si>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</si>
  <si>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</si>
  <si>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</si>
  <si>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</si>
  <si>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</si>
  <si>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</si>
  <si>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</si>
  <si>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</si>
  <si>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</si>
  <si>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</si>
  <si>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</si>
  <si>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</si>
  <si>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</si>
  <si>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</si>
  <si>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</si>
  <si>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</si>
  <si>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</si>
  <si>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</si>
  <si>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</si>
  <si>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</si>
  <si>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</si>
  <si>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</si>
  <si>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</si>
  <si>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</si>
  <si>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</si>
  <si>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</si>
  <si>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</si>
  <si>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</si>
  <si>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</si>
  <si>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</si>
  <si>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</si>
  <si>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</si>
  <si>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</si>
  <si>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</si>
  <si>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</si>
  <si>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</si>
  <si>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</si>
  <si>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</si>
  <si>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</si>
  <si>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</si>
  <si>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</si>
  <si>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</si>
  <si>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</si>
  <si>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</si>
  <si>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</si>
  <si>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</si>
  <si>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</si>
  <si>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</si>
  <si>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</si>
  <si>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</si>
  <si>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</si>
  <si>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</si>
  <si>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</si>
  <si>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</si>
  <si>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</si>
  <si>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</si>
  <si>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</si>
  <si>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</si>
  <si>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</si>
  <si>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</si>
  <si>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</si>
  <si>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</si>
  <si>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</si>
  <si>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</si>
  <si>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</si>
  <si>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</si>
  <si>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</si>
  <si>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</si>
  <si>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</si>
  <si>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</si>
  <si>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</si>
  <si>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</si>
  <si>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</si>
  <si>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</si>
  <si>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</si>
  <si>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</si>
  <si>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</si>
  <si>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</si>
  <si>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</si>
  <si>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</si>
  <si>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</si>
  <si>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</si>
  <si>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</si>
  <si>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</si>
  <si>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</si>
  <si>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</si>
  <si>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</si>
  <si>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</si>
  <si>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</si>
  <si>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</si>
  <si>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</si>
  <si>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</si>
  <si>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</si>
  <si>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</si>
  <si>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</si>
  <si>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</si>
  <si>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</si>
  <si>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</si>
  <si>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</si>
  <si>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</si>
  <si>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</si>
  <si>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</si>
  <si>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</si>
  <si>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</si>
  <si>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</si>
  <si>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</si>
  <si>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</si>
  <si>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</si>
  <si>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</si>
  <si>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</si>
  <si>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</si>
  <si>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</si>
  <si>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</si>
  <si>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</si>
  <si>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</si>
  <si>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</si>
  <si>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</si>
  <si>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</si>
  <si>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</si>
  <si>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</si>
  <si>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</si>
  <si>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</si>
  <si>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</si>
  <si>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</si>
  <si>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</si>
  <si>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</si>
  <si>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</si>
  <si>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</si>
  <si>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</si>
  <si>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</si>
  <si>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</si>
  <si>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</si>
  <si>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</si>
  <si>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</si>
  <si>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</si>
  <si>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</si>
  <si>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</si>
  <si>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</si>
  <si>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</si>
  <si>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</si>
  <si>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</si>
  <si>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</si>
  <si>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</si>
  <si>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</si>
  <si>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</si>
  <si>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</si>
  <si>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</si>
  <si>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</si>
  <si>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</si>
  <si>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</si>
  <si>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</si>
  <si>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</si>
  <si>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</si>
  <si>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</si>
  <si>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</si>
  <si>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</si>
  <si>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</si>
  <si>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</si>
  <si>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</si>
  <si>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</si>
  <si>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</si>
  <si>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</si>
  <si>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</si>
  <si>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</si>
  <si>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</si>
  <si>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</si>
  <si>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</si>
  <si>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</si>
  <si>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</si>
  <si>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</si>
  <si>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</si>
  <si>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</si>
  <si>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</si>
  <si>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</si>
  <si>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</si>
  <si>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</si>
  <si>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</si>
  <si>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</si>
  <si>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</si>
  <si>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</si>
  <si>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</si>
  <si>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</si>
  <si>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</si>
  <si>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</si>
  <si>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</si>
  <si>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</si>
  <si>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</si>
  <si>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</si>
  <si>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</si>
  <si>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</si>
  <si>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</si>
  <si>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</si>
  <si>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</si>
  <si>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</si>
  <si>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</si>
  <si>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</si>
  <si>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</si>
  <si>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</si>
  <si>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</si>
  <si>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</si>
  <si>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</si>
  <si>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</si>
  <si>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</si>
  <si>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</si>
  <si>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</si>
  <si>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</si>
  <si>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</si>
  <si>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</si>
  <si>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</si>
  <si>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</si>
  <si>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</si>
  <si>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</si>
  <si>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</si>
  <si>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</si>
  <si>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</si>
  <si>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</si>
  <si>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</si>
  <si>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</si>
  <si>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</si>
  <si>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</si>
  <si>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</si>
  <si>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</si>
  <si>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</si>
  <si>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</si>
  <si>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</si>
  <si>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</si>
  <si>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</si>
  <si>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</si>
  <si>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</si>
  <si>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</si>
  <si>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</si>
  <si>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</si>
  <si>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</si>
  <si>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</si>
  <si>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</si>
  <si>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</si>
  <si>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</si>
  <si>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</si>
  <si>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</si>
  <si>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</si>
  <si>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</si>
  <si>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</si>
  <si>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</si>
  <si>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</si>
  <si>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</si>
  <si>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</si>
  <si>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</si>
  <si>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</si>
  <si>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</si>
  <si>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</si>
  <si>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</si>
  <si>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</si>
  <si>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</si>
  <si>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</si>
  <si>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</si>
  <si>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</si>
  <si>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</si>
  <si>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</si>
  <si>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</si>
  <si>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</si>
  <si>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</si>
  <si>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</si>
  <si>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</si>
  <si>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</si>
  <si>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</si>
  <si>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</si>
  <si>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</si>
  <si>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</si>
  <si>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</si>
  <si>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</si>
  <si>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</si>
  <si>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</si>
  <si>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</si>
  <si>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</si>
  <si>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</si>
  <si>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</si>
  <si>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</si>
  <si>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</si>
  <si>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</si>
  <si>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</si>
  <si>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</si>
  <si>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</si>
  <si>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</si>
  <si>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</si>
  <si>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</si>
  <si>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</si>
  <si>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</si>
  <si>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</si>
  <si>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</si>
  <si>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</si>
  <si>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</si>
  <si>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</si>
  <si>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</si>
  <si>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</si>
  <si>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</si>
  <si>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</si>
  <si>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</si>
  <si>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</si>
  <si>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</si>
  <si>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</si>
  <si>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</si>
  <si>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</si>
  <si>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</si>
  <si>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</si>
  <si>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</si>
  <si>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</si>
  <si>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</si>
  <si>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</si>
  <si>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</si>
  <si>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</si>
  <si>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</si>
  <si>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</si>
  <si>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</si>
  <si>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</si>
  <si>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</si>
  <si>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</si>
  <si>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</si>
  <si>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</si>
  <si>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</si>
  <si>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</si>
  <si>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</si>
  <si>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</si>
  <si>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</si>
  <si>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</si>
  <si>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</si>
  <si>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</si>
  <si>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</si>
  <si>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</si>
  <si>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</si>
  <si>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</si>
  <si>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</si>
  <si>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</si>
  <si>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</si>
  <si>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</si>
  <si>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</si>
  <si>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</si>
  <si>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</si>
  <si>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</si>
  <si>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</si>
  <si>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</si>
  <si>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</si>
  <si>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</si>
  <si>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</si>
  <si>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</si>
  <si>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</si>
  <si>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</si>
  <si>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</si>
  <si>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</si>
  <si>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</si>
  <si>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</si>
  <si>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</si>
  <si>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</si>
  <si>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</si>
  <si>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</si>
  <si>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</si>
  <si>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</si>
  <si>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</si>
  <si>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</si>
  <si>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</si>
  <si>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</si>
  <si>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</si>
  <si>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</si>
  <si>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</si>
  <si>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</si>
  <si>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</si>
  <si>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</si>
  <si>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</si>
  <si>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</si>
  <si>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</si>
  <si>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</si>
  <si>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</si>
  <si>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</si>
  <si>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</si>
  <si>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</si>
  <si>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</si>
  <si>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</si>
  <si>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</si>
  <si>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</si>
  <si>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</si>
  <si>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</si>
  <si>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</si>
  <si>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</si>
  <si>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</si>
  <si>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</si>
  <si>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</si>
  <si>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</si>
  <si>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</si>
  <si>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</si>
  <si>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</si>
  <si>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</si>
  <si>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</si>
  <si>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</si>
  <si>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</si>
  <si>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</si>
  <si>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</si>
  <si>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</si>
  <si>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</si>
  <si>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</si>
  <si>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</si>
  <si>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</si>
  <si>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</si>
  <si>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</si>
  <si>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</si>
  <si>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</si>
  <si>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</si>
  <si>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</si>
  <si>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</si>
  <si>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</si>
  <si>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</si>
  <si>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</si>
  <si>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</si>
  <si>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</si>
  <si>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</si>
  <si>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</si>
  <si>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</si>
  <si>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</si>
  <si>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</si>
  <si>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</si>
  <si>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</si>
  <si>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</si>
  <si>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</si>
  <si>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</si>
  <si>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</si>
  <si>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</si>
  <si>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</si>
  <si>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</si>
  <si>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</si>
  <si>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</si>
  <si>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</si>
  <si>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</si>
  <si>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</si>
  <si>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</si>
  <si>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</si>
  <si>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</si>
  <si>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</si>
  <si>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</si>
  <si>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</si>
  <si>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</si>
  <si>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</si>
  <si>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</si>
  <si>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</si>
  <si>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</si>
  <si>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</si>
  <si>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</si>
  <si>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</si>
  <si>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</si>
  <si>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</si>
  <si>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</si>
  <si>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</si>
  <si>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</si>
  <si>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</si>
  <si>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</si>
  <si>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</si>
  <si>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</si>
  <si>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</si>
  <si>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</si>
  <si>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</si>
  <si>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</si>
  <si>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</si>
  <si>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</si>
  <si>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</si>
  <si>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</si>
  <si>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</si>
  <si>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</si>
  <si>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</si>
  <si>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</si>
  <si>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</si>
  <si>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</si>
  <si>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</si>
  <si>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</si>
  <si>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</si>
  <si>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</si>
  <si>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</si>
  <si>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</si>
  <si>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</si>
  <si>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</si>
  <si>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</si>
  <si>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</si>
  <si>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</si>
  <si>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</si>
  <si>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</si>
  <si>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</si>
  <si>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</si>
  <si>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</si>
  <si>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</si>
  <si>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</si>
  <si>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</si>
  <si>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</si>
  <si>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</si>
  <si>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</si>
  <si>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</si>
  <si>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</si>
  <si>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</si>
  <si>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</si>
  <si>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</si>
  <si>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</si>
  <si>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</si>
  <si>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</si>
  <si>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</si>
  <si>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</si>
  <si>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</si>
  <si>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</si>
  <si>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</si>
  <si>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</si>
  <si>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</si>
  <si>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</si>
  <si>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</si>
  <si>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</si>
  <si>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</si>
  <si>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</si>
  <si>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</si>
  <si>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</si>
  <si>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</si>
  <si>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</si>
  <si>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</si>
  <si>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</si>
  <si>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</si>
  <si>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</si>
  <si>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</si>
  <si>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</si>
  <si>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</si>
  <si>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</si>
  <si>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</si>
  <si>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</si>
  <si>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</si>
  <si>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</si>
  <si>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</si>
  <si>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</si>
  <si>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</si>
  <si>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</si>
  <si>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</si>
  <si>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</si>
  <si>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</si>
  <si>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</si>
  <si>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</si>
  <si>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</si>
  <si>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</si>
  <si>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</si>
  <si>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</si>
  <si>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</si>
  <si>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</si>
  <si>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</si>
  <si>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</si>
  <si>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</si>
  <si>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</si>
  <si>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</si>
  <si>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</si>
  <si>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</si>
  <si>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</si>
  <si>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</si>
  <si>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</si>
  <si>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</si>
  <si>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</si>
  <si>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</si>
  <si>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</si>
  <si>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</si>
  <si>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</si>
  <si>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</si>
  <si>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</si>
  <si>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</si>
  <si>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</si>
  <si>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</si>
  <si>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</si>
  <si>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</si>
  <si>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</si>
  <si>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</si>
  <si>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</si>
  <si>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</si>
  <si>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</si>
  <si>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</si>
  <si>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</si>
  <si>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</si>
  <si>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</si>
  <si>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</si>
  <si>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</si>
  <si>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</si>
  <si>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</si>
  <si>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</si>
  <si>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</si>
  <si>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</si>
  <si>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</si>
  <si>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</si>
  <si>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</si>
  <si>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</si>
  <si>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</si>
  <si>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</si>
  <si>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</si>
  <si>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</si>
  <si>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</si>
  <si>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</si>
  <si>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</si>
  <si>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</si>
  <si>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</si>
  <si>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</si>
  <si>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</si>
  <si>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</si>
  <si>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</si>
  <si>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</si>
  <si>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</si>
  <si>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</si>
  <si>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</si>
  <si>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</si>
  <si>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</si>
  <si>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</si>
  <si>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</si>
  <si>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</si>
  <si>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</si>
  <si>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</si>
  <si>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</si>
  <si>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</si>
  <si>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</si>
  <si>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</si>
  <si>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</si>
  <si>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</si>
  <si>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</si>
  <si>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</si>
  <si>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</si>
  <si>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</si>
  <si>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</si>
  <si>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</si>
  <si>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</si>
  <si>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</si>
  <si>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</si>
  <si>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</si>
  <si>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</si>
  <si>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</si>
  <si>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</si>
  <si>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</si>
  <si>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</si>
  <si>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</si>
  <si>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</si>
  <si>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</si>
  <si>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</si>
  <si>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</si>
  <si>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</si>
  <si>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</si>
  <si>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</si>
  <si>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</si>
  <si>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</si>
  <si>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</si>
  <si>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</si>
  <si>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</si>
  <si>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</si>
  <si>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</si>
  <si>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</si>
  <si>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</si>
  <si>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</si>
  <si>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</si>
  <si>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</si>
  <si>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</si>
  <si>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</si>
  <si>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</si>
  <si>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</si>
  <si>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</si>
  <si>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</si>
  <si>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</si>
  <si>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</si>
  <si>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</si>
  <si>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</si>
  <si>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</si>
  <si>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</si>
  <si>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</si>
  <si>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</si>
  <si>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</si>
  <si>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</si>
  <si>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</si>
  <si>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</si>
  <si>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</si>
  <si>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</si>
  <si>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</si>
  <si>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</si>
  <si>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</si>
  <si>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</si>
  <si>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</si>
  <si>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</si>
  <si>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</si>
  <si>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</si>
  <si>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</si>
  <si>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</si>
  <si>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</si>
  <si>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</si>
  <si>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</si>
  <si>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</si>
  <si>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</si>
  <si>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</si>
  <si>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</si>
  <si>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</si>
  <si>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</si>
  <si>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</si>
  <si>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</si>
  <si>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</si>
  <si>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</si>
  <si>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</si>
  <si>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</si>
  <si>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</si>
  <si>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</si>
  <si>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</si>
  <si>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</si>
  <si>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</si>
  <si>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</si>
  <si>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</si>
  <si>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</si>
  <si>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</si>
  <si>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</si>
  <si>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</si>
  <si>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</si>
  <si>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</si>
  <si>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</si>
  <si>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</si>
  <si>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</si>
  <si>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</si>
  <si>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</si>
  <si>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</si>
  <si>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</si>
  <si>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</si>
  <si>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</si>
  <si>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</si>
  <si>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</si>
  <si>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</si>
  <si>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</si>
  <si>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</si>
  <si>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</si>
  <si>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</si>
  <si>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</si>
  <si>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</si>
  <si>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</si>
  <si>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</si>
  <si>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</si>
  <si>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</si>
  <si>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</si>
  <si>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</si>
  <si>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</si>
  <si>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</si>
  <si>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</si>
  <si>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</si>
  <si>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</si>
  <si>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</si>
  <si>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</si>
  <si>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</si>
  <si>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</si>
  <si>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</si>
  <si>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</si>
  <si>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</si>
  <si>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</si>
  <si>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</si>
  <si>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</si>
  <si>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</si>
  <si>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</si>
  <si>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</si>
  <si>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</si>
  <si>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</si>
  <si>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</si>
  <si>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</si>
  <si>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</si>
  <si>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</si>
  <si>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</si>
  <si>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</si>
  <si>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</si>
  <si>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</si>
  <si>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</si>
  <si>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</si>
  <si>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</si>
  <si>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</si>
  <si>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</si>
  <si>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</si>
  <si>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</si>
  <si>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</si>
  <si>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</si>
  <si>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</si>
  <si>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</si>
  <si>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</si>
  <si>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</si>
  <si>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</si>
  <si>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</si>
  <si>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</si>
  <si>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</si>
  <si>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</si>
  <si>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</si>
  <si>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</si>
  <si>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</si>
  <si>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</si>
  <si>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</si>
  <si>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</si>
  <si>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</si>
  <si>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</si>
  <si>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</si>
  <si>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</si>
  <si>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</si>
  <si>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</si>
  <si>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</si>
  <si>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</si>
  <si>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</si>
  <si>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</si>
  <si>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</si>
  <si>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</si>
  <si>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</si>
  <si>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</si>
  <si>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</si>
  <si>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</si>
  <si>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</si>
  <si>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</si>
  <si>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</si>
  <si>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</si>
  <si>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</si>
  <si>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</si>
  <si>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</si>
  <si>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</si>
  <si>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</si>
  <si>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</si>
  <si>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</si>
  <si>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</si>
  <si>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</si>
  <si>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</si>
  <si>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</si>
  <si>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</si>
  <si>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</si>
  <si>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</si>
  <si>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</si>
  <si>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</si>
  <si>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</si>
  <si>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</si>
  <si>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</si>
  <si>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</si>
  <si>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</si>
  <si>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</si>
  <si>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</si>
  <si>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</si>
  <si>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</si>
  <si>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</si>
  <si>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</si>
  <si>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</si>
  <si>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</si>
  <si>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</si>
  <si>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</si>
  <si>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</si>
  <si>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</si>
  <si>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</si>
  <si>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</si>
  <si>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</si>
  <si>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</si>
  <si>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</si>
  <si>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</si>
  <si>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</si>
  <si>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</si>
  <si>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</si>
  <si>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</si>
  <si>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</si>
  <si>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</si>
  <si>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</si>
  <si>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</si>
  <si>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</si>
  <si>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</si>
  <si>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</si>
  <si>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</si>
  <si>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</si>
  <si>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</si>
  <si>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</si>
  <si>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</si>
  <si>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</si>
  <si>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</si>
  <si>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</si>
  <si>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</si>
  <si>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</si>
  <si>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</si>
  <si>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</si>
  <si>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</si>
  <si>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</si>
  <si>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</si>
  <si>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</si>
  <si>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</si>
  <si>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</si>
  <si>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</si>
  <si>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</si>
  <si>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</si>
  <si>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</si>
  <si>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</si>
  <si>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</si>
  <si>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</si>
  <si>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</si>
  <si>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</si>
  <si>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</si>
  <si>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</si>
  <si>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</si>
  <si>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</si>
  <si>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</si>
  <si>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</si>
  <si>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</si>
  <si>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</si>
  <si>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</si>
  <si>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</si>
  <si>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</si>
  <si>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</si>
  <si>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</si>
  <si>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</si>
  <si>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</si>
  <si>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</si>
  <si>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</si>
  <si>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</si>
  <si>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</si>
  <si>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</si>
  <si>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</si>
  <si>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</si>
  <si>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</si>
  <si>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</si>
  <si>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</si>
  <si>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</si>
  <si>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</si>
  <si>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</si>
  <si>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</si>
  <si>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</si>
  <si>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</si>
  <si>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</si>
  <si>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</si>
  <si>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</si>
  <si>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</si>
  <si>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</si>
  <si>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</si>
  <si>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</si>
  <si>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</si>
  <si>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</si>
  <si>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</si>
  <si>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</si>
  <si>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</si>
  <si>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</si>
  <si>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</si>
  <si>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</si>
  <si>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</si>
  <si>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</si>
  <si>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</si>
  <si>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</si>
  <si>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</si>
  <si>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</si>
  <si>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</si>
  <si>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</si>
  <si>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</si>
  <si>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</si>
  <si>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</si>
  <si>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</si>
  <si>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</si>
  <si>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</si>
  <si>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</si>
  <si>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</si>
  <si>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</si>
  <si>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</si>
  <si>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</si>
  <si>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</si>
  <si>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</si>
  <si>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</si>
  <si>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</si>
  <si>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</si>
  <si>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</si>
  <si>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</si>
  <si>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</si>
  <si>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</si>
  <si>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</si>
  <si>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</si>
  <si>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</si>
  <si>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</si>
  <si>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</si>
  <si>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</si>
  <si>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</si>
  <si>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</si>
  <si>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</si>
  <si>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</si>
  <si>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</si>
  <si>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</si>
  <si>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</si>
  <si>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</si>
  <si>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</si>
  <si>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</si>
  <si>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</si>
  <si>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</si>
  <si>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</si>
  <si>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</si>
  <si>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</si>
  <si>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</si>
  <si>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</si>
  <si>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</si>
  <si>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</si>
  <si>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</si>
  <si>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</si>
  <si>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</si>
  <si>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</si>
  <si>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</si>
  <si>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</si>
  <si>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</si>
  <si>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</si>
  <si>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</si>
  <si>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</si>
  <si>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</si>
  <si>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</si>
  <si>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</si>
  <si>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</si>
  <si>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</si>
  <si>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</si>
  <si>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</si>
  <si>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</si>
  <si>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</si>
  <si>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</si>
  <si>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</si>
  <si>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</si>
  <si>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</si>
  <si>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</si>
  <si>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</si>
  <si>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</si>
  <si>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</si>
  <si>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</si>
  <si>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</si>
  <si>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</si>
  <si>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</si>
  <si>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</si>
  <si>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</si>
  <si>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</si>
  <si>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</si>
  <si>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</si>
  <si>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</si>
  <si>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</si>
  <si>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</si>
  <si>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</si>
  <si>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</si>
  <si>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</si>
  <si>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</si>
  <si>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</si>
  <si>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</si>
  <si>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</si>
  <si>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</si>
  <si>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</si>
  <si>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</si>
  <si>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</si>
  <si>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</si>
  <si>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</si>
  <si>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</si>
  <si>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</si>
  <si>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</si>
  <si>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</si>
  <si>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</si>
  <si>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</si>
  <si>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</si>
  <si>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</si>
  <si>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</si>
  <si>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</si>
  <si>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</si>
  <si>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</si>
  <si>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</si>
  <si>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</si>
  <si>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</si>
  <si>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</si>
  <si>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</si>
  <si>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</si>
  <si>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</si>
  <si>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</si>
  <si>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</si>
  <si>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</si>
  <si>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</si>
  <si>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</si>
  <si>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</si>
  <si>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</si>
  <si>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</si>
  <si>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</si>
  <si>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</si>
  <si>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</si>
  <si>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</si>
  <si>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</si>
  <si>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</si>
  <si>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</si>
  <si>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</si>
  <si>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</si>
  <si>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</si>
  <si>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</si>
  <si>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</si>
  <si>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</si>
  <si>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</si>
  <si>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</si>
  <si>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</si>
  <si>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</si>
  <si>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</si>
  <si>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</si>
  <si>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</si>
  <si>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</si>
  <si>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</si>
  <si>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</si>
  <si>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</si>
  <si>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</si>
  <si>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</si>
  <si>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</si>
  <si>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</si>
  <si>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</si>
  <si>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</si>
  <si>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</si>
  <si>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</si>
  <si>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</si>
  <si>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</si>
  <si>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</si>
  <si>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</si>
  <si>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</si>
  <si>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</si>
  <si>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</si>
  <si>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</si>
  <si>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</si>
  <si>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</si>
  <si>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</si>
  <si>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</si>
  <si>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</si>
  <si>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</si>
  <si>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</si>
  <si>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</si>
  <si>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</si>
  <si>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</si>
  <si>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</si>
  <si>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</si>
  <si>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</si>
  <si>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</si>
  <si>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</si>
  <si>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</si>
  <si>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</si>
  <si>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</si>
  <si>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</si>
  <si>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</si>
  <si>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</si>
  <si>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</si>
  <si>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</si>
  <si>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</si>
  <si>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</si>
  <si>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</si>
  <si>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</si>
  <si>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</si>
  <si>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</si>
  <si>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</si>
  <si>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</si>
  <si>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</si>
  <si>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</si>
  <si>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</si>
  <si>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</si>
  <si>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</si>
  <si>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</si>
  <si>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</si>
  <si>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</si>
  <si>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</si>
  <si>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</si>
  <si>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</si>
  <si>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</si>
  <si>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</si>
  <si>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</si>
  <si>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</si>
  <si>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</si>
  <si>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</si>
  <si>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</si>
  <si>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</si>
  <si>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</si>
  <si>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</si>
  <si>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</si>
  <si>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</si>
  <si>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</si>
  <si>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</si>
  <si>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</si>
  <si>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</si>
  <si>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</si>
  <si>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</si>
  <si>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</si>
  <si>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</si>
  <si>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</si>
  <si>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</si>
  <si>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</si>
  <si>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</si>
  <si>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</si>
  <si>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</si>
  <si>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</si>
  <si>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</si>
  <si>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</si>
  <si>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</si>
  <si>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</si>
  <si>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</si>
  <si>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</si>
  <si>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</si>
  <si>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</si>
  <si>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</si>
  <si>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</si>
  <si>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</si>
  <si>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</si>
  <si>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</si>
  <si>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</si>
  <si>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</si>
  <si>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</si>
  <si>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</si>
  <si>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</si>
  <si>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</si>
  <si>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</si>
  <si>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</si>
  <si>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</si>
  <si>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</si>
  <si>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</si>
  <si>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</si>
  <si>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</si>
  <si>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</si>
  <si>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</si>
  <si>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</si>
  <si>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</si>
  <si>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</si>
  <si>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</si>
  <si>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</si>
  <si>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</si>
  <si>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</si>
  <si>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</si>
  <si>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</si>
  <si>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</si>
  <si>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</si>
  <si>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</si>
  <si>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</si>
  <si>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</si>
  <si>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</si>
  <si>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</si>
  <si>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</si>
  <si>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</si>
  <si>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</si>
  <si>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</si>
  <si>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</si>
  <si>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</si>
  <si>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</si>
  <si>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</si>
  <si>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</si>
  <si>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</si>
  <si>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</si>
  <si>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</si>
  <si>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</si>
  <si>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</si>
  <si>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</si>
  <si>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</si>
  <si>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</si>
  <si>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</si>
  <si>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</si>
  <si>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</si>
  <si>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</si>
  <si>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</si>
  <si>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</si>
  <si>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</si>
  <si>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</si>
  <si>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</si>
  <si>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</si>
  <si>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</si>
  <si>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</si>
  <si>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</si>
  <si>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</si>
  <si>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</si>
  <si>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</si>
  <si>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</si>
  <si>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</si>
  <si>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</si>
  <si>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</si>
  <si>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</si>
  <si>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</si>
  <si>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</si>
  <si>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</si>
  <si>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</si>
  <si>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</si>
  <si>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</si>
  <si>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</si>
  <si>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</si>
  <si>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</si>
  <si>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</si>
  <si>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</si>
  <si>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</si>
  <si>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</si>
  <si>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</si>
  <si>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</si>
  <si>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</si>
  <si>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</si>
  <si>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</si>
  <si>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</si>
  <si>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</si>
  <si>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</si>
  <si>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</si>
  <si>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</si>
  <si>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</si>
  <si>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</si>
  <si>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</si>
  <si>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</si>
  <si>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</si>
  <si>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</si>
  <si>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</si>
  <si>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</si>
  <si>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</si>
  <si>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</si>
  <si>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</si>
  <si>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</si>
  <si>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</si>
  <si>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</si>
  <si>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</si>
  <si>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</si>
  <si>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</si>
  <si>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</si>
  <si>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</si>
  <si>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</si>
  <si>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</si>
  <si>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</si>
  <si>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</si>
  <si>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</si>
  <si>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</si>
  <si>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</si>
  <si>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</si>
  <si>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</si>
  <si>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</si>
  <si>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</si>
  <si>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</si>
  <si>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</si>
  <si>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</si>
  <si>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</si>
  <si>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</si>
  <si>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</si>
  <si>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</si>
  <si>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</si>
  <si>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</si>
  <si>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</si>
  <si>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</si>
  <si>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</si>
  <si>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</si>
  <si>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</si>
  <si>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</si>
  <si>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</si>
  <si>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</si>
  <si>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</si>
  <si>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</si>
  <si>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</si>
  <si>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</si>
  <si>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</si>
  <si>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</si>
  <si>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</si>
  <si>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</si>
  <si>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</si>
  <si>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</si>
  <si>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</si>
  <si>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</si>
  <si>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</si>
  <si>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</si>
  <si>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</si>
  <si>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</si>
  <si>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</si>
  <si>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</si>
  <si>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</si>
  <si>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</si>
  <si>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</si>
  <si>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</si>
  <si>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</si>
  <si>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</si>
  <si>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</si>
  <si>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</si>
  <si>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</si>
  <si>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</si>
  <si>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</si>
  <si>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</si>
  <si>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</si>
  <si>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</si>
  <si>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</si>
  <si>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</si>
  <si>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</si>
  <si>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</si>
  <si>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</si>
  <si>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</si>
  <si>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</si>
  <si>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</si>
  <si>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</si>
  <si>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</si>
  <si>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</si>
  <si>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</si>
  <si>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</si>
  <si>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</si>
  <si>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</si>
  <si>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</si>
  <si>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</si>
  <si>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</si>
  <si>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</si>
  <si>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</si>
  <si>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</si>
  <si>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</si>
  <si>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</si>
  <si>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</si>
  <si>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</si>
  <si>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</si>
  <si>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</si>
  <si>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</si>
  <si>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</si>
  <si>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</si>
  <si>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</si>
  <si>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</si>
  <si>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</si>
  <si>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</si>
  <si>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</si>
  <si>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</si>
  <si>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</si>
  <si>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</si>
  <si>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</si>
  <si>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</si>
  <si>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</si>
  <si>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</si>
  <si>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</si>
  <si>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</si>
  <si>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</si>
  <si>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</si>
  <si>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</si>
  <si>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</si>
  <si>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</si>
  <si>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</si>
  <si>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</si>
  <si>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</si>
  <si>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</si>
  <si>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</si>
  <si>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</si>
  <si>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</si>
  <si>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</si>
  <si>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</si>
  <si>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</si>
  <si>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</si>
  <si>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</si>
  <si>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</si>
  <si>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</si>
  <si>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</si>
  <si>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</si>
  <si>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</si>
  <si>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</si>
  <si>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</si>
  <si>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</si>
  <si>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</si>
  <si>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</si>
  <si>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</si>
  <si>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</si>
  <si>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</si>
  <si>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</si>
  <si>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</si>
  <si>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</si>
  <si>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</si>
  <si>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</si>
  <si>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</si>
  <si>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</si>
  <si>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</si>
  <si>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</si>
  <si>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</si>
  <si>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</si>
  <si>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</si>
  <si>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</si>
  <si>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</si>
  <si>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</si>
  <si>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</si>
  <si>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</si>
  <si>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</si>
  <si>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</si>
  <si>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</si>
  <si>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</si>
  <si>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</si>
  <si>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</si>
  <si>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</si>
  <si>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</si>
  <si>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</si>
  <si>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</si>
  <si>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</si>
  <si>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</si>
  <si>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</si>
  <si>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</si>
  <si>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</si>
  <si>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</si>
  <si>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</si>
  <si>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</si>
  <si>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</si>
  <si>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</si>
  <si>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</si>
  <si>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</si>
  <si>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</si>
  <si>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</si>
  <si>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</si>
  <si>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</si>
  <si>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</si>
  <si>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</si>
  <si>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</si>
  <si>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</si>
  <si>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</si>
  <si>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</si>
  <si>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</si>
  <si>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</si>
  <si>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</si>
  <si>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</si>
  <si>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</si>
  <si>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</si>
  <si>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</si>
  <si>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</si>
  <si>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</si>
  <si>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</si>
  <si>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</si>
  <si>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</si>
  <si>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</si>
  <si>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</si>
  <si>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</si>
  <si>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</si>
  <si>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</si>
  <si>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</si>
  <si>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</si>
  <si>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</si>
  <si>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</si>
  <si>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</si>
  <si>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</si>
  <si>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</si>
  <si>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</si>
  <si>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</si>
  <si>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</si>
  <si>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</si>
  <si>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</si>
  <si>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</si>
  <si>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</si>
  <si>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</si>
  <si>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</si>
  <si>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</si>
  <si>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</si>
  <si>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</si>
  <si>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</si>
  <si>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</si>
  <si>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</si>
  <si>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</si>
  <si>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</si>
  <si>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</si>
  <si>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</si>
  <si>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</si>
  <si>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</si>
  <si>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</si>
  <si>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</si>
  <si>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</si>
  <si>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</si>
  <si>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</si>
  <si>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</si>
  <si>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</si>
  <si>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</si>
  <si>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</si>
  <si>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</si>
  <si>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</si>
  <si>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</si>
  <si>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</si>
  <si>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</si>
  <si>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</si>
  <si>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</si>
  <si>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</si>
  <si>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</si>
  <si>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</si>
  <si>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</si>
  <si>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</si>
  <si>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</si>
  <si>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</si>
  <si>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</si>
  <si>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</si>
  <si>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</si>
  <si>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</si>
  <si>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</si>
  <si>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</si>
  <si>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</si>
  <si>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</si>
  <si>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</si>
  <si>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</si>
  <si>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</si>
  <si>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</si>
  <si>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</si>
  <si>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</si>
  <si>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</si>
  <si>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</si>
  <si>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</si>
  <si>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</si>
  <si>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</si>
  <si>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</si>
  <si>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</si>
  <si>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</si>
  <si>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</si>
  <si>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</si>
  <si>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</si>
  <si>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</si>
  <si>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</si>
  <si>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</si>
  <si>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</si>
  <si>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</si>
  <si>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</si>
  <si>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</si>
  <si>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</si>
  <si>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</si>
  <si>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</si>
  <si>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</si>
  <si>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</si>
  <si>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</si>
  <si>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</si>
  <si>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</si>
  <si>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</si>
  <si>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</si>
  <si>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</si>
  <si>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</si>
  <si>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</si>
  <si>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</si>
  <si>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</si>
  <si>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</si>
  <si>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</si>
  <si>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</si>
  <si>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</si>
  <si>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</si>
  <si>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</si>
  <si>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</si>
  <si>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</si>
  <si>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</si>
  <si>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</si>
  <si>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</si>
  <si>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</si>
  <si>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</si>
  <si>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</si>
  <si>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</si>
  <si>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</si>
  <si>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</si>
  <si>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</si>
  <si>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</si>
  <si>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</si>
  <si>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</si>
  <si>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</si>
  <si>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</si>
  <si>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</si>
  <si>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</si>
  <si>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</si>
  <si>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</si>
  <si>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</si>
  <si>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</si>
  <si>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</si>
  <si>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</si>
  <si>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</si>
  <si>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</si>
  <si>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</si>
  <si>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</si>
  <si>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</si>
  <si>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</si>
  <si>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</si>
  <si>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</si>
  <si>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</si>
  <si>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</si>
  <si>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</si>
  <si>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</si>
  <si>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</si>
  <si>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</si>
  <si>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</si>
  <si>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</si>
  <si>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</si>
  <si>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</si>
  <si>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</si>
  <si>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</si>
  <si>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</si>
  <si>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</si>
  <si>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</si>
  <si>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</si>
  <si>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</si>
  <si>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</si>
  <si>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</si>
  <si>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</si>
  <si>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</si>
  <si>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</si>
  <si>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</si>
  <si>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</si>
  <si>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</si>
  <si>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</si>
  <si>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</si>
  <si>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</si>
  <si>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</si>
  <si>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</si>
  <si>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</si>
  <si>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</si>
  <si>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</si>
  <si>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</si>
  <si>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</si>
  <si>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</si>
  <si>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</si>
  <si>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</si>
  <si>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</si>
  <si>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</si>
  <si>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</si>
  <si>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</si>
  <si>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</si>
  <si>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</si>
  <si>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</si>
  <si>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</si>
  <si>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</si>
  <si>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</si>
  <si>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</si>
  <si>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</si>
  <si>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</si>
  <si>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</si>
  <si>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</si>
  <si>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</si>
  <si>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</si>
  <si>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</si>
  <si>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</si>
  <si>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</si>
  <si>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</si>
  <si>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</si>
  <si>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</si>
  <si>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</si>
  <si>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</si>
  <si>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</si>
  <si>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</si>
  <si>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</si>
  <si>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</si>
  <si>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</si>
  <si>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</si>
  <si>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</si>
  <si>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</si>
  <si>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</si>
  <si>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</si>
  <si>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</si>
  <si>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</si>
  <si>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</si>
  <si>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</si>
  <si>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</si>
  <si>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</si>
  <si>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</si>
  <si>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</si>
  <si>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</si>
  <si>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</si>
  <si>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</si>
  <si>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</si>
  <si>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</si>
  <si>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</si>
  <si>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</si>
  <si>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</si>
  <si>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</si>
  <si>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</si>
  <si>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</si>
  <si>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</si>
  <si>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</si>
  <si>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</si>
  <si>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</si>
  <si>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</si>
  <si>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</si>
  <si>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</si>
  <si>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</si>
  <si>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</si>
  <si>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</si>
  <si>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</si>
  <si>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</si>
  <si>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</si>
  <si>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</si>
  <si>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</si>
  <si>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</si>
  <si>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</si>
  <si>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</si>
  <si>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</si>
  <si>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</si>
  <si>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</si>
  <si>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</si>
  <si>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</si>
  <si>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</si>
  <si>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</si>
  <si>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</si>
  <si>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</si>
  <si>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</si>
  <si>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</si>
  <si>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</si>
  <si>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</si>
  <si>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</si>
  <si>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</si>
  <si>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</si>
  <si>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</si>
  <si>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</si>
  <si>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</si>
  <si>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</si>
  <si>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</si>
  <si>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</si>
  <si>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</si>
  <si>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</si>
  <si>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</si>
  <si>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</si>
  <si>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</si>
  <si>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</si>
  <si>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</si>
  <si>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</si>
  <si>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</si>
  <si>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</si>
  <si>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</si>
  <si>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</si>
  <si>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</si>
  <si>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</si>
  <si>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</si>
  <si>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</si>
  <si>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</si>
  <si>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</si>
  <si>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</si>
  <si>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</si>
  <si>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</si>
  <si>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</si>
  <si>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</si>
  <si>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</si>
  <si>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</si>
  <si>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</si>
  <si>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</si>
  <si>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</si>
  <si>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</si>
  <si>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</si>
  <si>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</si>
  <si>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</si>
  <si>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</si>
  <si>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</si>
  <si>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</si>
  <si>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</si>
  <si>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</si>
  <si>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</si>
  <si>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</si>
  <si>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</si>
  <si>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</si>
  <si>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</si>
  <si>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</si>
  <si>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</si>
  <si>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</si>
  <si>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</si>
  <si>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</si>
  <si>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</si>
  <si>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</si>
  <si>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</si>
  <si>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</si>
  <si>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</si>
  <si>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</si>
  <si>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</si>
  <si>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</si>
  <si>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</si>
  <si>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</si>
  <si>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</si>
  <si>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</si>
  <si>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</si>
  <si>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</si>
  <si>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</si>
  <si>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</si>
  <si>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</si>
  <si>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</si>
  <si>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</si>
  <si>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</si>
  <si>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</si>
  <si>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</si>
  <si>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</si>
  <si>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</si>
  <si>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</si>
  <si>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</si>
  <si>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</si>
  <si>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</si>
  <si>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</si>
  <si>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</si>
  <si>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</si>
  <si>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</si>
  <si>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</si>
  <si>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</si>
  <si>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</si>
  <si>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</si>
  <si>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</si>
  <si>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</si>
  <si>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</si>
  <si>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</si>
  <si>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</si>
  <si>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</si>
  <si>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</si>
  <si>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</si>
  <si>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</si>
  <si>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</si>
  <si>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</si>
  <si>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</si>
  <si>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</si>
  <si>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</si>
  <si>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</si>
  <si>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</si>
  <si>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</si>
  <si>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</si>
  <si>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</si>
  <si>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</si>
  <si>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</si>
  <si>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</si>
  <si>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</si>
  <si>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</si>
  <si>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</si>
  <si>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</si>
  <si>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</si>
  <si>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</si>
  <si>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</si>
  <si>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</si>
  <si>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</si>
  <si>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</si>
  <si>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</si>
  <si>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</si>
  <si>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</si>
  <si>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</si>
  <si>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</si>
  <si>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</si>
  <si>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</si>
  <si>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</si>
  <si>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</si>
  <si>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</si>
  <si>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</si>
  <si>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</si>
  <si>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</si>
  <si>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</si>
  <si>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</si>
  <si>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</si>
  <si>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</si>
  <si>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</si>
  <si>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</si>
  <si>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</si>
  <si>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</si>
  <si>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</si>
  <si>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</si>
  <si>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</si>
  <si>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</si>
  <si>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</si>
  <si>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</si>
  <si>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</si>
  <si>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</si>
  <si>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</si>
  <si>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</si>
  <si>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</si>
  <si>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</si>
  <si>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</si>
  <si>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</si>
  <si>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</si>
  <si>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</si>
  <si>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</si>
  <si>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</si>
  <si>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</si>
  <si>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</si>
  <si>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</si>
  <si>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</si>
  <si>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</si>
  <si>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</si>
  <si>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</si>
  <si>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</si>
  <si>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</si>
  <si>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</si>
  <si>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</si>
  <si>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</si>
  <si>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</si>
  <si>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</si>
  <si>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</si>
  <si>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</si>
  <si>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</si>
  <si>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</si>
  <si>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</si>
  <si>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</si>
  <si>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</si>
  <si>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</si>
  <si>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</si>
  <si>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</si>
  <si>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</si>
  <si>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</si>
  <si>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</si>
  <si>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</si>
  <si>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</si>
  <si>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</si>
  <si>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</si>
  <si>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</si>
  <si>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</si>
  <si>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</si>
  <si>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</si>
  <si>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</si>
  <si>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</si>
  <si>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</si>
  <si>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</si>
  <si>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</si>
  <si>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</si>
  <si>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</si>
  <si>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</si>
  <si>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</si>
  <si>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</si>
  <si>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</si>
  <si>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</si>
  <si>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</si>
  <si>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</si>
  <si>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</si>
  <si>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</si>
  <si>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</si>
  <si>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</si>
  <si>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</si>
  <si>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</si>
  <si>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</si>
  <si>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</si>
  <si>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</si>
  <si>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</si>
  <si>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</si>
  <si>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</si>
  <si>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</si>
  <si>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</si>
  <si>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</si>
  <si>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</si>
  <si>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</si>
  <si>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</si>
  <si>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</si>
  <si>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</si>
  <si>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</si>
  <si>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</si>
  <si>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</si>
  <si>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</si>
  <si>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</si>
  <si>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</si>
  <si>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</si>
  <si>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</si>
  <si>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</si>
  <si>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</si>
  <si>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</si>
  <si>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</si>
  <si>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</si>
  <si>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</si>
  <si>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</si>
  <si>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</si>
  <si>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</si>
  <si>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</si>
  <si>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</si>
  <si>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</si>
  <si>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</si>
  <si>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</si>
  <si>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</si>
  <si>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</si>
  <si>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</si>
  <si>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</si>
  <si>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</si>
  <si>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</si>
  <si>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</si>
  <si>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</si>
  <si>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</si>
  <si>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</si>
  <si>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</si>
  <si>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</si>
  <si>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</si>
  <si>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</si>
  <si>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</si>
  <si>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</si>
  <si>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</si>
  <si>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</si>
  <si>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</si>
  <si>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</si>
  <si>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</si>
  <si>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</si>
  <si>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</si>
  <si>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</si>
  <si>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</si>
  <si>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</si>
  <si>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</si>
  <si>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</si>
  <si>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</si>
  <si>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</si>
  <si>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</si>
  <si>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</si>
  <si>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</si>
  <si>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</si>
  <si>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</si>
  <si>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</si>
  <si>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</si>
  <si>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</si>
  <si>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</si>
  <si>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</si>
  <si>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</si>
  <si>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</si>
  <si>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</si>
  <si>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</si>
  <si>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</si>
  <si>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</si>
  <si>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</si>
  <si>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</si>
  <si>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</si>
  <si>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</si>
  <si>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</si>
  <si>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</si>
  <si>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</si>
  <si>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</si>
  <si>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</si>
  <si>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</si>
  <si>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</si>
  <si>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</si>
  <si>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</si>
  <si>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</si>
  <si>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</si>
  <si>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</si>
  <si>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</si>
  <si>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</si>
  <si>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</si>
  <si>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</si>
  <si>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</si>
  <si>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</si>
  <si>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</si>
  <si>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</si>
  <si>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</si>
  <si>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</si>
  <si>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</si>
  <si>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</si>
  <si>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</si>
  <si>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</si>
  <si>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</si>
  <si>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</si>
  <si>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</si>
  <si>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</si>
  <si>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</si>
  <si>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</si>
  <si>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</si>
  <si>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</si>
  <si>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</si>
  <si>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</si>
  <si>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</si>
  <si>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</si>
  <si>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</si>
  <si>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</si>
  <si>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</si>
  <si>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</si>
  <si>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</si>
  <si>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</si>
  <si>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</si>
  <si>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</si>
  <si>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</si>
  <si>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</si>
  <si>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</si>
  <si>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</si>
  <si>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</si>
  <si>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</si>
  <si>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</si>
  <si>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</si>
  <si>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</si>
  <si>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</si>
  <si>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</si>
  <si>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</si>
  <si>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</si>
  <si>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</si>
  <si>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</si>
  <si>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</si>
  <si>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</si>
  <si>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</si>
  <si>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</si>
  <si>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</si>
  <si>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</si>
  <si>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</si>
  <si>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</si>
  <si>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</si>
  <si>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</si>
  <si>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</si>
  <si>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</si>
  <si>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</si>
  <si>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</si>
  <si>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</si>
  <si>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</si>
  <si>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</si>
  <si>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</si>
  <si>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</si>
  <si>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</si>
  <si>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</si>
  <si>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</si>
  <si>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</si>
  <si>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</si>
  <si>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</si>
  <si>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</si>
  <si>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</si>
  <si>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</si>
  <si>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</si>
  <si>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</si>
  <si>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</si>
  <si>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</si>
  <si>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</si>
  <si>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</si>
  <si>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</si>
  <si>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</si>
  <si>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</si>
  <si>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</si>
  <si>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</si>
  <si>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</si>
  <si>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</si>
  <si>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</si>
  <si>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</si>
  <si>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</si>
  <si>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</si>
  <si>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</si>
  <si>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</si>
  <si>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</si>
  <si>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</si>
  <si>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</si>
  <si>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</si>
  <si>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</si>
  <si>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</si>
  <si>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</si>
  <si>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</si>
  <si>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</si>
  <si>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</si>
  <si>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</si>
  <si>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</si>
  <si>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</si>
  <si>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</si>
  <si>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</si>
  <si>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</si>
  <si>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</si>
  <si>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</si>
  <si>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</si>
  <si>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</si>
  <si>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</si>
  <si>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</si>
  <si>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</si>
  <si>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</si>
  <si>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</si>
  <si>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</si>
  <si>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</si>
  <si>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</si>
  <si>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</si>
  <si>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</si>
  <si>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</si>
  <si>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</si>
  <si>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</si>
  <si>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</si>
  <si>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</si>
  <si>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</si>
  <si>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</si>
  <si>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</si>
  <si>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</si>
  <si>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</si>
  <si>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</si>
  <si>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</si>
  <si>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</si>
  <si>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</si>
  <si>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</si>
  <si>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</si>
  <si>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</si>
  <si>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</si>
  <si>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</si>
  <si>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</si>
  <si>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</si>
  <si>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</si>
  <si>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</si>
  <si>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</si>
  <si>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</si>
  <si>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</si>
  <si>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</si>
  <si>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</si>
  <si>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</si>
  <si>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</si>
  <si>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</si>
  <si>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</si>
  <si>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</si>
  <si>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</si>
  <si>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</si>
  <si>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</si>
  <si>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</si>
  <si>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</si>
  <si>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</si>
  <si>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</si>
  <si>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</si>
  <si>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</si>
  <si>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</si>
  <si>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</si>
  <si>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</si>
  <si>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</si>
  <si>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</si>
  <si>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</si>
  <si>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</si>
  <si>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</si>
  <si>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</si>
  <si>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</si>
  <si>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</si>
  <si>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</si>
  <si>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</si>
  <si>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</si>
  <si>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</si>
  <si>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</si>
  <si>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</si>
  <si>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</si>
  <si>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</si>
  <si>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</si>
  <si>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</si>
  <si>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</si>
  <si>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</si>
  <si>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</si>
  <si>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</si>
  <si>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</si>
  <si>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</si>
  <si>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</si>
  <si>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</si>
  <si>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</si>
  <si>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</si>
  <si>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</si>
  <si>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</si>
  <si>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</si>
  <si>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</si>
  <si>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</si>
  <si>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</si>
  <si>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</si>
  <si>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</si>
  <si>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</si>
  <si>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</si>
  <si>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</si>
  <si>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</si>
  <si>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</si>
  <si>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</si>
  <si>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</si>
  <si>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</si>
  <si>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</si>
  <si>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</si>
  <si>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</si>
  <si>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</si>
  <si>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</si>
  <si>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</si>
  <si>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</si>
  <si>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</si>
  <si>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</si>
  <si>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</si>
  <si>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</si>
  <si>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</si>
  <si>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</si>
  <si>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</si>
  <si>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</si>
  <si>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</si>
  <si>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</si>
  <si>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</si>
  <si>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</si>
  <si>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</si>
  <si>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</si>
  <si>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</si>
  <si>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</si>
  <si>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</si>
  <si>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</si>
  <si>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</si>
  <si>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</si>
  <si>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</si>
  <si>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</si>
  <si>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</si>
  <si>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</si>
  <si>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</si>
  <si>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</si>
  <si>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</si>
  <si>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</si>
  <si>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</si>
  <si>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</si>
  <si>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</si>
  <si>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</si>
  <si>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</si>
  <si>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</si>
  <si>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</si>
  <si>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</si>
  <si>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</si>
  <si>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</si>
  <si>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</si>
  <si>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</si>
  <si>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</si>
  <si>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</si>
  <si>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</si>
  <si>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</si>
  <si>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</si>
  <si>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</si>
  <si>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</si>
  <si>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</si>
  <si>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</si>
  <si>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</si>
  <si>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</si>
  <si>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</si>
  <si>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</si>
  <si>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</si>
  <si>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</si>
  <si>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</si>
  <si>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</si>
  <si>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</si>
  <si>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</si>
  <si>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</si>
  <si>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</si>
  <si>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</si>
  <si>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</si>
  <si>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</si>
  <si>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</si>
  <si>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</si>
  <si>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</si>
  <si>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</si>
  <si>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</si>
  <si>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</si>
  <si>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</si>
  <si>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</si>
  <si>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</si>
  <si>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</si>
  <si>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</si>
  <si>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</si>
  <si>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</si>
  <si>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</si>
  <si>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</si>
  <si>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</si>
  <si>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</si>
  <si>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</si>
  <si>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</si>
  <si>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</si>
  <si>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</si>
  <si>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</si>
  <si>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</si>
  <si>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</si>
  <si>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</si>
  <si>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</si>
  <si>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</si>
  <si>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</si>
  <si>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</si>
  <si>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</si>
  <si>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</si>
  <si>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</si>
  <si>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</si>
  <si>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</si>
  <si>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</si>
  <si>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</si>
  <si>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</si>
  <si>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</si>
  <si>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</si>
  <si>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</si>
  <si>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</si>
  <si>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</si>
  <si>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</si>
  <si>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</si>
  <si>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</si>
  <si>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</si>
  <si>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</si>
  <si>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</si>
  <si>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</si>
  <si>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</si>
  <si>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</si>
  <si>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</si>
  <si>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</si>
  <si>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</si>
  <si>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</si>
  <si>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</si>
  <si>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</si>
  <si>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</si>
  <si>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</si>
  <si>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</si>
  <si>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</si>
  <si>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</si>
  <si>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</si>
  <si>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</si>
  <si>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</si>
  <si>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</si>
  <si>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0.2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</si>
</sst>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82.096594914162154</c:v>
                </c:pt>
                <c:pt idx="1">
                  <c:v>782.09792411295177</c:v>
                </c:pt>
                <c:pt idx="2">
                  <c:v>107.2414059978523</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91" zoomScale="85" zoomScaleNormal="85" workbookViewId="0">
      <selection activeCell="F111" sqref="F111"/>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(0.2/5.14)*100%</f>
        <v>3.8910505836575883E-2</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0.2/1.1*100%</f>
        <v>0.18181818181818182</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3.8910505836575883E-2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0.18181818181818182</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177150.09999999998</v>
      </c>
      <c r="E23" s="107">
        <f>E7*E12*scheme_days</f>
        <v>671</v>
      </c>
      <c r="F23" s="41" t="s">
        <v>16611</v>
      </c>
    </row>
    <row r="24" spans="2:6">
      <c r="C24" s="125" t="s">
        <v>16612</v>
      </c>
      <c r="D24" s="107">
        <f>D23*car_share</f>
        <v>42516.02399999999</v>
      </c>
      <c r="E24" s="107">
        <f>E23*car_shareP</f>
        <v>161.04</v>
      </c>
    </row>
    <row r="25" spans="2:6">
      <c r="C25" s="125" t="s">
        <v>16613</v>
      </c>
      <c r="D25" s="107">
        <f>D24/'Input Summary'!D86</f>
        <v>26572.514999999992</v>
      </c>
      <c r="E25" s="107">
        <f>E24/'Input Summary'!D86</f>
        <v>100.64999999999999</v>
      </c>
    </row>
    <row r="26" spans="2:6" ht="15.75">
      <c r="C26" s="123" t="s">
        <v>16614</v>
      </c>
      <c r="D26" s="167">
        <f>D23*'Input Summary'!D34</f>
        <v>10629.005999999998</v>
      </c>
      <c r="E26" s="167">
        <f>E23*'Input Summary'!D56</f>
        <v>40.26</v>
      </c>
      <c r="F26" s="105"/>
    </row>
    <row r="27" spans="2:6">
      <c r="C27" s="123" t="s">
        <v>16615</v>
      </c>
      <c r="D27" s="167">
        <f>D26/'Input Summary'!D87</f>
        <v>4428.7524999999996</v>
      </c>
      <c r="E27" s="167">
        <f>E26/'Input Summary'!D87</f>
        <v>16.774999999999999</v>
      </c>
    </row>
    <row r="28" spans="2:6" ht="15.75">
      <c r="B28" s="105" t="s">
        <v>16616</v>
      </c>
      <c r="C28" s="125" t="s">
        <v>16617</v>
      </c>
      <c r="D28" s="126"/>
      <c r="E28" s="127">
        <f>SUM(D25:E25,D27:E27)</f>
        <v>31118.692499999994</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54.929149911232855</v>
      </c>
      <c r="E19" s="446">
        <f>E18*E4</f>
        <v>0.62417339178082165</v>
      </c>
      <c r="G19" s="301"/>
      <c r="H19" s="42"/>
    </row>
    <row r="20" spans="2:8">
      <c r="C20" s="134" t="s">
        <v>16638</v>
      </c>
      <c r="D20" s="140">
        <f>'TAG VoT'!F21*D10</f>
        <v>144.50209275358495</v>
      </c>
      <c r="E20" s="140">
        <f>'TAG VoT'!$F$21*E10</f>
        <v>144.50209275358495</v>
      </c>
    </row>
    <row r="21" spans="2:8">
      <c r="C21" s="134" t="s">
        <v>16639</v>
      </c>
      <c r="D21" s="141">
        <f>D19*D20</f>
        <v>7937.3771153485422</v>
      </c>
      <c r="E21" s="142">
        <f>E19*E20</f>
        <v>90.194361353432001</v>
      </c>
    </row>
    <row r="22" spans="2:8">
      <c r="C22" s="138"/>
      <c r="D22" s="149"/>
      <c r="E22" s="143"/>
    </row>
    <row r="23" spans="2:8" ht="15.75">
      <c r="C23" s="144" t="s">
        <v>16523</v>
      </c>
      <c r="D23" s="145">
        <f>D21+E21</f>
        <v>8027.5714767019745</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3.8910505836575883E-2</v>
      </c>
      <c r="E13" s="503">
        <f>'Input Summary'!D58</f>
        <v>0.18181818181818182</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7.0300000000000001E-2</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0.20000000000000004</v>
      </c>
      <c r="E25" s="508">
        <f>E5*E13</f>
        <v>0.2</v>
      </c>
      <c r="F25" s="131" t="s">
        <v>16641</v>
      </c>
      <c r="G25" s="131"/>
      <c r="H25" s="131"/>
    </row>
    <row r="26" spans="1:8">
      <c r="A26" s="492"/>
      <c r="B26" s="492"/>
      <c r="C26" s="109" t="s">
        <v>16657</v>
      </c>
      <c r="D26" s="499">
        <f>60*D25/speed</f>
        <v>0.80000000000000016</v>
      </c>
      <c r="E26" s="499">
        <f>60*E25/speedP</f>
        <v>2.4</v>
      </c>
      <c r="F26" s="492" t="s">
        <v>16658</v>
      </c>
      <c r="G26" s="131"/>
      <c r="H26" s="131"/>
    </row>
    <row r="27" spans="1:8">
      <c r="A27" s="492"/>
      <c r="B27" s="492"/>
      <c r="C27" s="151" t="s">
        <v>16659</v>
      </c>
      <c r="D27" s="502">
        <f>D26*scheme_days</f>
        <v>244.00000000000006</v>
      </c>
      <c r="E27" s="502">
        <f>E26*scheme_days</f>
        <v>732</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17.153200000000005</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969.15580000000034</v>
      </c>
      <c r="E35" s="514">
        <f>E9*E30/2</f>
        <v>0</v>
      </c>
      <c r="F35" s="492"/>
      <c r="G35" s="511"/>
    </row>
    <row r="36" spans="2:7">
      <c r="B36" s="492"/>
      <c r="C36" s="515" t="s">
        <v>16665</v>
      </c>
      <c r="D36" s="516">
        <f>D34+D35</f>
        <v>969.15580000000034</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7718.9400000000023</v>
      </c>
      <c r="E41" s="514">
        <f>E30*E10</f>
        <v>0</v>
      </c>
      <c r="F41" s="492"/>
      <c r="G41" s="492"/>
    </row>
    <row r="42" spans="2:7">
      <c r="B42" s="492"/>
      <c r="C42" s="515" t="s">
        <v>16669</v>
      </c>
      <c r="D42" s="516">
        <f>D40+D41</f>
        <v>7718.9400000000023</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969.15580000000034</v>
      </c>
      <c r="F45" s="492"/>
      <c r="G45" s="492"/>
    </row>
    <row r="46" spans="2:7" ht="15">
      <c r="B46" s="492"/>
      <c r="C46" s="499" t="s">
        <v>16671</v>
      </c>
      <c r="D46" s="492"/>
      <c r="E46" s="239">
        <f>D42+E42</f>
        <v>7718.9400000000023</v>
      </c>
      <c r="F46" s="492"/>
      <c r="G46" s="492"/>
    </row>
    <row r="47" spans="2:7" ht="15">
      <c r="B47" s="492"/>
      <c r="C47" s="499" t="s">
        <v>16672</v>
      </c>
      <c r="D47" s="154">
        <f>D36+D42</f>
        <v>8688.0958000000028</v>
      </c>
      <c r="E47" s="239">
        <f>E36+E42</f>
        <v>0</v>
      </c>
      <c r="F47" s="492"/>
      <c r="G47" s="492"/>
    </row>
    <row r="48" spans="2:7" ht="15">
      <c r="B48" s="492"/>
      <c r="C48" s="155" t="s">
        <v>16673</v>
      </c>
      <c r="D48" s="117"/>
      <c r="E48" s="237">
        <f>D47+E47</f>
        <v>8688.0958000000028</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7.2640569066815697E-3</v>
      </c>
      <c r="E72" s="124">
        <f>E64*'Health Assumptions'!E60*E10</f>
        <v>1.546335865677997E-3</v>
      </c>
      <c r="F72" s="162">
        <f>SUM(D72:E72)</f>
        <v>8.8103927723595672E-3</v>
      </c>
      <c r="G72" s="124">
        <f>F64*'Health Assumptions'!D60*F10</f>
        <v>1.8759761404473197E-5</v>
      </c>
      <c r="H72" s="124">
        <f>G64*'Health Assumptions'!E60*G10</f>
        <v>1.5228921379260786E-5</v>
      </c>
      <c r="I72" s="124">
        <f>SUM(G72:H72)</f>
        <v>3.3988682783733985E-5</v>
      </c>
    </row>
    <row r="73" spans="2:12">
      <c r="C73" s="125" t="s">
        <v>16584</v>
      </c>
      <c r="D73" s="124">
        <f>D65*'Health Assumptions'!D61*D11</f>
        <v>1.3643028953533903E-2</v>
      </c>
      <c r="E73" s="124">
        <f>E65*'Health Assumptions'!E61*E11</f>
        <v>2.7330197352278341E-3</v>
      </c>
      <c r="F73" s="162">
        <f>SUM(D73:E73)</f>
        <v>1.6376048688761736E-2</v>
      </c>
      <c r="G73" s="124">
        <f>F65*'Health Assumptions'!D61*F11</f>
        <v>4.3790865608670936E-5</v>
      </c>
      <c r="H73" s="124">
        <f>G65*'Health Assumptions'!E61*G11</f>
        <v>3.8013551243384229E-5</v>
      </c>
      <c r="I73" s="124">
        <f>SUM(G73:H73)</f>
        <v>8.1804416852055171E-5</v>
      </c>
    </row>
    <row r="74" spans="2:12">
      <c r="C74" s="125" t="s">
        <v>16585</v>
      </c>
      <c r="D74" s="124">
        <f>D66*'Health Assumptions'!D62*D12</f>
        <v>1.7878637392077321E-2</v>
      </c>
      <c r="E74" s="124">
        <f>E66*'Health Assumptions'!E62*E12</f>
        <v>1.91647121874152E-3</v>
      </c>
      <c r="F74" s="162">
        <f>SUM(D74:E74)</f>
        <v>1.9795108610818842E-2</v>
      </c>
      <c r="G74" s="124">
        <f>F66*'Health Assumptions'!D62*F12</f>
        <v>1.2398493283404286E-4</v>
      </c>
      <c r="H74" s="124">
        <f>G66*'Health Assumptions'!E62*G12</f>
        <v>8.308854536725876E-5</v>
      </c>
      <c r="I74" s="124">
        <f>SUM(G74:H74)</f>
        <v>2.0707347820130164E-4</v>
      </c>
    </row>
    <row r="75" spans="2:12">
      <c r="C75" s="125" t="s">
        <v>16586</v>
      </c>
      <c r="D75" s="124">
        <f>D67*'Health Assumptions'!D63*D13</f>
        <v>1.1912456573651841E-2</v>
      </c>
      <c r="E75" s="124">
        <f>E67*'Health Assumptions'!E63*E13</f>
        <v>0</v>
      </c>
      <c r="F75" s="162">
        <f>SUM(D75:E75)</f>
        <v>1.1912456573651841E-2</v>
      </c>
      <c r="G75" s="124">
        <f>F67*'Health Assumptions'!D63*F13</f>
        <v>1.1235574399960525E-4</v>
      </c>
      <c r="H75" s="124">
        <f>G67*'Health Assumptions'!E63*G13</f>
        <v>8.9400721928588732E-5</v>
      </c>
      <c r="I75" s="124">
        <f>SUM(G75:H75)</f>
        <v>2.0175646592819399E-4</v>
      </c>
    </row>
    <row r="76" spans="2:12">
      <c r="C76" s="125" t="s">
        <v>16683</v>
      </c>
      <c r="D76" s="124">
        <f t="shared" ref="D76:I76" si="2">SUM(D71:D75)</f>
        <v>5.0698179825944635E-2</v>
      </c>
      <c r="E76" s="124">
        <f t="shared" si="2"/>
        <v>6.1958268196473506E-3</v>
      </c>
      <c r="F76" s="162">
        <f t="shared" si="2"/>
        <v>5.6894006645591987E-2</v>
      </c>
      <c r="G76" s="124">
        <f t="shared" si="2"/>
        <v>2.9889130384679226E-4</v>
      </c>
      <c r="H76" s="124">
        <f t="shared" si="2"/>
        <v>2.2573173991849254E-4</v>
      </c>
      <c r="I76" s="124">
        <f t="shared" si="2"/>
        <v>5.2462304376528479E-4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0.2530938294132723</v>
      </c>
      <c r="E82" s="124">
        <f>E72*'Health Assumptions'!E93</f>
        <v>5.3019825617183082E-2</v>
      </c>
      <c r="F82" s="162">
        <f>SUM(D82:E82)</f>
        <v>0.3061136550304554</v>
      </c>
      <c r="G82" s="124">
        <f>G72*'Health Assumptions'!D68</f>
        <v>6.5362646710134917E-4</v>
      </c>
      <c r="H82" s="124">
        <f>H72*'Health Assumptions'!E68</f>
        <v>5.2216001309144777E-4</v>
      </c>
      <c r="I82" s="124">
        <f>SUM(G82:H82)</f>
        <v>1.1757864801927968E-3</v>
      </c>
    </row>
    <row r="83" spans="3:11">
      <c r="C83" s="125" t="s">
        <v>16584</v>
      </c>
      <c r="D83" s="124">
        <f>D73*'Health Assumptions'!D94</f>
        <v>0.32370428304645221</v>
      </c>
      <c r="E83" s="124">
        <f>E73*'Health Assumptions'!E94</f>
        <v>6.4845585020515017E-2</v>
      </c>
      <c r="F83" s="162">
        <f>SUM(D83:E83)</f>
        <v>0.38854986806696723</v>
      </c>
      <c r="G83" s="124">
        <f>G73*'Health Assumptions'!D69</f>
        <v>1.0390134627814151E-3</v>
      </c>
      <c r="H83" s="124">
        <f>H73*'Health Assumptions'!E69</f>
        <v>9.0193676149180255E-4</v>
      </c>
      <c r="I83" s="124">
        <f>SUM(G83:H83)</f>
        <v>1.9409502242732175E-3</v>
      </c>
    </row>
    <row r="84" spans="3:11">
      <c r="C84" s="125" t="s">
        <v>16585</v>
      </c>
      <c r="D84" s="124">
        <f>D74*'Health Assumptions'!D95</f>
        <v>0.2705263831502796</v>
      </c>
      <c r="E84" s="124">
        <f>E74*'Health Assumptions'!E95</f>
        <v>2.7488393239726652E-2</v>
      </c>
      <c r="F84" s="162">
        <f>SUM(D84:E84)</f>
        <v>0.29801477639000623</v>
      </c>
      <c r="G84" s="124">
        <f>G74*'Health Assumptions'!D70</f>
        <v>1.8760487563547373E-3</v>
      </c>
      <c r="H84" s="124">
        <f>H74*'Health Assumptions'!E70</f>
        <v>1.191758366333245E-3</v>
      </c>
      <c r="I84" s="124">
        <f>SUM(G84:H84)</f>
        <v>3.0678071226879823E-3</v>
      </c>
    </row>
    <row r="85" spans="3:11">
      <c r="C85" s="125" t="s">
        <v>16586</v>
      </c>
      <c r="D85" s="124">
        <f>D75*'Health Assumptions'!D96</f>
        <v>6.8885507121200881E-2</v>
      </c>
      <c r="E85" s="124">
        <f>E75*'Health Assumptions'!E96</f>
        <v>0</v>
      </c>
      <c r="F85" s="162">
        <f>SUM(D85:E85)</f>
        <v>6.8885507121200881E-2</v>
      </c>
      <c r="G85" s="124">
        <f>G75*'Health Assumptions'!D71</f>
        <v>6.4971337822220334E-4</v>
      </c>
      <c r="H85" s="124">
        <f>H75*'Health Assumptions'!E71</f>
        <v>5.1697263523911401E-4</v>
      </c>
      <c r="I85" s="124">
        <f>SUM(G85:H85)</f>
        <v>1.1666860134613172E-3</v>
      </c>
    </row>
    <row r="86" spans="3:11">
      <c r="C86" s="125" t="s">
        <v>16683</v>
      </c>
      <c r="D86" s="124">
        <f t="shared" ref="D86:I86" si="3">SUM(D81:D85)</f>
        <v>0.91621000273120501</v>
      </c>
      <c r="E86" s="124">
        <f t="shared" si="3"/>
        <v>0.14535380387742475</v>
      </c>
      <c r="F86" s="162">
        <f t="shared" si="3"/>
        <v>1.0615638066086297</v>
      </c>
      <c r="G86" s="124">
        <f t="shared" si="3"/>
        <v>4.2184020644597045E-3</v>
      </c>
      <c r="H86" s="124">
        <f t="shared" si="3"/>
        <v>3.1328277761556093E-3</v>
      </c>
      <c r="I86" s="124">
        <f t="shared" si="3"/>
        <v>7.3512298406153143E-3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B19" sqref="B19"/>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31.118692499999995</v>
      </c>
      <c r="H18" s="94">
        <f>IF(H4&lt;opening,0,'General Calculations'!$E$28/1000)</f>
        <v>31.118692499999995</v>
      </c>
      <c r="I18" s="94">
        <f>IF(I4&lt;opening,0,'General Calculations'!$E$28/1000)</f>
        <v>31.118692499999995</v>
      </c>
      <c r="J18" s="94">
        <f>IF(J4&lt;opening,0,'General Calculations'!$E$28/1000)</f>
        <v>31.118692499999995</v>
      </c>
      <c r="K18" s="94">
        <f>IF(K4&lt;opening,0,'General Calculations'!$E$28/1000)</f>
        <v>31.118692499999995</v>
      </c>
      <c r="L18" s="94">
        <f>IF(L4&lt;opening,0,'General Calculations'!$E$28/1000)</f>
        <v>31.118692499999995</v>
      </c>
      <c r="M18" s="94">
        <f>IF(M4&lt;opening,0,'General Calculations'!$E$28/1000)</f>
        <v>31.118692499999995</v>
      </c>
      <c r="N18" s="94">
        <f>IF(N4&lt;opening,0,'General Calculations'!$E$28/1000)</f>
        <v>31.118692499999995</v>
      </c>
      <c r="O18" s="94">
        <f>IF(O4&lt;opening,0,'General Calculations'!$E$28/1000)</f>
        <v>31.118692499999995</v>
      </c>
      <c r="P18" s="94">
        <f>IF(P4&lt;opening,0,'General Calculations'!$E$28/1000)</f>
        <v>31.118692499999995</v>
      </c>
      <c r="Q18" s="94">
        <f>IF(Q4&lt;opening,0,'General Calculations'!$E$28/1000)</f>
        <v>31.118692499999995</v>
      </c>
      <c r="R18" s="94">
        <f>IF(R4&lt;opening,0,'General Calculations'!$E$28/1000)</f>
        <v>31.118692499999995</v>
      </c>
      <c r="S18" s="94">
        <f>IF(S4&lt;opening,0,'General Calculations'!$E$28/1000)</f>
        <v>31.118692499999995</v>
      </c>
      <c r="T18" s="94">
        <f>IF(T4&lt;opening,0,'General Calculations'!$E$28/1000)</f>
        <v>31.118692499999995</v>
      </c>
      <c r="U18" s="94">
        <f>IF(U4&lt;opening,0,'General Calculations'!$E$28/1000)</f>
        <v>31.118692499999995</v>
      </c>
      <c r="V18" s="94">
        <f>IF(V4&lt;opening,0,'General Calculations'!$E$28/1000)</f>
        <v>31.118692499999995</v>
      </c>
      <c r="W18" s="94">
        <f>IF(W4&lt;opening,0,'General Calculations'!$E$28/1000)</f>
        <v>31.118692499999995</v>
      </c>
      <c r="X18" s="94">
        <f>IF(X4&lt;opening,0,'General Calculations'!$E$28/1000)</f>
        <v>31.118692499999995</v>
      </c>
      <c r="Y18" s="94">
        <f>IF(Y4&lt;opening,0,'General Calculations'!$E$28/1000)</f>
        <v>31.118692499999995</v>
      </c>
      <c r="Z18" s="94">
        <f>IF(Z4&lt;opening,0,'General Calculations'!$E$28/1000)</f>
        <v>31.118692499999995</v>
      </c>
      <c r="AA18" s="94">
        <f>IF(AA4&lt;opening,0,'General Calculations'!$E$28/1000)</f>
        <v>31.118692499999995</v>
      </c>
      <c r="AB18" s="94">
        <f>IF(AB4&lt;opening,0,'General Calculations'!$E$28/1000)</f>
        <v>31.118692499999995</v>
      </c>
      <c r="AC18" s="94">
        <f>IF(AC4&lt;opening,0,'General Calculations'!$E$28/1000)</f>
        <v>31.118692499999995</v>
      </c>
      <c r="AD18" s="94">
        <f>IF(AD4&lt;opening,0,'General Calculations'!$E$28/1000)</f>
        <v>31.118692499999995</v>
      </c>
      <c r="AE18" s="94">
        <f>IF(AE4&lt;opening,0,'General Calculations'!$E$28/1000)</f>
        <v>31.118692499999995</v>
      </c>
      <c r="AF18" s="94">
        <f>IF(AF4&lt;opening,0,'General Calculations'!$E$28/1000)</f>
        <v>31.118692499999995</v>
      </c>
      <c r="AG18" s="94">
        <f>IF(AG4&lt;opening,0,'General Calculations'!$E$28/1000)</f>
        <v>31.118692499999995</v>
      </c>
      <c r="AH18" s="94">
        <f>IF(AH4&lt;opening,0,'General Calculations'!$E$28/1000)</f>
        <v>31.118692499999995</v>
      </c>
      <c r="AI18" s="94">
        <f>IF(AI4&lt;opening,0,'General Calculations'!$E$28/1000)</f>
        <v>31.118692499999995</v>
      </c>
      <c r="AJ18" s="94">
        <f>IF(AJ4&lt;opening,0,'General Calculations'!$E$28/1000)</f>
        <v>31.118692499999995</v>
      </c>
      <c r="AK18" s="94">
        <f>IF(AK4&lt;opening,0,'General Calculations'!$E$28/1000)</f>
        <v>31.118692499999995</v>
      </c>
      <c r="AL18" s="94">
        <f>IF(AL4&lt;opening,0,'General Calculations'!$E$28/1000)</f>
        <v>31.118692499999995</v>
      </c>
      <c r="AM18" s="94">
        <f>IF(AM4&lt;opening,0,'General Calculations'!$E$28/1000)</f>
        <v>31.118692499999995</v>
      </c>
      <c r="AN18" s="94">
        <f>IF(AN4&lt;opening,0,'General Calculations'!$E$28/1000)</f>
        <v>31.118692499999995</v>
      </c>
      <c r="AO18" s="94">
        <f>IF(AO4&lt;opening,0,'General Calculations'!$E$28/1000)</f>
        <v>31.118692499999995</v>
      </c>
      <c r="AP18" s="94">
        <f>IF(AP4&lt;opening,0,'General Calculations'!$E$28/1000)</f>
        <v>31.118692499999995</v>
      </c>
      <c r="AQ18" s="94">
        <f>IF(AQ4&lt;opening,0,'General Calculations'!$E$28/1000)</f>
        <v>31.118692499999995</v>
      </c>
      <c r="AR18" s="94">
        <f>IF(AR4&lt;opening,0,'General Calculations'!$E$28/1000)</f>
        <v>31.118692499999995</v>
      </c>
      <c r="AS18" s="94">
        <f>IF(AS4&lt;opening,0,'General Calculations'!$E$28/1000)</f>
        <v>31.118692499999995</v>
      </c>
      <c r="AT18" s="94">
        <f>IF(AT4&lt;opening,0,'General Calculations'!$E$28/1000)</f>
        <v>31.118692499999995</v>
      </c>
      <c r="AU18" s="94">
        <f>IF(AU4&lt;opening,0,'General Calculations'!$E$28/1000)</f>
        <v>31.118692499999995</v>
      </c>
      <c r="AV18" s="94">
        <f>IF(AV4&lt;opening,0,'General Calculations'!$E$28/1000)</f>
        <v>31.118692499999995</v>
      </c>
      <c r="AW18" s="94">
        <f>IF(AW4&lt;opening,0,'General Calculations'!$E$28/1000)</f>
        <v>31.118692499999995</v>
      </c>
      <c r="AX18" s="94">
        <f>IF(AX4&lt;opening,0,'General Calculations'!$E$28/1000)</f>
        <v>31.118692499999995</v>
      </c>
      <c r="AY18" s="94">
        <f>IF(AY4&lt;opening,0,'General Calculations'!$E$28/1000)</f>
        <v>31.118692499999995</v>
      </c>
      <c r="AZ18" s="94">
        <f>IF(AZ4&lt;opening,0,'General Calculations'!$E$28/1000)</f>
        <v>31.118692499999995</v>
      </c>
      <c r="BA18" s="94">
        <f>IF(BA4&lt;opening,0,'General Calculations'!$E$28/1000)</f>
        <v>31.118692499999995</v>
      </c>
      <c r="BB18" s="94">
        <f>IF(BB4&lt;opening,0,'General Calculations'!$E$28/1000)</f>
        <v>31.118692499999995</v>
      </c>
      <c r="BC18" s="94">
        <f>IF(BC4&lt;opening,0,'General Calculations'!$E$28/1000)</f>
        <v>31.118692499999995</v>
      </c>
      <c r="BD18" s="94">
        <f>IF(BD4&lt;opening,0,'General Calculations'!$E$28/1000)</f>
        <v>31.118692499999995</v>
      </c>
      <c r="BE18" s="94">
        <f>IF(BE4&lt;opening,0,'General Calculations'!$E$28/1000)</f>
        <v>31.118692499999995</v>
      </c>
      <c r="BF18" s="94">
        <f>IF(BF4&lt;opening,0,'General Calculations'!$E$28/1000)</f>
        <v>31.118692499999995</v>
      </c>
      <c r="BG18" s="94">
        <f>IF(BG4&lt;opening,0,'General Calculations'!$E$28/1000)</f>
        <v>31.118692499999995</v>
      </c>
      <c r="BH18" s="94">
        <f>IF(BH4&lt;opening,0,'General Calculations'!$E$28/1000)</f>
        <v>31.118692499999995</v>
      </c>
      <c r="BI18" s="94">
        <f>IF(BI4&lt;opening,0,'General Calculations'!$E$28/1000)</f>
        <v>31.118692499999995</v>
      </c>
      <c r="BJ18" s="94">
        <f>IF(BJ4&lt;opening,0,'General Calculations'!$E$28/1000)</f>
        <v>31.118692499999995</v>
      </c>
      <c r="BK18" s="94">
        <f>IF(BK4&lt;opening,0,'General Calculations'!$E$28/1000)</f>
        <v>31.118692499999995</v>
      </c>
      <c r="BL18" s="94">
        <f>IF(BL4&lt;opening,0,'General Calculations'!$E$28/1000)</f>
        <v>31.118692499999995</v>
      </c>
      <c r="BM18" s="94">
        <f>IF(BM4&lt;opening,0,'General Calculations'!$E$28/1000)</f>
        <v>31.118692499999995</v>
      </c>
      <c r="BN18" s="376">
        <f>IF(BN4&lt;opening,0,'General Calculations'!$E$28/1000)</f>
        <v>31.118692499999995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68.596602060545422</v>
      </c>
      <c r="C19" s="42">
        <f>IFERROR(C$18*HLOOKUP(C$4,mecc2,2)/100*C$7*C$9*C$11*C$12,0)</f>
        <v>0</v>
      </c>
      <c r="D19" s="42">
        <f t="shared" ref="D19:AH19" si="19">IFERROR(D$18*HLOOKUP(D$4,mecc2,2)/100*D$7*D$9*D$11*D$12,0)</f>
        <v>0</v>
      </c>
      <c r="E19" s="42">
        <f t="shared" si="19"/>
        <v>0</v>
      </c>
      <c r="F19" s="42">
        <f t="shared" si="19"/>
        <v>0</v>
      </c>
      <c r="G19" s="42">
        <f t="shared" si="19"/>
        <v>3.4768724952122043</v>
      </c>
      <c r="H19" s="42">
        <f t="shared" si="19"/>
        <v>3.4661453386295844</v>
      </c>
      <c r="I19" s="42">
        <f t="shared" si="19"/>
        <v>3.4554512784255365</v>
      </c>
      <c r="J19" s="42">
        <f t="shared" si="19"/>
        <v>3.4447902124881664</v>
      </c>
      <c r="K19" s="42">
        <f t="shared" si="19"/>
        <v>3.4341620390206247</v>
      </c>
      <c r="L19" s="42">
        <f t="shared" si="19"/>
        <v>3.4774488609159899</v>
      </c>
      <c r="M19" s="42">
        <f t="shared" si="19"/>
        <v>3.5212813032359356</v>
      </c>
      <c r="N19" s="42">
        <f t="shared" si="19"/>
        <v>3.5656662434002979</v>
      </c>
      <c r="O19" s="42">
        <f t="shared" si="19"/>
        <v>3.6106106455172116</v>
      </c>
      <c r="P19" s="42">
        <f t="shared" si="19"/>
        <v>3.6561215614757931</v>
      </c>
      <c r="Q19" s="42">
        <f t="shared" si="19"/>
        <v>3.5848983358248065</v>
      </c>
      <c r="R19" s="42">
        <f t="shared" si="19"/>
        <v>3.5150625771348709</v>
      </c>
      <c r="S19" s="42">
        <f t="shared" si="19"/>
        <v>3.4465872567990901</v>
      </c>
      <c r="T19" s="42">
        <f t="shared" si="19"/>
        <v>3.3794458727424468</v>
      </c>
      <c r="U19" s="42">
        <f t="shared" si="19"/>
        <v>3.3136124391646877</v>
      </c>
      <c r="V19" s="42">
        <f t="shared" si="19"/>
        <v>3.2921196930800973</v>
      </c>
      <c r="W19" s="42">
        <f t="shared" si="19"/>
        <v>3.2707663532002869</v>
      </c>
      <c r="X19" s="42">
        <f t="shared" si="19"/>
        <v>3.249551515309022</v>
      </c>
      <c r="Y19" s="42">
        <f t="shared" si="19"/>
        <v>3.2284742810549942</v>
      </c>
      <c r="Z19" s="42">
        <f t="shared" si="19"/>
        <v>3.2075337579137781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0.37638660849298428</v>
      </c>
      <c r="C20" s="42">
        <f t="shared" ref="C20:AH20" si="22">IFERROR(C$18*HLOOKUP(C$4,mecc2,3)/100*C$7*C$9*C$11*C$12,0)</f>
        <v>0</v>
      </c>
      <c r="D20" s="42">
        <f t="shared" si="22"/>
        <v>0</v>
      </c>
      <c r="E20" s="42">
        <f t="shared" si="22"/>
        <v>0</v>
      </c>
      <c r="F20" s="42">
        <f t="shared" si="22"/>
        <v>0</v>
      </c>
      <c r="G20" s="42">
        <f t="shared" si="22"/>
        <v>2.0801521796798436E-2</v>
      </c>
      <c r="H20" s="42">
        <f t="shared" si="22"/>
        <v>2.0538871449688568E-2</v>
      </c>
      <c r="I20" s="42">
        <f t="shared" si="22"/>
        <v>2.0279537456329683E-2</v>
      </c>
      <c r="J20" s="42">
        <f t="shared" si="22"/>
        <v>2.0023477942791964E-2</v>
      </c>
      <c r="K20" s="42">
        <f t="shared" si="22"/>
        <v>1.977065156386661E-2</v>
      </c>
      <c r="L20" s="42">
        <f t="shared" si="22"/>
        <v>1.9802365971992197E-2</v>
      </c>
      <c r="M20" s="42">
        <f t="shared" si="22"/>
        <v>1.9834131253690643E-2</v>
      </c>
      <c r="N20" s="42">
        <f t="shared" si="22"/>
        <v>1.9865947490569028E-2</v>
      </c>
      <c r="O20" s="42">
        <f t="shared" si="22"/>
        <v>1.9897814764365338E-2</v>
      </c>
      <c r="P20" s="42">
        <f t="shared" si="22"/>
        <v>1.9929733156948706E-2</v>
      </c>
      <c r="Q20" s="42">
        <f t="shared" si="22"/>
        <v>1.940019918417954E-2</v>
      </c>
      <c r="R20" s="42">
        <f t="shared" si="22"/>
        <v>1.8884734954648201E-2</v>
      </c>
      <c r="S20" s="42">
        <f t="shared" si="22"/>
        <v>1.8382966634597171E-2</v>
      </c>
      <c r="T20" s="42">
        <f t="shared" si="22"/>
        <v>1.7894530323049895E-2</v>
      </c>
      <c r="U20" s="42">
        <f t="shared" si="22"/>
        <v>1.7419071787896409E-2</v>
      </c>
      <c r="V20" s="42">
        <f t="shared" si="22"/>
        <v>1.7186001517501673E-2</v>
      </c>
      <c r="W20" s="42">
        <f t="shared" si="22"/>
        <v>1.6956049768667856E-2</v>
      </c>
      <c r="X20" s="42">
        <f t="shared" si="22"/>
        <v>1.6729174815023312E-2</v>
      </c>
      <c r="Y20" s="42">
        <f t="shared" si="22"/>
        <v>1.650533548850262E-2</v>
      </c>
      <c r="Z20" s="42">
        <f t="shared" si="22"/>
        <v>1.6284491171876397E-2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11.564806573367754</v>
      </c>
      <c r="C21" s="42">
        <f t="shared" ref="C21:AH21" si="24">IFERROR(C$18*HLOOKUP(C$4,mecc2,4)/100*C$7*C$9*C$11*C$12,0)</f>
        <v>0</v>
      </c>
      <c r="D21" s="42">
        <f t="shared" si="24"/>
        <v>0</v>
      </c>
      <c r="E21" s="42">
        <f t="shared" si="24"/>
        <v>0</v>
      </c>
      <c r="F21" s="42">
        <f t="shared" si="24"/>
        <v>0</v>
      </c>
      <c r="G21" s="42">
        <f t="shared" si="24"/>
        <v>0.63036671573597292</v>
      </c>
      <c r="H21" s="42">
        <f t="shared" si="24"/>
        <v>0.62397567500236872</v>
      </c>
      <c r="I21" s="42">
        <f t="shared" si="24"/>
        <v>0.61764943052249932</v>
      </c>
      <c r="J21" s="42">
        <f t="shared" si="24"/>
        <v>0.61138732535257789</v>
      </c>
      <c r="K21" s="42">
        <f t="shared" si="24"/>
        <v>0.60518870920931356</v>
      </c>
      <c r="L21" s="42">
        <f t="shared" si="24"/>
        <v>0.60706824292826322</v>
      </c>
      <c r="M21" s="42">
        <f t="shared" si="24"/>
        <v>0.60895361391242808</v>
      </c>
      <c r="N21" s="42">
        <f t="shared" si="24"/>
        <v>0.61084484029059383</v>
      </c>
      <c r="O21" s="42">
        <f t="shared" si="24"/>
        <v>0.61274194024784934</v>
      </c>
      <c r="P21" s="42">
        <f t="shared" si="24"/>
        <v>0.61464493202576176</v>
      </c>
      <c r="Q21" s="42">
        <f t="shared" si="24"/>
        <v>0.59831378648884548</v>
      </c>
      <c r="R21" s="42">
        <f t="shared" si="24"/>
        <v>0.58241656027778932</v>
      </c>
      <c r="S21" s="42">
        <f t="shared" si="24"/>
        <v>0.56694172413514288</v>
      </c>
      <c r="T21" s="42">
        <f t="shared" si="24"/>
        <v>0.55187805513638288</v>
      </c>
      <c r="U21" s="42">
        <f t="shared" si="24"/>
        <v>0.53721462855063384</v>
      </c>
      <c r="V21" s="42">
        <f t="shared" si="24"/>
        <v>0.53037614701611824</v>
      </c>
      <c r="W21" s="42">
        <f t="shared" si="24"/>
        <v>0.52362471603311866</v>
      </c>
      <c r="X21" s="42">
        <f t="shared" si="24"/>
        <v>0.5169592274903565</v>
      </c>
      <c r="Y21" s="42">
        <f t="shared" si="24"/>
        <v>0.5103785873822716</v>
      </c>
      <c r="Z21" s="42">
        <f t="shared" si="24"/>
        <v>0.50388171562946393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1.5301399123189079</v>
      </c>
      <c r="C22" s="42">
        <f t="shared" ref="C22:AH22" si="26">IFERROR(C$18*HLOOKUP(C$4,mecc2,5)/100*C$7*C$9*C$11*C$12,0)</f>
        <v>0</v>
      </c>
      <c r="D22" s="42">
        <f t="shared" si="26"/>
        <v>0</v>
      </c>
      <c r="E22" s="42">
        <f t="shared" si="26"/>
        <v>0</v>
      </c>
      <c r="F22" s="42">
        <f t="shared" si="26"/>
        <v>0</v>
      </c>
      <c r="G22" s="42">
        <f t="shared" si="26"/>
        <v>0.10281797337662053</v>
      </c>
      <c r="H22" s="42">
        <f t="shared" si="26"/>
        <v>9.5539665317491501E-2</v>
      </c>
      <c r="I22" s="42">
        <f t="shared" si="26"/>
        <v>8.8776576207578103E-2</v>
      </c>
      <c r="J22" s="42">
        <f t="shared" si="26"/>
        <v>8.2492234580782101E-2</v>
      </c>
      <c r="K22" s="42">
        <f t="shared" si="26"/>
        <v>7.665275072356191E-2</v>
      </c>
      <c r="L22" s="42">
        <f t="shared" si="26"/>
        <v>7.7136020479366532E-2</v>
      </c>
      <c r="M22" s="42">
        <f t="shared" si="26"/>
        <v>7.7622337088084747E-2</v>
      </c>
      <c r="N22" s="42">
        <f t="shared" si="26"/>
        <v>7.8111719759097129E-2</v>
      </c>
      <c r="O22" s="42">
        <f t="shared" si="26"/>
        <v>7.8604187822892954E-2</v>
      </c>
      <c r="P22" s="42">
        <f t="shared" si="26"/>
        <v>7.9099760731833724E-2</v>
      </c>
      <c r="Q22" s="42">
        <f t="shared" si="26"/>
        <v>7.6998715471907231E-2</v>
      </c>
      <c r="R22" s="42">
        <f t="shared" si="26"/>
        <v>7.4953478107521954E-2</v>
      </c>
      <c r="S22" s="42">
        <f t="shared" si="26"/>
        <v>7.296256627118014E-2</v>
      </c>
      <c r="T22" s="42">
        <f t="shared" si="26"/>
        <v>7.1024536969980942E-2</v>
      </c>
      <c r="U22" s="42">
        <f t="shared" si="26"/>
        <v>6.9137985539754018E-2</v>
      </c>
      <c r="V22" s="42">
        <f t="shared" si="26"/>
        <v>6.7945547919122801E-2</v>
      </c>
      <c r="W22" s="42">
        <f t="shared" si="26"/>
        <v>6.6773676525117856E-2</v>
      </c>
      <c r="X22" s="42">
        <f t="shared" si="26"/>
        <v>6.5622016647630871E-2</v>
      </c>
      <c r="Y22" s="42">
        <f t="shared" si="26"/>
        <v>6.449021969431451E-2</v>
      </c>
      <c r="Z22" s="42">
        <f t="shared" si="26"/>
        <v>6.3377943085068264E-2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0.77098710489118349</v>
      </c>
      <c r="C23" s="42">
        <f t="shared" ref="C23:AH23" si="28">IFERROR(C$18*HLOOKUP(C$4,mecc2,6)/100*C$7*C$9*C$11*C$12,0)</f>
        <v>0</v>
      </c>
      <c r="D23" s="42">
        <f t="shared" si="28"/>
        <v>0</v>
      </c>
      <c r="E23" s="42">
        <f t="shared" si="28"/>
        <v>0</v>
      </c>
      <c r="F23" s="42">
        <f t="shared" si="28"/>
        <v>0</v>
      </c>
      <c r="G23" s="42">
        <f t="shared" si="28"/>
        <v>4.2024447715731522E-2</v>
      </c>
      <c r="H23" s="42">
        <f t="shared" si="28"/>
        <v>4.1598378333491254E-2</v>
      </c>
      <c r="I23" s="42">
        <f t="shared" si="28"/>
        <v>4.1176628701499948E-2</v>
      </c>
      <c r="J23" s="42">
        <f t="shared" si="28"/>
        <v>4.0759155023505189E-2</v>
      </c>
      <c r="K23" s="42">
        <f t="shared" si="28"/>
        <v>4.0345913947287565E-2</v>
      </c>
      <c r="L23" s="42">
        <f t="shared" si="28"/>
        <v>4.0471216195217541E-2</v>
      </c>
      <c r="M23" s="42">
        <f t="shared" si="28"/>
        <v>4.0596907594161874E-2</v>
      </c>
      <c r="N23" s="42">
        <f t="shared" si="28"/>
        <v>4.0722989352706254E-2</v>
      </c>
      <c r="O23" s="42">
        <f t="shared" si="28"/>
        <v>4.0849462683189966E-2</v>
      </c>
      <c r="P23" s="42">
        <f t="shared" si="28"/>
        <v>4.0976328801717449E-2</v>
      </c>
      <c r="Q23" s="42">
        <f t="shared" si="28"/>
        <v>3.988758576592303E-2</v>
      </c>
      <c r="R23" s="42">
        <f t="shared" si="28"/>
        <v>3.8827770685185947E-2</v>
      </c>
      <c r="S23" s="42">
        <f t="shared" si="28"/>
        <v>3.7796114942342855E-2</v>
      </c>
      <c r="T23" s="42">
        <f t="shared" si="28"/>
        <v>3.6791870342425523E-2</v>
      </c>
      <c r="U23" s="42">
        <f t="shared" si="28"/>
        <v>3.5814308570042253E-2</v>
      </c>
      <c r="V23" s="42">
        <f t="shared" si="28"/>
        <v>3.5358409801074554E-2</v>
      </c>
      <c r="W23" s="42">
        <f t="shared" si="28"/>
        <v>3.4908314402207923E-2</v>
      </c>
      <c r="X23" s="42">
        <f t="shared" si="28"/>
        <v>3.4463948499357119E-2</v>
      </c>
      <c r="Y23" s="42">
        <f t="shared" si="28"/>
        <v>3.4025239158818138E-2</v>
      </c>
      <c r="Z23" s="42">
        <f t="shared" si="28"/>
        <v>3.3592114375297605E-2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4.8368319684662113</v>
      </c>
      <c r="C24" s="42">
        <f t="shared" ref="C24:AH24" si="30">IFERROR(C$18*HLOOKUP(C$4,mecc2,7)/100*C$7*C$9*C$11*C$12,0)</f>
        <v>0</v>
      </c>
      <c r="D24" s="42">
        <f t="shared" si="30"/>
        <v>0</v>
      </c>
      <c r="E24" s="42">
        <f t="shared" si="30"/>
        <v>0</v>
      </c>
      <c r="F24" s="42">
        <f t="shared" si="30"/>
        <v>0</v>
      </c>
      <c r="G24" s="42">
        <f t="shared" si="30"/>
        <v>0.36934647974217655</v>
      </c>
      <c r="H24" s="42">
        <f t="shared" si="30"/>
        <v>0.28048066095295787</v>
      </c>
      <c r="I24" s="42">
        <f t="shared" si="30"/>
        <v>0.21299621218408124</v>
      </c>
      <c r="J24" s="42">
        <f t="shared" si="30"/>
        <v>0.1617487146907971</v>
      </c>
      <c r="K24" s="42">
        <f t="shared" si="30"/>
        <v>0.12283151158347304</v>
      </c>
      <c r="L24" s="42">
        <f t="shared" si="30"/>
        <v>0.14717767918503777</v>
      </c>
      <c r="M24" s="42">
        <f t="shared" si="30"/>
        <v>0.17634944788230081</v>
      </c>
      <c r="N24" s="42">
        <f t="shared" si="30"/>
        <v>0.2113032896061178</v>
      </c>
      <c r="O24" s="42">
        <f t="shared" si="30"/>
        <v>0.25318525651504481</v>
      </c>
      <c r="P24" s="42">
        <f t="shared" si="30"/>
        <v>0.30336855728124523</v>
      </c>
      <c r="Q24" s="42">
        <f t="shared" si="30"/>
        <v>0.29531411374168959</v>
      </c>
      <c r="R24" s="42">
        <f t="shared" si="30"/>
        <v>0.2874735158996356</v>
      </c>
      <c r="S24" s="42">
        <f t="shared" si="30"/>
        <v>0.27984108614593317</v>
      </c>
      <c r="T24" s="42">
        <f t="shared" si="30"/>
        <v>0.27241129761211091</v>
      </c>
      <c r="U24" s="42">
        <f t="shared" si="30"/>
        <v>0.26517877016820807</v>
      </c>
      <c r="V24" s="42">
        <f t="shared" si="30"/>
        <v>0.25625000839902873</v>
      </c>
      <c r="W24" s="42">
        <f t="shared" si="30"/>
        <v>0.24762188452284578</v>
      </c>
      <c r="X24" s="42">
        <f t="shared" si="30"/>
        <v>0.23928427584347345</v>
      </c>
      <c r="Y24" s="42">
        <f t="shared" si="30"/>
        <v>0.23122740050325769</v>
      </c>
      <c r="Z24" s="42">
        <f t="shared" si="30"/>
        <v>0.2234418060067955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-5.5791593139203046</v>
      </c>
      <c r="C25" s="532">
        <f t="shared" ref="C25:AH25" si="32">IFERROR(C$18*HLOOKUP(C$4,mecc2,8)/100*C$7*C$9*C$11*C$12,0)</f>
        <v>0</v>
      </c>
      <c r="D25" s="532">
        <f t="shared" si="32"/>
        <v>0</v>
      </c>
      <c r="E25" s="532">
        <f t="shared" si="32"/>
        <v>0</v>
      </c>
      <c r="F25" s="532">
        <f t="shared" si="32"/>
        <v>0</v>
      </c>
      <c r="G25" s="532">
        <f t="shared" si="32"/>
        <v>-0.57387114533497008</v>
      </c>
      <c r="H25" s="532">
        <f t="shared" si="32"/>
        <v>-0.52559989930180229</v>
      </c>
      <c r="I25" s="532">
        <f t="shared" si="32"/>
        <v>-0.4813889954073467</v>
      </c>
      <c r="J25" s="532">
        <f t="shared" si="32"/>
        <v>-0.44089689744447741</v>
      </c>
      <c r="K25" s="532">
        <f t="shared" si="32"/>
        <v>-0.4038107975685547</v>
      </c>
      <c r="L25" s="532">
        <f t="shared" si="32"/>
        <v>-0.3548816245519581</v>
      </c>
      <c r="M25" s="532">
        <f t="shared" si="32"/>
        <v>-0.31188112899149534</v>
      </c>
      <c r="N25" s="532">
        <f t="shared" si="32"/>
        <v>-0.27409094157471225</v>
      </c>
      <c r="O25" s="532">
        <f t="shared" si="32"/>
        <v>-0.24087973676458274</v>
      </c>
      <c r="P25" s="532">
        <f t="shared" si="32"/>
        <v>-0.21169268583054829</v>
      </c>
      <c r="Q25" s="532">
        <f t="shared" si="32"/>
        <v>-0.20607360114355552</v>
      </c>
      <c r="R25" s="532">
        <f t="shared" si="32"/>
        <v>-0.20060366715865588</v>
      </c>
      <c r="S25" s="532">
        <f t="shared" si="32"/>
        <v>-0.19527892488018114</v>
      </c>
      <c r="T25" s="532">
        <f t="shared" si="32"/>
        <v>-0.19009552039843633</v>
      </c>
      <c r="U25" s="532">
        <f t="shared" si="32"/>
        <v>-0.18504970210034077</v>
      </c>
      <c r="V25" s="532">
        <f t="shared" si="32"/>
        <v>-0.17485168890835362</v>
      </c>
      <c r="W25" s="532">
        <f t="shared" si="32"/>
        <v>-0.16521568404106804</v>
      </c>
      <c r="X25" s="532">
        <f t="shared" si="32"/>
        <v>-0.15611071545019511</v>
      </c>
      <c r="Y25" s="532">
        <f t="shared" si="32"/>
        <v>-0.1475075179443251</v>
      </c>
      <c r="Z25" s="532">
        <f t="shared" si="32"/>
        <v>-0.13937843912474487</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99.088231958696269</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5.5414536928464901</v>
      </c>
      <c r="H29" s="42">
        <f>IF(H4&lt;opening,0,1)*Absenteeism!$D$23*H7*H9*H11*H12*H10/1000</f>
        <v>5.47513025553235</v>
      </c>
      <c r="I29" s="42">
        <f>IF(I4&lt;opening,0,1)*Absenteeism!$D$23*I7*I9*I11*I12*I10/1000</f>
        <v>5.4096006168459674</v>
      </c>
      <c r="J29" s="42">
        <f>IF(J4&lt;opening,0,1)*Absenteeism!$D$23*J7*J9*J11*J12*J10/1000</f>
        <v>5.3448552761298513</v>
      </c>
      <c r="K29" s="42">
        <f>IF(K4&lt;opening,0,1)*Absenteeism!$D$23*K7*K9*K11*K12*K10/1000</f>
        <v>5.2808848464360745</v>
      </c>
      <c r="L29" s="42">
        <f>IF(L4&lt;opening,0,1)*Absenteeism!$D$23*L7*L9*L11*L12*L10/1000</f>
        <v>5.2176800531653234</v>
      </c>
      <c r="M29" s="42">
        <f>IF(M4&lt;opening,0,1)*Absenteeism!$D$23*M7*M9*M11*M12*M10/1000</f>
        <v>5.155231732722247</v>
      </c>
      <c r="N29" s="42">
        <f>IF(N4&lt;opening,0,1)*Absenteeism!$D$23*N7*N9*N11*N12*N10/1000</f>
        <v>5.0935308311868885</v>
      </c>
      <c r="O29" s="42">
        <f>IF(O4&lt;opening,0,1)*Absenteeism!$D$23*O7*O9*O11*O12*O10/1000</f>
        <v>5.0325684030020303</v>
      </c>
      <c r="P29" s="42">
        <f>IF(P4&lt;opening,0,1)*Absenteeism!$D$23*P7*P9*P11*P12*P10/1000</f>
        <v>4.9723356096762448</v>
      </c>
      <c r="Q29" s="42">
        <f>IF(Q4&lt;opening,0,1)*Absenteeism!$D$23*Q7*Q9*Q11*Q12*Q10/1000</f>
        <v>4.9128237185024624</v>
      </c>
      <c r="R29" s="42">
        <f>IF(R4&lt;opening,0,1)*Absenteeism!$D$23*R7*R9*R11*R12*R10/1000</f>
        <v>4.854024101291885</v>
      </c>
      <c r="S29" s="42">
        <f>IF(S4&lt;opening,0,1)*Absenteeism!$D$23*S7*S9*S11*S12*S10/1000</f>
        <v>4.7959282331230417</v>
      </c>
      <c r="T29" s="42">
        <f>IF(T4&lt;opening,0,1)*Absenteeism!$D$23*T7*T9*T11*T12*T10/1000</f>
        <v>4.7385276911058316</v>
      </c>
      <c r="U29" s="42">
        <f>IF(U4&lt;opening,0,1)*Absenteeism!$D$23*U7*U9*U11*U12*U10/1000</f>
        <v>4.6818141531603503</v>
      </c>
      <c r="V29" s="42">
        <f>IF(V4&lt;opening,0,1)*Absenteeism!$D$23*V7*V9*V11*V12*V10/1000</f>
        <v>4.6257793968103291</v>
      </c>
      <c r="W29" s="42">
        <f>IF(W4&lt;opening,0,1)*Absenteeism!$D$23*W7*W9*W11*W12*W10/1000</f>
        <v>4.5704152979910155</v>
      </c>
      <c r="X29" s="42">
        <f>IF(X4&lt;opening,0,1)*Absenteeism!$D$23*X7*X9*X11*X12*X10/1000</f>
        <v>4.5157138298713422</v>
      </c>
      <c r="Y29" s="42">
        <f>IF(Y4&lt;opening,0,1)*Absenteeism!$D$23*Y7*Y9*Y11*Y12*Y10/1000</f>
        <v>4.4616670616901519</v>
      </c>
      <c r="Z29" s="42">
        <f>IF(Z4&lt;opening,0,1)*Absenteeism!$D$23*Z7*Z9*Z11*Z12*Z10/1000</f>
        <v>4.4082671576063968</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683.0096921542555</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8.1939282229590571</v>
      </c>
      <c r="H30" s="532">
        <f t="shared" si="34"/>
        <v>16.266763910603451</v>
      </c>
      <c r="I30" s="532">
        <f t="shared" si="34"/>
        <v>24.219849221575831</v>
      </c>
      <c r="J30" s="532">
        <f t="shared" si="34"/>
        <v>32.054513091280995</v>
      </c>
      <c r="K30" s="532">
        <f t="shared" si="34"/>
        <v>39.772071354021683</v>
      </c>
      <c r="L30" s="532">
        <f t="shared" si="34"/>
        <v>39.478189053376198</v>
      </c>
      <c r="M30" s="532">
        <f t="shared" si="34"/>
        <v>39.186478296824177</v>
      </c>
      <c r="N30" s="532">
        <f t="shared" si="34"/>
        <v>38.896923038473275</v>
      </c>
      <c r="O30" s="532">
        <f t="shared" si="34"/>
        <v>38.609507350996871</v>
      </c>
      <c r="P30" s="532">
        <f t="shared" si="34"/>
        <v>38.32421542475798</v>
      </c>
      <c r="Q30" s="532">
        <f t="shared" si="34"/>
        <v>38.04103156693958</v>
      </c>
      <c r="R30" s="532">
        <f t="shared" si="34"/>
        <v>37.75994020068142</v>
      </c>
      <c r="S30" s="532">
        <f t="shared" si="34"/>
        <v>37.480925864223195</v>
      </c>
      <c r="T30" s="532">
        <f>IF(T4&lt;opening,0,1)*T8*T9*T11*T12*T13*(VoL*YLLsC + VoL*YLLsP)/1000</f>
        <v>37.203973210054052</v>
      </c>
      <c r="U30" s="532">
        <f t="shared" si="34"/>
        <v>36.92906700406845</v>
      </c>
      <c r="V30" s="532">
        <f t="shared" si="34"/>
        <v>36.656192124728058</v>
      </c>
      <c r="W30" s="532">
        <f t="shared" si="34"/>
        <v>36.385333562230059</v>
      </c>
      <c r="X30" s="532">
        <f t="shared" si="34"/>
        <v>36.116476417681568</v>
      </c>
      <c r="Y30" s="532">
        <f t="shared" si="34"/>
        <v>35.849605902279997</v>
      </c>
      <c r="Z30" s="532">
        <f t="shared" si="34"/>
        <v>35.584707336499605</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95.278643038565718</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5.3284045731641019</v>
      </c>
      <c r="H33" s="42">
        <f>IF(H4&lt;opening,0,'Journey Ambience'!$E$46)*H7*H9*H10*H11/1000</f>
        <v>5.2646310353379464</v>
      </c>
      <c r="I33" s="42">
        <f>IF(I4&lt;opening,0,'Journey Ambience'!$E$46)*I7*I9*I10*I11/1000</f>
        <v>5.2016207774150027</v>
      </c>
      <c r="J33" s="42">
        <f>IF(J4&lt;opening,0,'Journey Ambience'!$E$46)*J7*J9*J10*J11/1000</f>
        <v>5.1393646640041535</v>
      </c>
      <c r="K33" s="42">
        <f>IF(K4&lt;opening,0,'Journey Ambience'!$E$46)*K7*K9*K10*K11/1000</f>
        <v>5.0778536690521232</v>
      </c>
      <c r="L33" s="42">
        <f>IF(L4&lt;opening,0,'Journey Ambience'!$E$46)*L7*L9*L10*L11/1000</f>
        <v>5.0170788745348434</v>
      </c>
      <c r="M33" s="42">
        <f>IF(M4&lt;opening,0,'Journey Ambience'!$E$46)*M7*M9*M10*M11/1000</f>
        <v>4.9570314691645061</v>
      </c>
      <c r="N33" s="42">
        <f>IF(N4&lt;opening,0,'Journey Ambience'!$E$46)*N7*N9*N10*N11/1000</f>
        <v>4.8977027471120662</v>
      </c>
      <c r="O33" s="42">
        <f>IF(O4&lt;opening,0,'Journey Ambience'!$E$46)*O7*O9*O10*O11/1000</f>
        <v>4.8390841067450614</v>
      </c>
      <c r="P33" s="42">
        <f>IF(P4&lt;opening,0,'Journey Ambience'!$E$46)*P7*P9*P10*P11/1000</f>
        <v>4.7811670493805147</v>
      </c>
      <c r="Q33" s="42">
        <f>IF(Q4&lt;opening,0,'Journey Ambience'!$E$46)*Q7*Q9*Q10*Q11/1000</f>
        <v>4.7239431780527852</v>
      </c>
      <c r="R33" s="42">
        <f>IF(R4&lt;opening,0,'Journey Ambience'!$E$46)*R7*R9*R10*R11/1000</f>
        <v>4.6674041962961388</v>
      </c>
      <c r="S33" s="42">
        <f>IF(S4&lt;opening,0,'Journey Ambience'!$E$46)*S7*S9*S10*S11/1000</f>
        <v>4.6115419069419188</v>
      </c>
      <c r="T33" s="42">
        <f>IF(T4&lt;opening,0,'Journey Ambience'!$E$46)*T7*T9*T10*T11/1000</f>
        <v>4.5563482109300883</v>
      </c>
      <c r="U33" s="42">
        <f>IF(U4&lt;opening,0,'Journey Ambience'!$E$46)*U7*U9*U10*U11/1000</f>
        <v>4.5018151061350213</v>
      </c>
      <c r="V33" s="42">
        <f>IF(V4&lt;opening,0,'Journey Ambience'!$E$46)*V7*V9*V10*V11/1000</f>
        <v>4.4479346862053157</v>
      </c>
      <c r="W33" s="42">
        <f>IF(W4&lt;opening,0,'Journey Ambience'!$E$46)*W7*W9*W10*W11/1000</f>
        <v>4.3946991394175194</v>
      </c>
      <c r="X33" s="42">
        <f>IF(X4&lt;opening,0,'Journey Ambience'!$E$46)*X7*X9*X10*X11/1000</f>
        <v>4.3421007475435722</v>
      </c>
      <c r="Y33" s="42">
        <f>IF(Y4&lt;opening,0,'Journey Ambience'!$E$46)*Y7*Y9*Y10*Y11/1000</f>
        <v>4.2901318847317897</v>
      </c>
      <c r="Z33" s="42">
        <f>IF(Z4&lt;opening,0,'Journey Ambience'!$E$46)*Z7*Z9*Z10*Z11/1000</f>
        <v>4.2387850164012439</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11.962762959286584</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0.66901079640838168</v>
      </c>
      <c r="H34" s="532">
        <f>IF(H4&lt;opening,0,'Journey Ambience'!$E$45)*H7*H9*H10*H11*H12/1000</f>
        <v>0.66100367443687558</v>
      </c>
      <c r="I34" s="532">
        <f>IF(I4&lt;opening,0,'Journey Ambience'!$E$45)*I7*I9*I10*I11*I12/1000</f>
        <v>0.65309238649766144</v>
      </c>
      <c r="J34" s="532">
        <f>IF(J4&lt;opening,0,'Journey Ambience'!$E$45)*J7*J9*J10*J11*J12/1000</f>
        <v>0.64527578559163268</v>
      </c>
      <c r="K34" s="532">
        <f>IF(K4&lt;opening,0,'Journey Ambience'!$E$45)*K7*K9*K10*K11*K12/1000</f>
        <v>0.63755273844765548</v>
      </c>
      <c r="L34" s="532">
        <f>IF(L4&lt;opening,0,'Journey Ambience'!$E$45)*L7*L9*L10*L11*L12/1000</f>
        <v>0.62992212535826364</v>
      </c>
      <c r="M34" s="532">
        <f>IF(M4&lt;opening,0,'Journey Ambience'!$E$45)*M7*M9*M10*M11*M12/1000</f>
        <v>0.62238284001732147</v>
      </c>
      <c r="N34" s="532">
        <f>IF(N4&lt;opening,0,'Journey Ambience'!$E$45)*N7*N9*N10*N11*N12/1000</f>
        <v>0.61493378935962606</v>
      </c>
      <c r="O34" s="532">
        <f>IF(O4&lt;opening,0,'Journey Ambience'!$E$45)*O7*O9*O10*O11*O12/1000</f>
        <v>0.60757389340243539</v>
      </c>
      <c r="P34" s="532">
        <f>IF(P4&lt;opening,0,'Journey Ambience'!$E$45)*P7*P9*P10*P11*P12/1000</f>
        <v>0.60030208508888694</v>
      </c>
      <c r="Q34" s="532">
        <f>IF(Q4&lt;opening,0,'Journey Ambience'!$E$45)*Q7*Q9*Q10*Q11*Q12/1000</f>
        <v>0.59311731013329405</v>
      </c>
      <c r="R34" s="532">
        <f>IF(R4&lt;opening,0,'Journey Ambience'!$E$45)*R7*R9*R10*R11*R12/1000</f>
        <v>0.58601852686829303</v>
      </c>
      <c r="S34" s="532">
        <f>IF(S4&lt;opening,0,'Journey Ambience'!$E$45)*S7*S9*S10*S11*S12/1000</f>
        <v>0.57900470609381871</v>
      </c>
      <c r="T34" s="532">
        <f>IF(T4&lt;opening,0,'Journey Ambience'!$E$45)*T7*T9*T10*T11*T12/1000</f>
        <v>0.57207483092788902</v>
      </c>
      <c r="U34" s="532">
        <f>IF(U4&lt;opening,0,'Journey Ambience'!$E$45)*U7*U9*U10*U11*U12/1000</f>
        <v>0.56522789665917494</v>
      </c>
      <c r="V34" s="532">
        <f>IF(V4&lt;opening,0,'Journey Ambience'!$E$45)*V7*V9*V10*V11*V12/1000</f>
        <v>0.55846291060133402</v>
      </c>
      <c r="W34" s="532">
        <f>IF(W4&lt;opening,0,'Journey Ambience'!$E$45)*W7*W9*W10*W11*W12/1000</f>
        <v>0.55177889194908847</v>
      </c>
      <c r="X34" s="532">
        <f>IF(X4&lt;opening,0,'Journey Ambience'!$E$45)*X7*X9*X10*X11*X12/1000</f>
        <v>0.5451748716360264</v>
      </c>
      <c r="Y34" s="532">
        <f>IF(Y4&lt;opening,0,'Journey Ambience'!$E$45)*Y7*Y9*Y10*Y11*Y12/1000</f>
        <v>0.53864989219410242</v>
      </c>
      <c r="Z34" s="532">
        <f>IF(Z4&lt;opening,0,'Journey Ambience'!$E$45)*Z7*Z9*Z10*Z11*Z12/1000</f>
        <v>0.53220300761482275</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68.596602060545422</v>
      </c>
      <c r="F4" s="41"/>
      <c r="G4" s="104"/>
      <c r="H4" s="435" t="s">
        <v>16711</v>
      </c>
      <c r="I4" s="192">
        <f>SUM(E4:E9,E14)</f>
        <v>82.096594914162154</v>
      </c>
      <c r="J4" s="436">
        <f>IFERROR(I4/SUM($I$4:$I$6),0)</f>
        <v>8.4510560912241572E-2</v>
      </c>
      <c r="K4" s="41"/>
      <c r="L4" s="41"/>
      <c r="M4" s="41"/>
      <c r="N4" s="41"/>
      <c r="O4" s="41"/>
    </row>
    <row r="5" spans="1:15">
      <c r="A5" s="41"/>
      <c r="B5" s="674" t="s">
        <v>16712</v>
      </c>
      <c r="C5" s="675"/>
      <c r="D5" s="675"/>
      <c r="E5" s="124">
        <f>Discounting!B20</f>
        <v>0.37638660849298428</v>
      </c>
      <c r="F5" s="41"/>
      <c r="G5" s="104"/>
      <c r="H5" s="107" t="s">
        <v>16713</v>
      </c>
      <c r="I5" s="124">
        <f>E10+E11</f>
        <v>782.09792411295177</v>
      </c>
      <c r="J5" s="430">
        <f>IFERROR(I5/SUM($I$4:$I$6),0)</f>
        <v>0.8050947097646729</v>
      </c>
      <c r="K5" s="41"/>
      <c r="L5" s="41"/>
      <c r="M5" s="41"/>
      <c r="N5" s="41"/>
      <c r="O5" s="41"/>
    </row>
    <row r="6" spans="1:15">
      <c r="A6" s="41"/>
      <c r="B6" s="674" t="s">
        <v>16441</v>
      </c>
      <c r="C6" s="675"/>
      <c r="D6" s="675"/>
      <c r="E6" s="124">
        <f>Discounting!B21</f>
        <v>11.564806573367754</v>
      </c>
      <c r="F6" s="41"/>
      <c r="G6" s="104"/>
      <c r="H6" s="107" t="s">
        <v>16714</v>
      </c>
      <c r="I6" s="124">
        <f>E12</f>
        <v>107.2414059978523</v>
      </c>
      <c r="J6" s="430">
        <f>IFERROR(I6/SUM($I$4:$I$6),0)</f>
        <v>0.11039472932308546</v>
      </c>
      <c r="K6" s="41"/>
      <c r="L6" s="41"/>
      <c r="M6" s="41"/>
      <c r="N6" s="41"/>
      <c r="O6" s="41"/>
    </row>
    <row r="7" spans="1:15">
      <c r="A7" s="41"/>
      <c r="B7" s="674" t="s">
        <v>16715</v>
      </c>
      <c r="C7" s="675"/>
      <c r="D7" s="675"/>
      <c r="E7" s="124">
        <f>Discounting!B22</f>
        <v>1.5301399123189079</v>
      </c>
      <c r="F7" s="41"/>
      <c r="G7" s="104"/>
      <c r="H7" s="41"/>
      <c r="I7" s="41"/>
      <c r="J7" s="413"/>
      <c r="K7" s="41"/>
      <c r="L7" s="41"/>
      <c r="M7" s="41"/>
      <c r="N7" s="41"/>
      <c r="O7" s="41"/>
    </row>
    <row r="8" spans="1:15">
      <c r="A8" s="41"/>
      <c r="B8" s="674" t="s">
        <v>16443</v>
      </c>
      <c r="C8" s="675"/>
      <c r="D8" s="675"/>
      <c r="E8" s="124">
        <f>Discounting!B23</f>
        <v>0.77098710489118349</v>
      </c>
      <c r="F8" s="41"/>
      <c r="G8" s="104"/>
      <c r="H8" s="41"/>
      <c r="I8" s="41"/>
      <c r="J8" s="413"/>
      <c r="K8" s="41"/>
      <c r="L8" s="41"/>
      <c r="M8" s="41"/>
      <c r="N8" s="41"/>
      <c r="O8" s="41"/>
    </row>
    <row r="9" spans="1:15">
      <c r="A9" s="41"/>
      <c r="B9" s="674" t="s">
        <v>16716</v>
      </c>
      <c r="C9" s="675"/>
      <c r="D9" s="675"/>
      <c r="E9" s="124">
        <f>Discounting!B24</f>
        <v>4.8368319684662113</v>
      </c>
      <c r="F9" s="41"/>
      <c r="G9" s="104"/>
      <c r="H9" s="41"/>
      <c r="I9" s="41"/>
      <c r="J9" s="413"/>
      <c r="K9" s="41"/>
      <c r="L9" s="41"/>
      <c r="M9" s="41"/>
      <c r="N9" s="41"/>
      <c r="O9" s="41"/>
    </row>
    <row r="10" spans="1:15">
      <c r="A10" s="41"/>
      <c r="B10" s="680" t="s">
        <v>16704</v>
      </c>
      <c r="C10" s="681"/>
      <c r="D10" s="681"/>
      <c r="E10" s="124">
        <f>Discounting!B30</f>
        <v>683.0096921542555</v>
      </c>
      <c r="F10" s="41"/>
      <c r="G10" s="104"/>
      <c r="H10" s="41"/>
      <c r="I10" s="41"/>
      <c r="J10" s="413"/>
      <c r="K10" s="41"/>
      <c r="L10" s="41"/>
      <c r="M10" s="41"/>
      <c r="N10" s="41"/>
      <c r="O10" s="41"/>
    </row>
    <row r="11" spans="1:15">
      <c r="A11" s="41"/>
      <c r="B11" s="680" t="s">
        <v>75</v>
      </c>
      <c r="C11" s="681"/>
      <c r="D11" s="681"/>
      <c r="E11" s="124">
        <f>_xlfn.IFNA(Discounting!B29, 0)</f>
        <v>99.088231958696269</v>
      </c>
      <c r="F11" s="41"/>
      <c r="G11" s="104"/>
      <c r="H11" s="41"/>
      <c r="I11" s="41"/>
      <c r="J11" s="413"/>
      <c r="K11" s="41"/>
      <c r="L11" s="41"/>
      <c r="M11" s="41"/>
      <c r="N11" s="41"/>
      <c r="O11" s="41"/>
    </row>
    <row r="12" spans="1:15">
      <c r="A12" s="41"/>
      <c r="B12" s="680" t="s">
        <v>16423</v>
      </c>
      <c r="C12" s="681"/>
      <c r="D12" s="681"/>
      <c r="E12" s="124">
        <f>IFERROR(Discounting!B33+Discounting!B34,0)</f>
        <v>107.2414059978523</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-5.5791593139203046</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971.05953841647329</v>
      </c>
      <c r="F19" s="41"/>
      <c r="G19" s="104"/>
      <c r="H19" s="41"/>
      <c r="I19" s="41"/>
      <c r="J19" s="413"/>
      <c r="K19" s="41"/>
      <c r="L19" s="41"/>
      <c r="M19" s="41"/>
      <c r="N19" s="41"/>
      <c r="O19" s="41"/>
    </row>
    <row r="20" spans="1:15">
      <c r="A20" s="41"/>
      <c r="B20" s="674" t="s">
        <v>16719</v>
      </c>
      <c r="C20" s="675"/>
      <c r="D20" s="675"/>
      <c r="E20" s="124">
        <f>IFERROR((E15+E16)-E5,0)</f>
        <v>-0.37638660849298428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-2579.9524119747571</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