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53B23830-35F8-4DAA-8D1B-5C45D194FC16}" xr6:coauthVersionLast="47" xr6:coauthVersionMax="47" xr10:uidLastSave="{00000000-0000-0000-0000-000000000000}"/>
  <bookViews>
    <workbookView xWindow="3405" yWindow="1515" windowWidth="21600" windowHeight="12735"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18" i="25" l="1"/>
  <c r="E5" i="25"/>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D23" i="27" s="1"/>
  <c r="D32" i="27" s="1"/>
  <c r="D41" i="27" s="1"/>
  <c r="D50" i="27" s="1"/>
  <c r="D59" i="27" s="1"/>
  <c r="D67" i="27" s="1"/>
  <c r="E42" i="24"/>
  <c r="E19" i="27" s="1"/>
  <c r="E28" i="27" s="1"/>
  <c r="E37" i="27" s="1"/>
  <c r="E46" i="27" s="1"/>
  <c r="D44" i="24"/>
  <c r="D21" i="27" s="1"/>
  <c r="D30" i="27" s="1"/>
  <c r="D39" i="27" s="1"/>
  <c r="D48" i="27" s="1"/>
  <c r="D57" i="27" s="1"/>
  <c r="D65"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E31" i="27" s="1"/>
  <c r="E40" i="27" s="1"/>
  <c r="E49" i="27" s="1"/>
  <c r="E58" i="27" s="1"/>
  <c r="E66" i="27" s="1"/>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5" i="19" l="1"/>
  <c r="G20" i="19"/>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<sst xmlns="http://schemas.openxmlformats.org/spreadsheetml/2006/main" count="55865" uniqueCount="16762">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</sst>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72.27350400611104</c:v>
                </c:pt>
                <c:pt idx="1">
                  <c:v>691.73129202632913</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88" zoomScale="80" zoomScaleNormal="80" workbookViewId="0">
      <selection activeCell="G115" sqref="G115"/>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396</v>
      </c>
      <c r="G33" s="41" t="s">
        <v>16311</v>
      </c>
      <c r="H33" s="311" t="s">
        <v>16758</v>
      </c>
    </row>
    <row r="34" spans="1:69">
      <c r="A34" s="41"/>
      <c r="D34" s="146" t="s">
        <v>16312</v>
      </c>
      <c r="F34" s="383">
        <f>ROUND(F33*1.25,0)</f>
        <v>495</v>
      </c>
      <c r="G34" s="41" t="s">
        <v>16311</v>
      </c>
      <c r="H34" s="311" t="s">
        <v>16759</v>
      </c>
    </row>
    <row r="35" spans="1:69" ht="30.75" thickBot="1">
      <c r="A35" s="41"/>
      <c r="D35" s="146" t="s">
        <v>16313</v>
      </c>
      <c r="F35" s="384">
        <f>0.37/5.14</f>
        <v>7.1984435797665378E-2</v>
      </c>
      <c r="G35" s="41" t="s">
        <v>16314</v>
      </c>
      <c r="H35" s="311" t="s">
        <v>16761</v>
      </c>
    </row>
    <row r="36" spans="1:69" ht="15.75" thickBot="1">
      <c r="A36" s="41"/>
    </row>
    <row r="37" spans="1:69">
      <c r="A37" s="41"/>
      <c r="D37" s="146" t="s">
        <v>16315</v>
      </c>
      <c r="F37" s="385" t="s">
        <v>16549</v>
      </c>
      <c r="H37" s="311"/>
    </row>
    <row r="38" spans="1:69" ht="15.75" thickBot="1">
      <c r="A38" s="41"/>
      <c r="D38" s="146" t="s">
        <v>16316</v>
      </c>
      <c r="F38" s="386" t="s">
        <v>16549</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41</v>
      </c>
      <c r="G46" s="41" t="s">
        <v>16311</v>
      </c>
      <c r="H46" s="311"/>
    </row>
    <row r="47" spans="1:69">
      <c r="A47" s="41"/>
      <c r="D47" s="146" t="s">
        <v>16312</v>
      </c>
      <c r="F47" s="536">
        <f>ROUND(F46*1.1,0)</f>
        <v>45</v>
      </c>
      <c r="G47" s="41" t="s">
        <v>16311</v>
      </c>
      <c r="H47" s="311"/>
    </row>
    <row r="48" spans="1:69" ht="15.75" thickBot="1">
      <c r="A48" s="41"/>
      <c r="D48" s="146" t="s">
        <v>16320</v>
      </c>
      <c r="F48" s="537">
        <f>0.37/1.1</f>
        <v>0.33636363636363631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396</v>
      </c>
      <c r="E28" s="108" t="s">
        <v>16311</v>
      </c>
    </row>
    <row r="29" spans="2:8">
      <c r="C29" s="108" t="s">
        <v>16409</v>
      </c>
      <c r="D29" s="367">
        <f>'User Interface Intervention'!F34</f>
        <v>495</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7.1984435797665378E-2</v>
      </c>
    </row>
    <row r="38" spans="2:8">
      <c r="C38" s="108" t="s">
        <v>16419</v>
      </c>
      <c r="D38" s="452">
        <f>'User Interface Intervention'!F85</f>
        <v>0.56399999999999995</v>
      </c>
    </row>
    <row r="39" spans="2:8" ht="15.75">
      <c r="B39" s="241" t="s">
        <v>16420</v>
      </c>
      <c r="D39" s="242"/>
    </row>
    <row r="41" spans="2:8">
      <c r="C41" s="108" t="s">
        <v>16421</v>
      </c>
      <c r="D41" s="367" t="str">
        <f>'User Interface Intervention'!F38</f>
        <v>Wider lane</v>
      </c>
      <c r="E41" s="108">
        <f>IFERROR(VLOOKUP('Input Summary'!D41,JQQQ,2, FALSE), 0)</f>
        <v>1.81</v>
      </c>
    </row>
    <row r="42" spans="2:8">
      <c r="C42" s="108" t="s">
        <v>16422</v>
      </c>
      <c r="D42" s="367" t="str">
        <f>'User Interface Intervention'!F37</f>
        <v>Wider lane</v>
      </c>
      <c r="E42" s="108">
        <f>IFERROR(VLOOKUP('Input Summary'!D42,JQQQ,2, FALSE),0)</f>
        <v>1.81</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41</v>
      </c>
      <c r="E50" s="242" t="s">
        <v>16311</v>
      </c>
    </row>
    <row r="51" spans="2:6">
      <c r="C51" s="108" t="s">
        <v>16409</v>
      </c>
      <c r="D51" s="367">
        <f>'User Interface Intervention'!F47</f>
        <v>45</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0.33636363636363631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396</v>
      </c>
      <c r="E4" s="120">
        <f>useP</f>
        <v>41</v>
      </c>
      <c r="F4" s="108"/>
    </row>
    <row r="5" spans="1:6">
      <c r="C5" s="120" t="s">
        <v>16598</v>
      </c>
      <c r="D5" s="122">
        <f>use_new</f>
        <v>495</v>
      </c>
      <c r="E5" s="122">
        <f>use_newP</f>
        <v>45</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99</v>
      </c>
      <c r="E12" s="123">
        <f>use_newP-useP</f>
        <v>4</v>
      </c>
    </row>
    <row r="13" spans="1:6">
      <c r="C13" s="123" t="s">
        <v>16603</v>
      </c>
      <c r="D13" s="167">
        <f>D12/(1+return)</f>
        <v>52.10526315789474</v>
      </c>
      <c r="E13" s="167">
        <f>E12/(1+return)</f>
        <v>2.1052631578947367</v>
      </c>
    </row>
    <row r="14" spans="1:6">
      <c r="C14" s="123" t="s">
        <v>16604</v>
      </c>
      <c r="D14" s="123">
        <f>use_new-D12</f>
        <v>396</v>
      </c>
      <c r="E14" s="123">
        <f>use_newP-E12</f>
        <v>41</v>
      </c>
    </row>
    <row r="15" spans="1:6">
      <c r="C15" s="123" t="s">
        <v>16605</v>
      </c>
      <c r="D15" s="123">
        <f>D14/(1+return)</f>
        <v>208.42105263157896</v>
      </c>
      <c r="E15" s="123">
        <f>E14/(1+return)</f>
        <v>21.578947368421055</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155202.29999999999</v>
      </c>
      <c r="E23" s="107">
        <f>E7*E12*scheme_days</f>
        <v>1342</v>
      </c>
      <c r="F23" s="41" t="s">
        <v>16611</v>
      </c>
    </row>
    <row r="24" spans="2:6">
      <c r="C24" s="125" t="s">
        <v>16612</v>
      </c>
      <c r="D24" s="107">
        <f>D23*car_share</f>
        <v>37248.551999999996</v>
      </c>
      <c r="E24" s="107">
        <f>E23*car_shareP</f>
        <v>322.08</v>
      </c>
    </row>
    <row r="25" spans="2:6">
      <c r="C25" s="125" t="s">
        <v>16613</v>
      </c>
      <c r="D25" s="107">
        <f>D24/'Input Summary'!D86</f>
        <v>23280.344999999998</v>
      </c>
      <c r="E25" s="107">
        <f>E24/'Input Summary'!D86</f>
        <v>201.29999999999998</v>
      </c>
    </row>
    <row r="26" spans="2:6" ht="15.75">
      <c r="C26" s="123" t="s">
        <v>16614</v>
      </c>
      <c r="D26" s="167">
        <f>D23*'Input Summary'!D34</f>
        <v>9312.137999999999</v>
      </c>
      <c r="E26" s="167">
        <f>E23*'Input Summary'!D56</f>
        <v>80.52</v>
      </c>
      <c r="F26" s="105"/>
    </row>
    <row r="27" spans="2:6">
      <c r="C27" s="123" t="s">
        <v>16615</v>
      </c>
      <c r="D27" s="167">
        <f>D26/'Input Summary'!D87</f>
        <v>3880.0574999999999</v>
      </c>
      <c r="E27" s="167">
        <f>E26/'Input Summary'!D87</f>
        <v>33.549999999999997</v>
      </c>
    </row>
    <row r="28" spans="2:6" ht="15.75">
      <c r="B28" s="105" t="s">
        <v>16616</v>
      </c>
      <c r="C28" s="125" t="s">
        <v>16617</v>
      </c>
      <c r="D28" s="126"/>
      <c r="E28" s="127">
        <f>SUM(D25:E25,D27:E27)</f>
        <v>27395.252499999995</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Wider lane</v>
      </c>
      <c r="D44" s="496">
        <f>'Input Summary'!E41</f>
        <v>1.81</v>
      </c>
      <c r="E44" s="496">
        <v>0</v>
      </c>
      <c r="F44" s="495">
        <v>1</v>
      </c>
      <c r="G44" s="492"/>
    </row>
    <row r="45" spans="1:8">
      <c r="C45" s="493" t="str">
        <f>'Input Summary'!D42</f>
        <v>Wider lane</v>
      </c>
      <c r="D45" s="496">
        <f>'Input Summary'!E42</f>
        <v>1.81</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52.10526315789474</v>
      </c>
      <c r="E4" s="124">
        <f>'General Calculations'!E13</f>
        <v>2.1052631578947367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48.123768506301353</v>
      </c>
      <c r="E19" s="446">
        <f>E18*E4</f>
        <v>1.2483467835616433</v>
      </c>
      <c r="G19" s="301"/>
      <c r="H19" s="42"/>
    </row>
    <row r="20" spans="2:8">
      <c r="C20" s="134" t="s">
        <v>16638</v>
      </c>
      <c r="D20" s="140">
        <f>'TAG VoT'!F21*D10</f>
        <v>144.50209275358495</v>
      </c>
      <c r="E20" s="140">
        <f>'TAG VoT'!$F$21*E10</f>
        <v>144.50209275358495</v>
      </c>
    </row>
    <row r="21" spans="2:8">
      <c r="C21" s="134" t="s">
        <v>16639</v>
      </c>
      <c r="D21" s="141">
        <f>D19*D20</f>
        <v>6953.9852603496083</v>
      </c>
      <c r="E21" s="142">
        <f>E19*E20</f>
        <v>180.388722706864</v>
      </c>
    </row>
    <row r="22" spans="2:8">
      <c r="C22" s="138"/>
      <c r="D22" s="149"/>
      <c r="E22" s="143"/>
    </row>
    <row r="23" spans="2:8" ht="15.75">
      <c r="C23" s="144" t="s">
        <v>16523</v>
      </c>
      <c r="D23" s="145">
        <f>D21+E21</f>
        <v>7134.3739830564728</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52.10526315789474</v>
      </c>
      <c r="E7" s="500">
        <f>'General Calculations'!E13</f>
        <v>2.1052631578947367</v>
      </c>
      <c r="F7" s="492"/>
    </row>
    <row r="8" spans="1:6">
      <c r="A8" s="492"/>
      <c r="B8" s="492"/>
      <c r="C8" s="109" t="s">
        <v>16644</v>
      </c>
      <c r="D8" s="499">
        <f>'General Calculations'!D15</f>
        <v>208.42105263157896</v>
      </c>
      <c r="E8" s="500">
        <f>'General Calculations'!E15</f>
        <v>21.578947368421055</v>
      </c>
      <c r="F8" s="492"/>
    </row>
    <row r="9" spans="1:6">
      <c r="A9" s="492"/>
      <c r="B9" s="492"/>
      <c r="C9" s="109" t="s">
        <v>16645</v>
      </c>
      <c r="D9" s="499">
        <f>'General Calculations'!D12</f>
        <v>99</v>
      </c>
      <c r="E9" s="500">
        <f>'General Calculations'!E12</f>
        <v>4</v>
      </c>
      <c r="F9" s="492"/>
    </row>
    <row r="10" spans="1:6">
      <c r="A10" s="492"/>
      <c r="B10" s="492"/>
      <c r="C10" s="151" t="s">
        <v>16646</v>
      </c>
      <c r="D10" s="502">
        <f>'General Calculations'!D14</f>
        <v>396</v>
      </c>
      <c r="E10" s="527">
        <f>'General Calculations'!E14</f>
        <v>41</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7.1984435797665378E-2</v>
      </c>
      <c r="E13" s="503">
        <f>'Input Summary'!D58</f>
        <v>0.33636363636363631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1.8100000000000002E-2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1.8100000000000002E-2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0.37</v>
      </c>
      <c r="E25" s="508">
        <f>E5*E13</f>
        <v>0.37</v>
      </c>
      <c r="F25" s="131" t="s">
        <v>16641</v>
      </c>
      <c r="G25" s="131"/>
      <c r="H25" s="131"/>
    </row>
    <row r="26" spans="1:8">
      <c r="A26" s="492"/>
      <c r="B26" s="492"/>
      <c r="C26" s="109" t="s">
        <v>16657</v>
      </c>
      <c r="D26" s="499">
        <f>60*D25/speed</f>
        <v>1.48</v>
      </c>
      <c r="E26" s="499">
        <f>60*E25/speedP</f>
        <v>4.4399999999999995</v>
      </c>
      <c r="F26" s="492" t="s">
        <v>16658</v>
      </c>
      <c r="G26" s="131"/>
      <c r="H26" s="131"/>
    </row>
    <row r="27" spans="1:8">
      <c r="A27" s="492"/>
      <c r="B27" s="492"/>
      <c r="C27" s="151" t="s">
        <v>16659</v>
      </c>
      <c r="D27" s="502">
        <f>D26*scheme_days</f>
        <v>451.4</v>
      </c>
      <c r="E27" s="502">
        <f>E26*scheme_days</f>
        <v>1354.1999999999998</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52.10526315789474</v>
      </c>
      <c r="E3" s="94"/>
      <c r="F3" s="167">
        <f>'General Calculations'!E13</f>
        <v>2.1052631578947367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8.3368421052631589</v>
      </c>
      <c r="E9" s="299">
        <f>'General Calculations'!$D$13*'Health Assumptions'!E25</f>
        <v>2.0842105263157897</v>
      </c>
      <c r="F9" s="300">
        <f>'General Calculations'!$E$13*'Health Assumptions'!F25</f>
        <v>0.31578947368421051</v>
      </c>
      <c r="G9" s="167">
        <f>'General Calculations'!$E$13*'Health Assumptions'!G25</f>
        <v>0.31578947368421051</v>
      </c>
    </row>
    <row r="10" spans="1:7">
      <c r="B10" s="179"/>
      <c r="C10" s="125" t="s">
        <v>16583</v>
      </c>
      <c r="D10" s="167">
        <f>'General Calculations'!$D$13*'Health Assumptions'!D26</f>
        <v>20.321052631578951</v>
      </c>
      <c r="E10" s="299">
        <f>'General Calculations'!$D$13*'Health Assumptions'!E26</f>
        <v>8.3368421052631589</v>
      </c>
      <c r="F10" s="300">
        <f>'General Calculations'!$E$13*'Health Assumptions'!F26</f>
        <v>0.35789473684210527</v>
      </c>
      <c r="G10" s="167">
        <f>'General Calculations'!$E$13*'Health Assumptions'!G26</f>
        <v>0.50526315789473675</v>
      </c>
    </row>
    <row r="11" spans="1:7">
      <c r="C11" s="125" t="s">
        <v>16584</v>
      </c>
      <c r="D11" s="167">
        <f>'General Calculations'!$D$13*'Health Assumptions'!D27</f>
        <v>6.7736842105263166</v>
      </c>
      <c r="E11" s="299">
        <f>'General Calculations'!$D$13*'Health Assumptions'!E27</f>
        <v>2.6052631578947372</v>
      </c>
      <c r="F11" s="300">
        <f>'General Calculations'!$E$13*'Health Assumptions'!F27</f>
        <v>0.14736842105263159</v>
      </c>
      <c r="G11" s="167">
        <f>'General Calculations'!$E$13*'Health Assumptions'!G27</f>
        <v>0.18947368421052629</v>
      </c>
    </row>
    <row r="12" spans="1:7">
      <c r="C12" s="125" t="s">
        <v>16585</v>
      </c>
      <c r="D12" s="167">
        <f>'General Calculations'!$D$13*'Health Assumptions'!D28</f>
        <v>2.6052631578947372</v>
      </c>
      <c r="E12" s="299">
        <f>'General Calculations'!$D$13*'Health Assumptions'!E28</f>
        <v>0.52105263157894743</v>
      </c>
      <c r="F12" s="300">
        <f>'General Calculations'!$E$13*'Health Assumptions'!F28</f>
        <v>0.10526315789473684</v>
      </c>
      <c r="G12" s="167">
        <f>'General Calculations'!$E$13*'Health Assumptions'!G28</f>
        <v>0.10526315789473684</v>
      </c>
    </row>
    <row r="13" spans="1:7">
      <c r="C13" s="125" t="s">
        <v>16586</v>
      </c>
      <c r="D13" s="167">
        <f>'General Calculations'!$D$13*'Health Assumptions'!D29</f>
        <v>0.52105263157894743</v>
      </c>
      <c r="E13" s="299">
        <f>'General Calculations'!$D$13*'Health Assumptions'!E29</f>
        <v>0</v>
      </c>
      <c r="F13" s="300">
        <f>'General Calculations'!$E$13*'Health Assumptions'!F29</f>
        <v>2.1052631578947368E-2</v>
      </c>
      <c r="G13" s="167">
        <f>'General Calculations'!$E$13*'Health Assumptions'!G29</f>
        <v>2.1052631578947368E-2</v>
      </c>
    </row>
    <row r="14" spans="1:7">
      <c r="C14" s="125" t="s">
        <v>16523</v>
      </c>
      <c r="D14" s="167">
        <f>SUM(D9:D13)</f>
        <v>38.557894736842115</v>
      </c>
      <c r="E14" s="299">
        <f>SUM(E9:E13)</f>
        <v>13.547368421052632</v>
      </c>
      <c r="F14" s="300">
        <f>SUM(F9:F13)</f>
        <v>0.94736842105263153</v>
      </c>
      <c r="G14" s="167">
        <f>SUM(G9:G13)</f>
        <v>1.1368421052631579</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6.3640852545263317E-3</v>
      </c>
      <c r="E72" s="124">
        <f>E64*'Health Assumptions'!E60*E10</f>
        <v>1.3547544309922277E-3</v>
      </c>
      <c r="F72" s="162">
        <f>SUM(D72:E72)</f>
        <v>7.7188396855185594E-3</v>
      </c>
      <c r="G72" s="124">
        <f>F64*'Health Assumptions'!D60*F10</f>
        <v>3.7519522808946394E-5</v>
      </c>
      <c r="H72" s="124">
        <f>G64*'Health Assumptions'!E60*G10</f>
        <v>3.0457842758521572E-5</v>
      </c>
      <c r="I72" s="124">
        <f>SUM(G72:H72)</f>
        <v>6.797736556746797E-5</v>
      </c>
    </row>
    <row r="73" spans="2:12">
      <c r="C73" s="125" t="s">
        <v>16584</v>
      </c>
      <c r="D73" s="124">
        <f>D65*'Health Assumptions'!D61*D11</f>
        <v>1.1952742180529705E-2</v>
      </c>
      <c r="E73" s="124">
        <f>E65*'Health Assumptions'!E61*E11</f>
        <v>2.3944155202438549E-3</v>
      </c>
      <c r="F73" s="162">
        <f>SUM(D73:E73)</f>
        <v>1.434715770077356E-2</v>
      </c>
      <c r="G73" s="124">
        <f>F65*'Health Assumptions'!D61*F11</f>
        <v>8.7581731217341871E-5</v>
      </c>
      <c r="H73" s="124">
        <f>G65*'Health Assumptions'!E61*G11</f>
        <v>7.6027102486768457E-5</v>
      </c>
      <c r="I73" s="124">
        <f>SUM(G73:H73)</f>
        <v>1.6360883370411034E-4</v>
      </c>
    </row>
    <row r="74" spans="2:12">
      <c r="C74" s="125" t="s">
        <v>16585</v>
      </c>
      <c r="D74" s="124">
        <f>D66*'Health Assumptions'!D62*D12</f>
        <v>1.5663584971819956E-2</v>
      </c>
      <c r="E74" s="124">
        <f>E66*'Health Assumptions'!E62*E12</f>
        <v>1.6790323066850489E-3</v>
      </c>
      <c r="F74" s="162">
        <f>SUM(D74:E74)</f>
        <v>1.7342617278505005E-2</v>
      </c>
      <c r="G74" s="124">
        <f>F66*'Health Assumptions'!D62*F12</f>
        <v>2.4796986566808573E-4</v>
      </c>
      <c r="H74" s="124">
        <f>G66*'Health Assumptions'!E62*G12</f>
        <v>1.6617709073451752E-4</v>
      </c>
      <c r="I74" s="124">
        <f>SUM(G74:H74)</f>
        <v>4.1414695640260327E-4</v>
      </c>
    </row>
    <row r="75" spans="2:12">
      <c r="C75" s="125" t="s">
        <v>16586</v>
      </c>
      <c r="D75" s="124">
        <f>D67*'Health Assumptions'!D63*D13</f>
        <v>1.0436576998155155E-2</v>
      </c>
      <c r="E75" s="124">
        <f>E67*'Health Assumptions'!E63*E13</f>
        <v>0</v>
      </c>
      <c r="F75" s="162">
        <f>SUM(D75:E75)</f>
        <v>1.0436576998155155E-2</v>
      </c>
      <c r="G75" s="124">
        <f>F67*'Health Assumptions'!D63*F13</f>
        <v>2.2471148799921051E-4</v>
      </c>
      <c r="H75" s="124">
        <f>G67*'Health Assumptions'!E63*G13</f>
        <v>1.7880144385717746E-4</v>
      </c>
      <c r="I75" s="124">
        <f>SUM(G75:H75)</f>
        <v>4.0351293185638797E-4</v>
      </c>
    </row>
    <row r="76" spans="2:12">
      <c r="C76" s="125" t="s">
        <v>16683</v>
      </c>
      <c r="D76" s="124">
        <f t="shared" ref="D76:I76" si="2">SUM(D71:D75)</f>
        <v>4.4416989405031151E-2</v>
      </c>
      <c r="E76" s="124">
        <f t="shared" si="2"/>
        <v>5.4282022579211315E-3</v>
      </c>
      <c r="F76" s="162">
        <f t="shared" si="2"/>
        <v>4.9845191662952287E-2</v>
      </c>
      <c r="G76" s="124">
        <f t="shared" si="2"/>
        <v>5.9778260769358452E-4</v>
      </c>
      <c r="H76" s="124">
        <f t="shared" si="2"/>
        <v>4.5146347983698507E-4</v>
      </c>
      <c r="I76" s="124">
        <f t="shared" si="2"/>
        <v>1.0492460875305696E-3</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0.22173707178684923</v>
      </c>
      <c r="E82" s="124">
        <f>E72*'Health Assumptions'!E93</f>
        <v>4.6450997664611735E-2</v>
      </c>
      <c r="F82" s="162">
        <f>SUM(D82:E82)</f>
        <v>0.26818806945146095</v>
      </c>
      <c r="G82" s="124">
        <f>G72*'Health Assumptions'!D68</f>
        <v>1.3072529342026983E-3</v>
      </c>
      <c r="H82" s="124">
        <f>H72*'Health Assumptions'!E68</f>
        <v>1.0443200261828955E-3</v>
      </c>
      <c r="I82" s="124">
        <f>SUM(G82:H82)</f>
        <v>2.3515729603855937E-3</v>
      </c>
    </row>
    <row r="83" spans="3:11">
      <c r="C83" s="125" t="s">
        <v>16584</v>
      </c>
      <c r="D83" s="124">
        <f>D73*'Health Assumptions'!D94</f>
        <v>0.28359932762476792</v>
      </c>
      <c r="E83" s="124">
        <f>E73*'Health Assumptions'!E94</f>
        <v>5.6811618734787496E-2</v>
      </c>
      <c r="F83" s="162">
        <f>SUM(D83:E83)</f>
        <v>0.34041094635955543</v>
      </c>
      <c r="G83" s="124">
        <f>G73*'Health Assumptions'!D69</f>
        <v>2.0780269255628301E-3</v>
      </c>
      <c r="H83" s="124">
        <f>H73*'Health Assumptions'!E69</f>
        <v>1.8038735229836051E-3</v>
      </c>
      <c r="I83" s="124">
        <f>SUM(G83:H83)</f>
        <v>3.881900448546435E-3</v>
      </c>
    </row>
    <row r="84" spans="3:11">
      <c r="C84" s="125" t="s">
        <v>16585</v>
      </c>
      <c r="D84" s="124">
        <f>D74*'Health Assumptions'!D95</f>
        <v>0.23700984010511225</v>
      </c>
      <c r="E84" s="124">
        <f>E74*'Health Assumptions'!E95</f>
        <v>2.4082751599406541E-2</v>
      </c>
      <c r="F84" s="162">
        <f>SUM(D84:E84)</f>
        <v>0.26109259170451882</v>
      </c>
      <c r="G84" s="124">
        <f>G74*'Health Assumptions'!D70</f>
        <v>3.7520975127094745E-3</v>
      </c>
      <c r="H84" s="124">
        <f>H74*'Health Assumptions'!E70</f>
        <v>2.38351673266649E-3</v>
      </c>
      <c r="I84" s="124">
        <f>SUM(G84:H84)</f>
        <v>6.1356142453759645E-3</v>
      </c>
    </row>
    <row r="85" spans="3:11">
      <c r="C85" s="125" t="s">
        <v>16586</v>
      </c>
      <c r="D85" s="124">
        <f>D75*'Health Assumptions'!D96</f>
        <v>6.0351019513264506E-2</v>
      </c>
      <c r="E85" s="124">
        <f>E75*'Health Assumptions'!E96</f>
        <v>0</v>
      </c>
      <c r="F85" s="162">
        <f>SUM(D85:E85)</f>
        <v>6.0351019513264506E-2</v>
      </c>
      <c r="G85" s="124">
        <f>G75*'Health Assumptions'!D71</f>
        <v>1.2994267564444067E-3</v>
      </c>
      <c r="H85" s="124">
        <f>H75*'Health Assumptions'!E71</f>
        <v>1.033945270478228E-3</v>
      </c>
      <c r="I85" s="124">
        <f>SUM(G85:H85)</f>
        <v>2.3333720269226345E-3</v>
      </c>
    </row>
    <row r="86" spans="3:11">
      <c r="C86" s="125" t="s">
        <v>16683</v>
      </c>
      <c r="D86" s="124">
        <f t="shared" ref="D86:I86" si="3">SUM(D81:D85)</f>
        <v>0.80269725902999389</v>
      </c>
      <c r="E86" s="124">
        <f t="shared" si="3"/>
        <v>0.12734536799880578</v>
      </c>
      <c r="F86" s="162">
        <f t="shared" si="3"/>
        <v>0.9300426270287997</v>
      </c>
      <c r="G86" s="124">
        <f t="shared" si="3"/>
        <v>8.436804128919409E-3</v>
      </c>
      <c r="H86" s="124">
        <f t="shared" si="3"/>
        <v>6.2656555523112186E-3</v>
      </c>
      <c r="I86" s="124">
        <f t="shared" si="3"/>
        <v>1.4702459681230629E-2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27.395252499999994</v>
      </c>
      <c r="H18" s="94">
        <f>IF(H4&lt;opening,0,'General Calculations'!$E$28/1000)</f>
        <v>27.395252499999994</v>
      </c>
      <c r="I18" s="94">
        <f>IF(I4&lt;opening,0,'General Calculations'!$E$28/1000)</f>
        <v>27.395252499999994</v>
      </c>
      <c r="J18" s="94">
        <f>IF(J4&lt;opening,0,'General Calculations'!$E$28/1000)</f>
        <v>27.395252499999994</v>
      </c>
      <c r="K18" s="94">
        <f>IF(K4&lt;opening,0,'General Calculations'!$E$28/1000)</f>
        <v>27.395252499999994</v>
      </c>
      <c r="L18" s="94">
        <f>IF(L4&lt;opening,0,'General Calculations'!$E$28/1000)</f>
        <v>27.395252499999994</v>
      </c>
      <c r="M18" s="94">
        <f>IF(M4&lt;opening,0,'General Calculations'!$E$28/1000)</f>
        <v>27.395252499999994</v>
      </c>
      <c r="N18" s="94">
        <f>IF(N4&lt;opening,0,'General Calculations'!$E$28/1000)</f>
        <v>27.395252499999994</v>
      </c>
      <c r="O18" s="94">
        <f>IF(O4&lt;opening,0,'General Calculations'!$E$28/1000)</f>
        <v>27.395252499999994</v>
      </c>
      <c r="P18" s="94">
        <f>IF(P4&lt;opening,0,'General Calculations'!$E$28/1000)</f>
        <v>27.395252499999994</v>
      </c>
      <c r="Q18" s="94">
        <f>IF(Q4&lt;opening,0,'General Calculations'!$E$28/1000)</f>
        <v>27.395252499999994</v>
      </c>
      <c r="R18" s="94">
        <f>IF(R4&lt;opening,0,'General Calculations'!$E$28/1000)</f>
        <v>27.395252499999994</v>
      </c>
      <c r="S18" s="94">
        <f>IF(S4&lt;opening,0,'General Calculations'!$E$28/1000)</f>
        <v>27.395252499999994</v>
      </c>
      <c r="T18" s="94">
        <f>IF(T4&lt;opening,0,'General Calculations'!$E$28/1000)</f>
        <v>27.395252499999994</v>
      </c>
      <c r="U18" s="94">
        <f>IF(U4&lt;opening,0,'General Calculations'!$E$28/1000)</f>
        <v>27.395252499999994</v>
      </c>
      <c r="V18" s="94">
        <f>IF(V4&lt;opening,0,'General Calculations'!$E$28/1000)</f>
        <v>27.395252499999994</v>
      </c>
      <c r="W18" s="94">
        <f>IF(W4&lt;opening,0,'General Calculations'!$E$28/1000)</f>
        <v>27.395252499999994</v>
      </c>
      <c r="X18" s="94">
        <f>IF(X4&lt;opening,0,'General Calculations'!$E$28/1000)</f>
        <v>27.395252499999994</v>
      </c>
      <c r="Y18" s="94">
        <f>IF(Y4&lt;opening,0,'General Calculations'!$E$28/1000)</f>
        <v>27.395252499999994</v>
      </c>
      <c r="Z18" s="94">
        <f>IF(Z4&lt;opening,0,'General Calculations'!$E$28/1000)</f>
        <v>27.395252499999994</v>
      </c>
      <c r="AA18" s="94">
        <f>IF(AA4&lt;opening,0,'General Calculations'!$E$28/1000)</f>
        <v>27.395252499999994</v>
      </c>
      <c r="AB18" s="94">
        <f>IF(AB4&lt;opening,0,'General Calculations'!$E$28/1000)</f>
        <v>27.395252499999994</v>
      </c>
      <c r="AC18" s="94">
        <f>IF(AC4&lt;opening,0,'General Calculations'!$E$28/1000)</f>
        <v>27.395252499999994</v>
      </c>
      <c r="AD18" s="94">
        <f>IF(AD4&lt;opening,0,'General Calculations'!$E$28/1000)</f>
        <v>27.395252499999994</v>
      </c>
      <c r="AE18" s="94">
        <f>IF(AE4&lt;opening,0,'General Calculations'!$E$28/1000)</f>
        <v>27.395252499999994</v>
      </c>
      <c r="AF18" s="94">
        <f>IF(AF4&lt;opening,0,'General Calculations'!$E$28/1000)</f>
        <v>27.395252499999994</v>
      </c>
      <c r="AG18" s="94">
        <f>IF(AG4&lt;opening,0,'General Calculations'!$E$28/1000)</f>
        <v>27.395252499999994</v>
      </c>
      <c r="AH18" s="94">
        <f>IF(AH4&lt;opening,0,'General Calculations'!$E$28/1000)</f>
        <v>27.395252499999994</v>
      </c>
      <c r="AI18" s="94">
        <f>IF(AI4&lt;opening,0,'General Calculations'!$E$28/1000)</f>
        <v>27.395252499999994</v>
      </c>
      <c r="AJ18" s="94">
        <f>IF(AJ4&lt;opening,0,'General Calculations'!$E$28/1000)</f>
        <v>27.395252499999994</v>
      </c>
      <c r="AK18" s="94">
        <f>IF(AK4&lt;opening,0,'General Calculations'!$E$28/1000)</f>
        <v>27.395252499999994</v>
      </c>
      <c r="AL18" s="94">
        <f>IF(AL4&lt;opening,0,'General Calculations'!$E$28/1000)</f>
        <v>27.395252499999994</v>
      </c>
      <c r="AM18" s="94">
        <f>IF(AM4&lt;opening,0,'General Calculations'!$E$28/1000)</f>
        <v>27.395252499999994</v>
      </c>
      <c r="AN18" s="94">
        <f>IF(AN4&lt;opening,0,'General Calculations'!$E$28/1000)</f>
        <v>27.395252499999994</v>
      </c>
      <c r="AO18" s="94">
        <f>IF(AO4&lt;opening,0,'General Calculations'!$E$28/1000)</f>
        <v>27.395252499999994</v>
      </c>
      <c r="AP18" s="94">
        <f>IF(AP4&lt;opening,0,'General Calculations'!$E$28/1000)</f>
        <v>27.395252499999994</v>
      </c>
      <c r="AQ18" s="94">
        <f>IF(AQ4&lt;opening,0,'General Calculations'!$E$28/1000)</f>
        <v>27.395252499999994</v>
      </c>
      <c r="AR18" s="94">
        <f>IF(AR4&lt;opening,0,'General Calculations'!$E$28/1000)</f>
        <v>27.395252499999994</v>
      </c>
      <c r="AS18" s="94">
        <f>IF(AS4&lt;opening,0,'General Calculations'!$E$28/1000)</f>
        <v>27.395252499999994</v>
      </c>
      <c r="AT18" s="94">
        <f>IF(AT4&lt;opening,0,'General Calculations'!$E$28/1000)</f>
        <v>27.395252499999994</v>
      </c>
      <c r="AU18" s="94">
        <f>IF(AU4&lt;opening,0,'General Calculations'!$E$28/1000)</f>
        <v>27.395252499999994</v>
      </c>
      <c r="AV18" s="94">
        <f>IF(AV4&lt;opening,0,'General Calculations'!$E$28/1000)</f>
        <v>27.395252499999994</v>
      </c>
      <c r="AW18" s="94">
        <f>IF(AW4&lt;opening,0,'General Calculations'!$E$28/1000)</f>
        <v>27.395252499999994</v>
      </c>
      <c r="AX18" s="94">
        <f>IF(AX4&lt;opening,0,'General Calculations'!$E$28/1000)</f>
        <v>27.395252499999994</v>
      </c>
      <c r="AY18" s="94">
        <f>IF(AY4&lt;opening,0,'General Calculations'!$E$28/1000)</f>
        <v>27.395252499999994</v>
      </c>
      <c r="AZ18" s="94">
        <f>IF(AZ4&lt;opening,0,'General Calculations'!$E$28/1000)</f>
        <v>27.395252499999994</v>
      </c>
      <c r="BA18" s="94">
        <f>IF(BA4&lt;opening,0,'General Calculations'!$E$28/1000)</f>
        <v>27.395252499999994</v>
      </c>
      <c r="BB18" s="94">
        <f>IF(BB4&lt;opening,0,'General Calculations'!$E$28/1000)</f>
        <v>27.395252499999994</v>
      </c>
      <c r="BC18" s="94">
        <f>IF(BC4&lt;opening,0,'General Calculations'!$E$28/1000)</f>
        <v>27.395252499999994</v>
      </c>
      <c r="BD18" s="94">
        <f>IF(BD4&lt;opening,0,'General Calculations'!$E$28/1000)</f>
        <v>27.395252499999994</v>
      </c>
      <c r="BE18" s="94">
        <f>IF(BE4&lt;opening,0,'General Calculations'!$E$28/1000)</f>
        <v>27.395252499999994</v>
      </c>
      <c r="BF18" s="94">
        <f>IF(BF4&lt;opening,0,'General Calculations'!$E$28/1000)</f>
        <v>27.395252499999994</v>
      </c>
      <c r="BG18" s="94">
        <f>IF(BG4&lt;opening,0,'General Calculations'!$E$28/1000)</f>
        <v>27.395252499999994</v>
      </c>
      <c r="BH18" s="94">
        <f>IF(BH4&lt;opening,0,'General Calculations'!$E$28/1000)</f>
        <v>27.395252499999994</v>
      </c>
      <c r="BI18" s="94">
        <f>IF(BI4&lt;opening,0,'General Calculations'!$E$28/1000)</f>
        <v>27.395252499999994</v>
      </c>
      <c r="BJ18" s="94">
        <f>IF(BJ4&lt;opening,0,'General Calculations'!$E$28/1000)</f>
        <v>27.395252499999994</v>
      </c>
      <c r="BK18" s="94">
        <f>IF(BK4&lt;opening,0,'General Calculations'!$E$28/1000)</f>
        <v>27.395252499999994</v>
      </c>
      <c r="BL18" s="94">
        <f>IF(BL4&lt;opening,0,'General Calculations'!$E$28/1000)</f>
        <v>27.395252499999994</v>
      </c>
      <c r="BM18" s="94">
        <f>IF(BM4&lt;opening,0,'General Calculations'!$E$28/1000)</f>
        <v>27.395252499999994</v>
      </c>
      <c r="BN18" s="376">
        <f>IF(BN4&lt;opening,0,'General Calculations'!$E$28/1000)</f>
        <v>27.395252499999994</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60.388823665732808</v>
      </c>
      <c r="C19" s="42">
        <f>IFERROR(C$18*HLOOKUP(C$4,mecc2,2)/100*C$7*C$9*C$11*C$12,0)</f>
        <v>0</v>
      </c>
      <c r="D19" s="42">
        <f t="shared" ref="D19:AH19" si="19">IFERROR(D$18*HLOOKUP(D$4,mecc2,2)/100*D$7*D$9*D$11*D$12,0)</f>
        <v>0</v>
      </c>
      <c r="E19" s="42">
        <f t="shared" si="19"/>
        <v>0</v>
      </c>
      <c r="F19" s="42">
        <f t="shared" si="19"/>
        <v>0</v>
      </c>
      <c r="G19" s="42">
        <f t="shared" si="19"/>
        <v>3.0608548195475556</v>
      </c>
      <c r="H19" s="42">
        <f t="shared" si="19"/>
        <v>3.0514111977376763</v>
      </c>
      <c r="I19" s="42">
        <f t="shared" si="19"/>
        <v>3.0419967122306106</v>
      </c>
      <c r="J19" s="42">
        <f t="shared" si="19"/>
        <v>3.0326112731324417</v>
      </c>
      <c r="K19" s="42">
        <f t="shared" si="19"/>
        <v>3.0232547908266025</v>
      </c>
      <c r="L19" s="42">
        <f t="shared" si="19"/>
        <v>3.0613622214567959</v>
      </c>
      <c r="M19" s="42">
        <f t="shared" si="19"/>
        <v>3.0999499874770615</v>
      </c>
      <c r="N19" s="42">
        <f t="shared" si="19"/>
        <v>3.1390241434044062</v>
      </c>
      <c r="O19" s="42">
        <f t="shared" si="19"/>
        <v>3.1785908200716335</v>
      </c>
      <c r="P19" s="42">
        <f t="shared" si="19"/>
        <v>3.2186562255892857</v>
      </c>
      <c r="Q19" s="42">
        <f t="shared" si="19"/>
        <v>3.1559550613108307</v>
      </c>
      <c r="R19" s="42">
        <f t="shared" si="19"/>
        <v>3.0944753496282189</v>
      </c>
      <c r="S19" s="42">
        <f t="shared" si="19"/>
        <v>3.0341932959841875</v>
      </c>
      <c r="T19" s="42">
        <f t="shared" si="19"/>
        <v>2.9750855693523173</v>
      </c>
      <c r="U19" s="42">
        <f t="shared" si="19"/>
        <v>2.9171292932072102</v>
      </c>
      <c r="V19" s="42">
        <f t="shared" si="19"/>
        <v>2.8982082152761324</v>
      </c>
      <c r="W19" s="42">
        <f t="shared" si="19"/>
        <v>2.8794098632012268</v>
      </c>
      <c r="X19" s="42">
        <f t="shared" si="19"/>
        <v>2.8607334409583012</v>
      </c>
      <c r="Y19" s="42">
        <f t="shared" si="19"/>
        <v>2.8421781576863339</v>
      </c>
      <c r="Z19" s="42">
        <f t="shared" si="19"/>
        <v>2.823743227653984</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0.33135088105915589</v>
      </c>
      <c r="C20" s="42">
        <f t="shared" ref="C20:AH20" si="22">IFERROR(C$18*HLOOKUP(C$4,mecc2,3)/100*C$7*C$9*C$11*C$12,0)</f>
        <v>0</v>
      </c>
      <c r="D20" s="42">
        <f t="shared" si="22"/>
        <v>0</v>
      </c>
      <c r="E20" s="42">
        <f t="shared" si="22"/>
        <v>0</v>
      </c>
      <c r="F20" s="42">
        <f t="shared" si="22"/>
        <v>0</v>
      </c>
      <c r="G20" s="42">
        <f t="shared" si="22"/>
        <v>1.8312560593847151E-2</v>
      </c>
      <c r="H20" s="42">
        <f t="shared" si="22"/>
        <v>1.8081337107247013E-2</v>
      </c>
      <c r="I20" s="42">
        <f t="shared" si="22"/>
        <v>1.7853033163246153E-2</v>
      </c>
      <c r="J20" s="42">
        <f t="shared" si="22"/>
        <v>1.7627611898249462E-2</v>
      </c>
      <c r="K20" s="42">
        <f t="shared" si="22"/>
        <v>1.740503691411989E-2</v>
      </c>
      <c r="L20" s="42">
        <f t="shared" si="22"/>
        <v>1.7432956603177785E-2</v>
      </c>
      <c r="M20" s="42">
        <f t="shared" si="22"/>
        <v>1.7460921078640966E-2</v>
      </c>
      <c r="N20" s="42">
        <f t="shared" si="22"/>
        <v>1.7488930412351993E-2</v>
      </c>
      <c r="O20" s="42">
        <f t="shared" si="22"/>
        <v>1.7516984676268662E-2</v>
      </c>
      <c r="P20" s="42">
        <f t="shared" si="22"/>
        <v>1.7545083942464224E-2</v>
      </c>
      <c r="Q20" s="42">
        <f t="shared" si="22"/>
        <v>1.7078910214524356E-2</v>
      </c>
      <c r="R20" s="42">
        <f t="shared" si="22"/>
        <v>1.6625122745056321E-2</v>
      </c>
      <c r="S20" s="42">
        <f t="shared" si="22"/>
        <v>1.6183392430574151E-2</v>
      </c>
      <c r="T20" s="42">
        <f t="shared" si="22"/>
        <v>1.5753398911887397E-2</v>
      </c>
      <c r="U20" s="42">
        <f t="shared" si="22"/>
        <v>1.5334830341764798E-2</v>
      </c>
      <c r="V20" s="42">
        <f t="shared" si="22"/>
        <v>1.5129647591631348E-2</v>
      </c>
      <c r="W20" s="42">
        <f t="shared" si="22"/>
        <v>1.4927210223090912E-2</v>
      </c>
      <c r="X20" s="42">
        <f t="shared" si="22"/>
        <v>1.4727481502450797E-2</v>
      </c>
      <c r="Y20" s="42">
        <f t="shared" si="22"/>
        <v>1.4530425187521619E-2</v>
      </c>
      <c r="Z20" s="42">
        <f t="shared" si="22"/>
        <v>1.4336005521040921E-2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10.181044598550191</v>
      </c>
      <c r="C21" s="42">
        <f t="shared" ref="C21:AH21" si="24">IFERROR(C$18*HLOOKUP(C$4,mecc2,4)/100*C$7*C$9*C$11*C$12,0)</f>
        <v>0</v>
      </c>
      <c r="D21" s="42">
        <f t="shared" si="24"/>
        <v>0</v>
      </c>
      <c r="E21" s="42">
        <f t="shared" si="24"/>
        <v>0</v>
      </c>
      <c r="F21" s="42">
        <f t="shared" si="24"/>
        <v>0</v>
      </c>
      <c r="G21" s="42">
        <f t="shared" si="24"/>
        <v>0.55494154663415574</v>
      </c>
      <c r="H21" s="42">
        <f t="shared" si="24"/>
        <v>0.5493152120882917</v>
      </c>
      <c r="I21" s="42">
        <f t="shared" si="24"/>
        <v>0.54374592074024553</v>
      </c>
      <c r="J21" s="42">
        <f t="shared" si="24"/>
        <v>0.53823309425142207</v>
      </c>
      <c r="K21" s="42">
        <f t="shared" si="24"/>
        <v>0.53277616014677409</v>
      </c>
      <c r="L21" s="42">
        <f t="shared" si="24"/>
        <v>0.53443080231443241</v>
      </c>
      <c r="M21" s="42">
        <f t="shared" si="24"/>
        <v>0.53609058330193271</v>
      </c>
      <c r="N21" s="42">
        <f t="shared" si="24"/>
        <v>0.53775551906890007</v>
      </c>
      <c r="O21" s="42">
        <f t="shared" si="24"/>
        <v>0.53942562562452601</v>
      </c>
      <c r="P21" s="42">
        <f t="shared" si="24"/>
        <v>0.54110091902772195</v>
      </c>
      <c r="Q21" s="42">
        <f t="shared" si="24"/>
        <v>0.52672384146901441</v>
      </c>
      <c r="R21" s="42">
        <f t="shared" si="24"/>
        <v>0.51272876355558661</v>
      </c>
      <c r="S21" s="42">
        <f t="shared" si="24"/>
        <v>0.49910553553840936</v>
      </c>
      <c r="T21" s="42">
        <f t="shared" si="24"/>
        <v>0.48584427734777513</v>
      </c>
      <c r="U21" s="42">
        <f t="shared" si="24"/>
        <v>0.47293537142790704</v>
      </c>
      <c r="V21" s="42">
        <f t="shared" si="24"/>
        <v>0.46691513364463111</v>
      </c>
      <c r="W21" s="42">
        <f t="shared" si="24"/>
        <v>0.46097153056697615</v>
      </c>
      <c r="X21" s="42">
        <f t="shared" si="24"/>
        <v>0.45510358667232753</v>
      </c>
      <c r="Y21" s="42">
        <f t="shared" si="24"/>
        <v>0.44931033885599936</v>
      </c>
      <c r="Z21" s="42">
        <f t="shared" si="24"/>
        <v>0.44359083627316154</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1.3470543230023029</v>
      </c>
      <c r="C22" s="42">
        <f t="shared" ref="C22:AH22" si="26">IFERROR(C$18*HLOOKUP(C$4,mecc2,5)/100*C$7*C$9*C$11*C$12,0)</f>
        <v>0</v>
      </c>
      <c r="D22" s="42">
        <f t="shared" si="26"/>
        <v>0</v>
      </c>
      <c r="E22" s="42">
        <f t="shared" si="26"/>
        <v>0</v>
      </c>
      <c r="F22" s="42">
        <f t="shared" si="26"/>
        <v>0</v>
      </c>
      <c r="G22" s="42">
        <f t="shared" si="26"/>
        <v>9.0515510643347133E-2</v>
      </c>
      <c r="H22" s="42">
        <f t="shared" si="26"/>
        <v>8.4108072829157984E-2</v>
      </c>
      <c r="I22" s="42">
        <f t="shared" si="26"/>
        <v>7.8154206552608033E-2</v>
      </c>
      <c r="J22" s="42">
        <f t="shared" si="26"/>
        <v>7.2621804262173212E-2</v>
      </c>
      <c r="K22" s="42">
        <f t="shared" si="26"/>
        <v>6.748103124485505E-2</v>
      </c>
      <c r="L22" s="42">
        <f t="shared" si="26"/>
        <v>6.790647640087763E-2</v>
      </c>
      <c r="M22" s="42">
        <f t="shared" si="26"/>
        <v>6.8334603845203221E-2</v>
      </c>
      <c r="N22" s="42">
        <f t="shared" si="26"/>
        <v>6.8765430488755427E-2</v>
      </c>
      <c r="O22" s="42">
        <f t="shared" si="26"/>
        <v>6.9198973349075571E-2</v>
      </c>
      <c r="P22" s="42">
        <f t="shared" si="26"/>
        <v>6.9635249550994788E-2</v>
      </c>
      <c r="Q22" s="42">
        <f t="shared" si="26"/>
        <v>6.7785600327795112E-2</v>
      </c>
      <c r="R22" s="42">
        <f t="shared" si="26"/>
        <v>6.5985081426823647E-2</v>
      </c>
      <c r="S22" s="42">
        <f t="shared" si="26"/>
        <v>6.4232387850066741E-2</v>
      </c>
      <c r="T22" s="42">
        <f t="shared" si="26"/>
        <v>6.2526249262825323E-2</v>
      </c>
      <c r="U22" s="42">
        <f t="shared" si="26"/>
        <v>6.0865429072989176E-2</v>
      </c>
      <c r="V22" s="42">
        <f t="shared" si="26"/>
        <v>5.9815670002691106E-2</v>
      </c>
      <c r="W22" s="42">
        <f t="shared" si="26"/>
        <v>5.8784016351552247E-2</v>
      </c>
      <c r="X22" s="42">
        <f t="shared" si="26"/>
        <v>5.7770155851536859E-2</v>
      </c>
      <c r="Y22" s="42">
        <f t="shared" si="26"/>
        <v>5.6773781620362715E-2</v>
      </c>
      <c r="Z22" s="42">
        <f t="shared" si="26"/>
        <v>5.579459206861194E-2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0.67873630657001272</v>
      </c>
      <c r="C23" s="42">
        <f t="shared" ref="C23:AH23" si="28">IFERROR(C$18*HLOOKUP(C$4,mecc2,6)/100*C$7*C$9*C$11*C$12,0)</f>
        <v>0</v>
      </c>
      <c r="D23" s="42">
        <f t="shared" si="28"/>
        <v>0</v>
      </c>
      <c r="E23" s="42">
        <f t="shared" si="28"/>
        <v>0</v>
      </c>
      <c r="F23" s="42">
        <f t="shared" si="28"/>
        <v>0</v>
      </c>
      <c r="G23" s="42">
        <f t="shared" si="28"/>
        <v>3.6996103108943704E-2</v>
      </c>
      <c r="H23" s="42">
        <f t="shared" si="28"/>
        <v>3.6621014139219442E-2</v>
      </c>
      <c r="I23" s="42">
        <f t="shared" si="28"/>
        <v>3.62497280493497E-2</v>
      </c>
      <c r="J23" s="42">
        <f t="shared" si="28"/>
        <v>3.5882206283428142E-2</v>
      </c>
      <c r="K23" s="42">
        <f t="shared" si="28"/>
        <v>3.5518410676451603E-2</v>
      </c>
      <c r="L23" s="42">
        <f t="shared" si="28"/>
        <v>3.5628720154295489E-2</v>
      </c>
      <c r="M23" s="42">
        <f t="shared" si="28"/>
        <v>3.5739372220128837E-2</v>
      </c>
      <c r="N23" s="42">
        <f t="shared" si="28"/>
        <v>3.5850367937926682E-2</v>
      </c>
      <c r="O23" s="42">
        <f t="shared" si="28"/>
        <v>3.5961708374968405E-2</v>
      </c>
      <c r="P23" s="42">
        <f t="shared" si="28"/>
        <v>3.6073394601848129E-2</v>
      </c>
      <c r="Q23" s="42">
        <f t="shared" si="28"/>
        <v>3.5114922764600966E-2</v>
      </c>
      <c r="R23" s="42">
        <f t="shared" si="28"/>
        <v>3.4181917570372443E-2</v>
      </c>
      <c r="S23" s="42">
        <f t="shared" si="28"/>
        <v>3.327370236922729E-2</v>
      </c>
      <c r="T23" s="42">
        <f t="shared" si="28"/>
        <v>3.2389618489851675E-2</v>
      </c>
      <c r="U23" s="42">
        <f t="shared" si="28"/>
        <v>3.1529024761860466E-2</v>
      </c>
      <c r="V23" s="42">
        <f t="shared" si="28"/>
        <v>3.1127675576308744E-2</v>
      </c>
      <c r="W23" s="42">
        <f t="shared" si="28"/>
        <v>3.0731435371131766E-2</v>
      </c>
      <c r="X23" s="42">
        <f t="shared" si="28"/>
        <v>3.0340239111488525E-2</v>
      </c>
      <c r="Y23" s="42">
        <f t="shared" si="28"/>
        <v>2.9954022590399976E-2</v>
      </c>
      <c r="Z23" s="42">
        <f t="shared" si="28"/>
        <v>2.9572722418210778E-2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4.2580912766885657</v>
      </c>
      <c r="C24" s="42">
        <f t="shared" ref="C24:AH24" si="30">IFERROR(C$18*HLOOKUP(C$4,mecc2,7)/100*C$7*C$9*C$11*C$12,0)</f>
        <v>0</v>
      </c>
      <c r="D24" s="42">
        <f t="shared" si="30"/>
        <v>0</v>
      </c>
      <c r="E24" s="42">
        <f t="shared" si="30"/>
        <v>0</v>
      </c>
      <c r="F24" s="42">
        <f t="shared" si="30"/>
        <v>0</v>
      </c>
      <c r="G24" s="42">
        <f t="shared" si="30"/>
        <v>0.32515312372211852</v>
      </c>
      <c r="H24" s="42">
        <f t="shared" si="30"/>
        <v>0.24692035271639934</v>
      </c>
      <c r="I24" s="42">
        <f t="shared" si="30"/>
        <v>0.1875106100401385</v>
      </c>
      <c r="J24" s="42">
        <f t="shared" si="30"/>
        <v>0.142395021272338</v>
      </c>
      <c r="K24" s="42">
        <f t="shared" si="30"/>
        <v>0.10813437212331199</v>
      </c>
      <c r="L24" s="42">
        <f t="shared" si="30"/>
        <v>0.12956745157715427</v>
      </c>
      <c r="M24" s="42">
        <f t="shared" si="30"/>
        <v>0.15524873524076313</v>
      </c>
      <c r="N24" s="42">
        <f t="shared" si="30"/>
        <v>0.18602025046008028</v>
      </c>
      <c r="O24" s="42">
        <f t="shared" si="30"/>
        <v>0.2228909209956981</v>
      </c>
      <c r="P24" s="42">
        <f t="shared" si="30"/>
        <v>0.26706964719936183</v>
      </c>
      <c r="Q24" s="42">
        <f t="shared" si="30"/>
        <v>0.25997894072083216</v>
      </c>
      <c r="R24" s="42">
        <f t="shared" si="30"/>
        <v>0.25307649269432775</v>
      </c>
      <c r="S24" s="42">
        <f t="shared" si="30"/>
        <v>0.24635730485276941</v>
      </c>
      <c r="T24" s="42">
        <f t="shared" si="30"/>
        <v>0.23981651163320652</v>
      </c>
      <c r="U24" s="42">
        <f t="shared" si="30"/>
        <v>0.2334493766535187</v>
      </c>
      <c r="V24" s="42">
        <f t="shared" si="30"/>
        <v>0.22558896660643804</v>
      </c>
      <c r="W24" s="42">
        <f t="shared" si="30"/>
        <v>0.21799322227401427</v>
      </c>
      <c r="X24" s="42">
        <f t="shared" si="30"/>
        <v>0.21065323216943022</v>
      </c>
      <c r="Y24" s="42">
        <f t="shared" si="30"/>
        <v>0.20356038486210085</v>
      </c>
      <c r="Z24" s="42">
        <f t="shared" si="30"/>
        <v>0.19670635887456328</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-4.9115970454919822</v>
      </c>
      <c r="C25" s="532">
        <f t="shared" ref="C25:AH25" si="32">IFERROR(C$18*HLOOKUP(C$4,mecc2,8)/100*C$7*C$9*C$11*C$12,0)</f>
        <v>0</v>
      </c>
      <c r="D25" s="532">
        <f t="shared" si="32"/>
        <v>0</v>
      </c>
      <c r="E25" s="532">
        <f t="shared" si="32"/>
        <v>0</v>
      </c>
      <c r="F25" s="532">
        <f t="shared" si="32"/>
        <v>0</v>
      </c>
      <c r="G25" s="532">
        <f t="shared" si="32"/>
        <v>-0.50520583179758283</v>
      </c>
      <c r="H25" s="532">
        <f t="shared" si="32"/>
        <v>-0.46271037754389738</v>
      </c>
      <c r="I25" s="532">
        <f t="shared" si="32"/>
        <v>-0.42378943395213664</v>
      </c>
      <c r="J25" s="532">
        <f t="shared" si="32"/>
        <v>-0.3881423305930371</v>
      </c>
      <c r="K25" s="532">
        <f t="shared" si="32"/>
        <v>-0.35549368796960035</v>
      </c>
      <c r="L25" s="532">
        <f t="shared" si="32"/>
        <v>-0.31241902956594625</v>
      </c>
      <c r="M25" s="532">
        <f t="shared" si="32"/>
        <v>-0.2745636655109171</v>
      </c>
      <c r="N25" s="532">
        <f t="shared" si="32"/>
        <v>-0.24129518142196973</v>
      </c>
      <c r="O25" s="532">
        <f t="shared" si="32"/>
        <v>-0.21205779165687244</v>
      </c>
      <c r="P25" s="532">
        <f t="shared" si="32"/>
        <v>-0.18636305431955544</v>
      </c>
      <c r="Q25" s="532">
        <f t="shared" si="32"/>
        <v>-0.18141630908535095</v>
      </c>
      <c r="R25" s="532">
        <f t="shared" si="32"/>
        <v>-0.17660086824783316</v>
      </c>
      <c r="S25" s="532">
        <f t="shared" si="32"/>
        <v>-0.17191324651641754</v>
      </c>
      <c r="T25" s="532">
        <f t="shared" si="32"/>
        <v>-0.16735005111265724</v>
      </c>
      <c r="U25" s="532">
        <f t="shared" si="32"/>
        <v>-0.16290797931463913</v>
      </c>
      <c r="V25" s="532">
        <f t="shared" si="32"/>
        <v>-0.15393018738482656</v>
      </c>
      <c r="W25" s="532">
        <f t="shared" si="32"/>
        <v>-0.14544715788638224</v>
      </c>
      <c r="X25" s="532">
        <f t="shared" si="32"/>
        <v>-0.13743162466462069</v>
      </c>
      <c r="Y25" s="532">
        <f t="shared" si="32"/>
        <v>-0.12985782419145878</v>
      </c>
      <c r="Z25" s="532">
        <f t="shared" si="32"/>
        <v>-0.12270141275628028</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88.063059440190997</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4.9248771149900223</v>
      </c>
      <c r="H29" s="42">
        <f>IF(H4&lt;opening,0,1)*Absenteeism!$D$23*H7*H9*H11*H12*H10/1000</f>
        <v>4.865933235509889</v>
      </c>
      <c r="I29" s="42">
        <f>IF(I4&lt;opening,0,1)*Absenteeism!$D$23*I7*I9*I11*I12*I10/1000</f>
        <v>4.8076948316887504</v>
      </c>
      <c r="J29" s="42">
        <f>IF(J4&lt;opening,0,1)*Absenteeism!$D$23*J7*J9*J11*J12*J10/1000</f>
        <v>4.7501534599713171</v>
      </c>
      <c r="K29" s="42">
        <f>IF(K4&lt;opening,0,1)*Absenteeism!$D$23*K7*K9*K11*K12*K10/1000</f>
        <v>4.6933007778598244</v>
      </c>
      <c r="L29" s="42">
        <f>IF(L4&lt;opening,0,1)*Absenteeism!$D$23*L7*L9*L11*L12*L10/1000</f>
        <v>4.6371285427045192</v>
      </c>
      <c r="M29" s="42">
        <f>IF(M4&lt;opening,0,1)*Absenteeism!$D$23*M7*M9*M11*M12*M10/1000</f>
        <v>4.5816286105086244</v>
      </c>
      <c r="N29" s="42">
        <f>IF(N4&lt;opening,0,1)*Absenteeism!$D$23*N7*N9*N11*N12*N10/1000</f>
        <v>4.5267929347475864</v>
      </c>
      <c r="O29" s="42">
        <f>IF(O4&lt;opening,0,1)*Absenteeism!$D$23*O7*O9*O11*O12*O10/1000</f>
        <v>4.4726135652024785</v>
      </c>
      <c r="P29" s="42">
        <f>IF(P4&lt;opening,0,1)*Absenteeism!$D$23*P7*P9*P11*P12*P10/1000</f>
        <v>4.4190826468073618</v>
      </c>
      <c r="Q29" s="42">
        <f>IF(Q4&lt;opening,0,1)*Absenteeism!$D$23*Q7*Q9*Q11*Q12*Q10/1000</f>
        <v>4.3661924185104279</v>
      </c>
      <c r="R29" s="42">
        <f>IF(R4&lt;opening,0,1)*Absenteeism!$D$23*R7*R9*R11*R12*R10/1000</f>
        <v>4.3139352121487891</v>
      </c>
      <c r="S29" s="42">
        <f>IF(S4&lt;opening,0,1)*Absenteeism!$D$23*S7*S9*S11*S12*S10/1000</f>
        <v>4.2623034513367193</v>
      </c>
      <c r="T29" s="42">
        <f>IF(T4&lt;opening,0,1)*Absenteeism!$D$23*T7*T9*T11*T12*T10/1000</f>
        <v>4.2112896503672177</v>
      </c>
      <c r="U29" s="42">
        <f>IF(U4&lt;opening,0,1)*Absenteeism!$D$23*U7*U9*U11*U12*U10/1000</f>
        <v>4.160886413126712</v>
      </c>
      <c r="V29" s="42">
        <f>IF(V4&lt;opening,0,1)*Absenteeism!$D$23*V7*V9*V11*V12*V10/1000</f>
        <v>4.111086432022744</v>
      </c>
      <c r="W29" s="42">
        <f>IF(W4&lt;opening,0,1)*Absenteeism!$D$23*W7*W9*W11*W12*W10/1000</f>
        <v>4.0618824869245005</v>
      </c>
      <c r="X29" s="42">
        <f>IF(X4&lt;opening,0,1)*Absenteeism!$D$23*X7*X9*X11*X12*X10/1000</f>
        <v>4.0132674441160203</v>
      </c>
      <c r="Y29" s="42">
        <f>IF(Y4&lt;opening,0,1)*Absenteeism!$D$23*Y7*Y9*Y11*Y12*Y10/1000</f>
        <v>3.9652342552619273</v>
      </c>
      <c r="Z29" s="42">
        <f>IF(Z4&lt;opening,0,1)*Absenteeism!$D$23*Z7*Z9*Z11*Z12*Z10/1000</f>
        <v>3.9177759563855434</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603.66823258613817</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7.2420848856332745</v>
      </c>
      <c r="H30" s="532">
        <f t="shared" si="34"/>
        <v>14.377143886257192</v>
      </c>
      <c r="I30" s="532">
        <f t="shared" si="34"/>
        <v>21.4063632493657</v>
      </c>
      <c r="J30" s="532">
        <f t="shared" si="34"/>
        <v>28.33091753528532</v>
      </c>
      <c r="K30" s="532">
        <f t="shared" si="34"/>
        <v>35.151969725123102</v>
      </c>
      <c r="L30" s="532">
        <f t="shared" si="34"/>
        <v>34.892226106464555</v>
      </c>
      <c r="M30" s="532">
        <f t="shared" si="34"/>
        <v>34.634401775628632</v>
      </c>
      <c r="N30" s="532">
        <f t="shared" si="34"/>
        <v>34.378482550685568</v>
      </c>
      <c r="O30" s="532">
        <f t="shared" si="34"/>
        <v>34.124454354498248</v>
      </c>
      <c r="P30" s="532">
        <f t="shared" si="34"/>
        <v>33.872303213947767</v>
      </c>
      <c r="Q30" s="532">
        <f t="shared" si="34"/>
        <v>33.622015259164911</v>
      </c>
      <c r="R30" s="532">
        <f t="shared" si="34"/>
        <v>33.373576722767147</v>
      </c>
      <c r="S30" s="532">
        <f t="shared" si="34"/>
        <v>33.126973939101383</v>
      </c>
      <c r="T30" s="532">
        <f>IF(T4&lt;opening,0,1)*T8*T9*T11*T12*T13*(VoL*YLLsC + VoL*YLLsP)/1000</f>
        <v>32.882193343492261</v>
      </c>
      <c r="U30" s="532">
        <f t="shared" si="34"/>
        <v>32.639221471496029</v>
      </c>
      <c r="V30" s="532">
        <f t="shared" si="34"/>
        <v>32.398044958159865</v>
      </c>
      <c r="W30" s="532">
        <f t="shared" si="34"/>
        <v>32.158650537286753</v>
      </c>
      <c r="X30" s="532">
        <f t="shared" si="34"/>
        <v>31.921025040705828</v>
      </c>
      <c r="Y30" s="532">
        <f t="shared" si="34"/>
        <v>31.685155397547916</v>
      </c>
      <c r="Z30" s="532">
        <f t="shared" si="34"/>
        <v>31.451028633526629</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60.388823665732808</v>
      </c>
      <c r="F4" s="41"/>
      <c r="G4" s="104"/>
      <c r="H4" s="435" t="s">
        <v>16711</v>
      </c>
      <c r="I4" s="192">
        <f>SUM(E4:E9,E14)</f>
        <v>72.27350400611104</v>
      </c>
      <c r="J4" s="436">
        <f>IFERROR(I4/SUM($I$4:$I$6),0)</f>
        <v>9.4598233389941E-2</v>
      </c>
      <c r="K4" s="41"/>
      <c r="L4" s="41"/>
      <c r="M4" s="41"/>
      <c r="N4" s="41"/>
      <c r="O4" s="41"/>
    </row>
    <row r="5" spans="1:15">
      <c r="A5" s="41"/>
      <c r="B5" s="674" t="s">
        <v>16712</v>
      </c>
      <c r="C5" s="675"/>
      <c r="D5" s="675"/>
      <c r="E5" s="124">
        <f>Discounting!B20</f>
        <v>0.33135088105915589</v>
      </c>
      <c r="F5" s="41"/>
      <c r="G5" s="104"/>
      <c r="H5" s="107" t="s">
        <v>16713</v>
      </c>
      <c r="I5" s="124">
        <f>E10+E11</f>
        <v>691.73129202632913</v>
      </c>
      <c r="J5" s="430">
        <f>IFERROR(I5/SUM($I$4:$I$6),0)</f>
        <v>0.905401766610059</v>
      </c>
      <c r="K5" s="41"/>
      <c r="L5" s="41"/>
      <c r="M5" s="41"/>
      <c r="N5" s="41"/>
      <c r="O5" s="41"/>
    </row>
    <row r="6" spans="1:15">
      <c r="A6" s="41"/>
      <c r="B6" s="674" t="s">
        <v>16441</v>
      </c>
      <c r="C6" s="675"/>
      <c r="D6" s="675"/>
      <c r="E6" s="124">
        <f>Discounting!B21</f>
        <v>10.181044598550191</v>
      </c>
      <c r="F6" s="41"/>
      <c r="G6" s="104"/>
      <c r="H6" s="107" t="s">
        <v>16714</v>
      </c>
      <c r="I6" s="124">
        <f>E12</f>
        <v>0</v>
      </c>
      <c r="J6" s="430">
        <f>IFERROR(I6/SUM($I$4:$I$6),0)</f>
        <v>0</v>
      </c>
      <c r="K6" s="41"/>
      <c r="L6" s="41"/>
      <c r="M6" s="41"/>
      <c r="N6" s="41"/>
      <c r="O6" s="41"/>
    </row>
    <row r="7" spans="1:15">
      <c r="A7" s="41"/>
      <c r="B7" s="674" t="s">
        <v>16715</v>
      </c>
      <c r="C7" s="675"/>
      <c r="D7" s="675"/>
      <c r="E7" s="124">
        <f>Discounting!B22</f>
        <v>1.3470543230023029</v>
      </c>
      <c r="F7" s="41"/>
      <c r="G7" s="104"/>
      <c r="H7" s="41"/>
      <c r="I7" s="41"/>
      <c r="J7" s="413"/>
      <c r="K7" s="41"/>
      <c r="L7" s="41"/>
      <c r="M7" s="41"/>
      <c r="N7" s="41"/>
      <c r="O7" s="41"/>
    </row>
    <row r="8" spans="1:15">
      <c r="A8" s="41"/>
      <c r="B8" s="674" t="s">
        <v>16443</v>
      </c>
      <c r="C8" s="675"/>
      <c r="D8" s="675"/>
      <c r="E8" s="124">
        <f>Discounting!B23</f>
        <v>0.67873630657001272</v>
      </c>
      <c r="F8" s="41"/>
      <c r="G8" s="104"/>
      <c r="H8" s="41"/>
      <c r="I8" s="41"/>
      <c r="J8" s="413"/>
      <c r="K8" s="41"/>
      <c r="L8" s="41"/>
      <c r="M8" s="41"/>
      <c r="N8" s="41"/>
      <c r="O8" s="41"/>
    </row>
    <row r="9" spans="1:15">
      <c r="A9" s="41"/>
      <c r="B9" s="674" t="s">
        <v>16716</v>
      </c>
      <c r="C9" s="675"/>
      <c r="D9" s="675"/>
      <c r="E9" s="124">
        <f>Discounting!B24</f>
        <v>4.2580912766885657</v>
      </c>
      <c r="F9" s="41"/>
      <c r="G9" s="104"/>
      <c r="H9" s="41"/>
      <c r="I9" s="41"/>
      <c r="J9" s="413"/>
      <c r="K9" s="41"/>
      <c r="L9" s="41"/>
      <c r="M9" s="41"/>
      <c r="N9" s="41"/>
      <c r="O9" s="41"/>
    </row>
    <row r="10" spans="1:15">
      <c r="A10" s="41"/>
      <c r="B10" s="678" t="s">
        <v>16704</v>
      </c>
      <c r="C10" s="679"/>
      <c r="D10" s="679"/>
      <c r="E10" s="124">
        <f>Discounting!B30</f>
        <v>603.66823258613817</v>
      </c>
      <c r="F10" s="41"/>
      <c r="G10" s="104"/>
      <c r="H10" s="41"/>
      <c r="I10" s="41"/>
      <c r="J10" s="413"/>
      <c r="K10" s="41"/>
      <c r="L10" s="41"/>
      <c r="M10" s="41"/>
      <c r="N10" s="41"/>
      <c r="O10" s="41"/>
    </row>
    <row r="11" spans="1:15">
      <c r="A11" s="41"/>
      <c r="B11" s="678" t="s">
        <v>75</v>
      </c>
      <c r="C11" s="679"/>
      <c r="D11" s="679"/>
      <c r="E11" s="124">
        <f>_xlfn.IFNA(Discounting!B29, 0)</f>
        <v>88.063059440190997</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-4.9115970454919822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763.67344515138109</v>
      </c>
      <c r="F19" s="41"/>
      <c r="G19" s="104"/>
      <c r="H19" s="41"/>
      <c r="I19" s="41"/>
      <c r="J19" s="413"/>
      <c r="K19" s="41"/>
      <c r="L19" s="41"/>
      <c r="M19" s="41"/>
      <c r="N19" s="41"/>
      <c r="O19" s="41"/>
    </row>
    <row r="20" spans="1:15">
      <c r="A20" s="41"/>
      <c r="B20" s="674" t="s">
        <v>16719</v>
      </c>
      <c r="C20" s="675"/>
      <c r="D20" s="675"/>
      <c r="E20" s="124">
        <f>IFERROR((E15+E16)-E5,0)</f>
        <v>-0.33135088105915589</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-2304.7273715111774</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