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2E50C8EE-B20A-4ED8-8C04-3E39578A040A}" xr6:coauthVersionLast="47" xr6:coauthVersionMax="47" xr10:uidLastSave="{00000000-0000-0000-0000-000000000000}"/>
  <bookViews>
    <workbookView xWindow="3840" yWindow="1755" windowWidth="21600" windowHeight="12735" tabRatio="850" firstSheet="1"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D14" i="14" l="1"/>
  <c r="D15" i="14" s="1"/>
  <c r="D18" i="14" s="1"/>
  <c r="E5" i="25"/>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D23" i="27" s="1"/>
  <c r="D32" i="27" s="1"/>
  <c r="D41" i="27" s="1"/>
  <c r="D50" i="27" s="1"/>
  <c r="D59" i="27" s="1"/>
  <c r="D67" i="27" s="1"/>
  <c r="E42" i="24"/>
  <c r="D44" i="24"/>
  <c r="D21" i="27" s="1"/>
  <c r="D30" i="27" s="1"/>
  <c r="D39" i="27" s="1"/>
  <c r="D48" i="27" s="1"/>
  <c r="D57" i="27" s="1"/>
  <c r="D65"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E31" i="27" s="1"/>
  <c r="E40" i="27" s="1"/>
  <c r="E49" i="27" s="1"/>
  <c r="E58" i="27" s="1"/>
  <c r="E66" i="27" s="1"/>
  <c r="C44" i="25"/>
  <c r="AN21" i="11"/>
  <c r="F14" i="19"/>
  <c r="BN13" i="19"/>
  <c r="G19" i="27"/>
  <c r="C6" i="24"/>
  <c r="J24" i="11"/>
  <c r="T22" i="11"/>
  <c r="AD15" i="11"/>
  <c r="AD18" i="11" s="1"/>
  <c r="D12" i="25"/>
  <c r="D13" i="25" s="1"/>
  <c r="D11" i="27" s="1"/>
  <c r="J15" i="11"/>
  <c r="J18" i="11" s="1"/>
  <c r="T23" i="1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<sst xmlns="http://schemas.openxmlformats.org/spreadsheetml/2006/main" count="55865" uniqueCount="16762">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</sst>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xf numFmtId="0" fontId="0" fillId="2" borderId="85" xfId="0" applyFill="1" applyBorder="1"/>
    <xf numFmtId="0" fontId="0" fillId="2" borderId="49" xfId="0"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1.0335648977221197</c:v>
                </c:pt>
                <c:pt idx="1">
                  <c:v>12.680362740098648</c:v>
                </c:pt>
                <c:pt idx="2">
                  <c:v>8.7333017506582813</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67" zoomScale="80" zoomScaleNormal="80" workbookViewId="0">
      <selection activeCell="G108" sqref="G108"/>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3</v>
      </c>
      <c r="G33" s="41" t="s">
        <v>16311</v>
      </c>
      <c r="H33" s="311" t="s">
        <v>16758</v>
      </c>
    </row>
    <row r="34" spans="1:69">
      <c r="A34" s="41"/>
      <c r="D34" s="146" t="s">
        <v>16312</v>
      </c>
      <c r="F34" s="383">
        <f>ROUND(F33*1.25,0)</f>
        <v>4</v>
      </c>
      <c r="G34" s="41" t="s">
        <v>16311</v>
      </c>
      <c r="H34" s="311" t="s">
        <v>16759</v>
      </c>
    </row>
    <row r="35" spans="1:69" ht="30.75" thickBot="1">
      <c r="A35" s="41"/>
      <c r="D35" s="146" t="s">
        <v>16313</v>
      </c>
      <c r="F35" s="384">
        <f>2.2/5.14</f>
        <v>0.42801556420233466</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15</v>
      </c>
      <c r="G46" s="41" t="s">
        <v>16311</v>
      </c>
      <c r="H46" s="311"/>
    </row>
    <row r="47" spans="1:69">
      <c r="A47" s="41"/>
      <c r="D47" s="146" t="s">
        <v>16312</v>
      </c>
      <c r="F47" s="536">
        <f>ROUND(F46*1.1,0)</f>
        <v>17</v>
      </c>
      <c r="G47" s="41" t="s">
        <v>16311</v>
      </c>
      <c r="H47" s="311"/>
    </row>
    <row r="48" spans="1:69" ht="15.75" thickBot="1">
      <c r="A48" s="41"/>
      <c r="D48" s="146" t="s">
        <v>16320</v>
      </c>
      <c r="F48" s="537">
        <f>1.1/1.1</f>
        <v>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54</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48</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48</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3</v>
      </c>
      <c r="E28" s="108" t="s">
        <v>16311</v>
      </c>
    </row>
    <row r="29" spans="2:8">
      <c r="C29" s="108" t="s">
        <v>16409</v>
      </c>
      <c r="D29" s="367">
        <f>'User Interface Intervention'!F34</f>
        <v>4</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0.42801556420233466</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15</v>
      </c>
      <c r="E50" s="242" t="s">
        <v>16311</v>
      </c>
    </row>
    <row r="51" spans="2:6">
      <c r="C51" s="108" t="s">
        <v>16409</v>
      </c>
      <c r="D51" s="367">
        <f>'User Interface Intervention'!F47</f>
        <v>17</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0</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1</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3" t="s">
        <v>16513</v>
      </c>
      <c r="D6" s="635" t="s">
        <v>103</v>
      </c>
      <c r="E6" s="636"/>
      <c r="F6" s="637"/>
      <c r="G6" s="635" t="s">
        <v>16514</v>
      </c>
      <c r="H6" s="636"/>
      <c r="I6" s="637"/>
      <c r="J6" s="635" t="s">
        <v>5086</v>
      </c>
      <c r="K6" s="636"/>
      <c r="L6" s="637"/>
      <c r="M6" s="635" t="s">
        <v>5164</v>
      </c>
      <c r="N6" s="636"/>
      <c r="O6" s="637"/>
      <c r="P6" s="640" t="s">
        <v>16515</v>
      </c>
    </row>
    <row r="7" spans="1:16" ht="26.25" thickBot="1">
      <c r="A7" s="344" t="s">
        <v>16516</v>
      </c>
      <c r="B7" s="345"/>
      <c r="C7" s="634"/>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41"/>
    </row>
    <row r="8" spans="1:16" ht="15.75" thickTop="1">
      <c r="A8" s="631"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2"/>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2"/>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2"/>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2"/>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2"/>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3" t="s">
        <v>16513</v>
      </c>
      <c r="D23" s="635" t="s">
        <v>103</v>
      </c>
      <c r="E23" s="636"/>
      <c r="F23" s="637"/>
      <c r="G23" s="635" t="s">
        <v>16524</v>
      </c>
      <c r="H23" s="636"/>
      <c r="I23" s="637" t="s">
        <v>16525</v>
      </c>
      <c r="J23" s="635" t="s">
        <v>5086</v>
      </c>
      <c r="K23" s="636"/>
      <c r="L23" s="637" t="s">
        <v>16526</v>
      </c>
      <c r="M23" s="635" t="s">
        <v>5164</v>
      </c>
      <c r="N23" s="636"/>
      <c r="O23" s="637" t="s">
        <v>16527</v>
      </c>
      <c r="P23" s="638" t="s">
        <v>16515</v>
      </c>
    </row>
    <row r="24" spans="1:16" ht="26.25" thickBot="1">
      <c r="A24" s="344" t="s">
        <v>16516</v>
      </c>
      <c r="B24" s="345"/>
      <c r="C24" s="634"/>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39"/>
    </row>
    <row r="25" spans="1:16" ht="15.75" thickTop="1">
      <c r="A25" s="631"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2"/>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2"/>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2"/>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2"/>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2"/>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3" t="s">
        <v>16513</v>
      </c>
      <c r="D40" s="635" t="s">
        <v>103</v>
      </c>
      <c r="E40" s="636"/>
      <c r="F40" s="637"/>
      <c r="G40" s="551" t="s">
        <v>16524</v>
      </c>
      <c r="H40" s="552"/>
      <c r="I40" s="553" t="s">
        <v>16525</v>
      </c>
      <c r="J40" s="551" t="s">
        <v>5086</v>
      </c>
      <c r="K40" s="552"/>
      <c r="L40" s="553" t="s">
        <v>16526</v>
      </c>
      <c r="M40" s="551" t="s">
        <v>5164</v>
      </c>
      <c r="N40" s="552"/>
      <c r="O40" s="553" t="s">
        <v>16527</v>
      </c>
      <c r="P40" s="638" t="s">
        <v>16515</v>
      </c>
    </row>
    <row r="41" spans="1:16" ht="26.25" thickBot="1">
      <c r="A41" s="344" t="s">
        <v>16516</v>
      </c>
      <c r="B41" s="345"/>
      <c r="C41" s="634"/>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39"/>
    </row>
    <row r="42" spans="1:16" ht="15.75" thickTop="1">
      <c r="A42" s="631"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2"/>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2"/>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2"/>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2"/>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2"/>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3" t="s">
        <v>16513</v>
      </c>
      <c r="D57" s="635" t="s">
        <v>103</v>
      </c>
      <c r="E57" s="636"/>
      <c r="F57" s="637"/>
      <c r="G57" s="551" t="s">
        <v>16524</v>
      </c>
      <c r="H57" s="552"/>
      <c r="I57" s="553" t="s">
        <v>16525</v>
      </c>
      <c r="J57" s="551" t="s">
        <v>5086</v>
      </c>
      <c r="K57" s="552"/>
      <c r="L57" s="553" t="s">
        <v>16526</v>
      </c>
      <c r="M57" s="551" t="s">
        <v>5164</v>
      </c>
      <c r="N57" s="552"/>
      <c r="O57" s="553" t="s">
        <v>16527</v>
      </c>
      <c r="P57" s="638" t="s">
        <v>16515</v>
      </c>
    </row>
    <row r="58" spans="1:16" ht="26.25" thickBot="1">
      <c r="A58" s="344" t="s">
        <v>16516</v>
      </c>
      <c r="B58" s="345"/>
      <c r="C58" s="634"/>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39"/>
    </row>
    <row r="59" spans="1:16" ht="15.75" thickTop="1">
      <c r="A59" s="631"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2"/>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2"/>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2"/>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2"/>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2"/>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3" t="s">
        <v>16513</v>
      </c>
      <c r="D74" s="635" t="s">
        <v>103</v>
      </c>
      <c r="E74" s="636"/>
      <c r="F74" s="637"/>
      <c r="G74" s="635" t="s">
        <v>16524</v>
      </c>
      <c r="H74" s="636"/>
      <c r="I74" s="637" t="s">
        <v>16525</v>
      </c>
      <c r="J74" s="635" t="s">
        <v>5086</v>
      </c>
      <c r="K74" s="636"/>
      <c r="L74" s="637" t="s">
        <v>16526</v>
      </c>
      <c r="M74" s="635" t="s">
        <v>5164</v>
      </c>
      <c r="N74" s="636"/>
      <c r="O74" s="637" t="s">
        <v>16527</v>
      </c>
      <c r="P74" s="638" t="s">
        <v>16515</v>
      </c>
    </row>
    <row r="75" spans="1:16" ht="26.25" thickBot="1">
      <c r="A75" s="344" t="s">
        <v>16516</v>
      </c>
      <c r="B75" s="345"/>
      <c r="C75" s="634"/>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39"/>
    </row>
    <row r="76" spans="1:16" ht="15.75" thickTop="1">
      <c r="A76" s="631"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2"/>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2"/>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2"/>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2"/>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2"/>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3" t="s">
        <v>16513</v>
      </c>
      <c r="D91" s="635" t="s">
        <v>103</v>
      </c>
      <c r="E91" s="636"/>
      <c r="F91" s="637"/>
      <c r="G91" s="551" t="s">
        <v>16524</v>
      </c>
      <c r="H91" s="552"/>
      <c r="I91" s="553" t="s">
        <v>16525</v>
      </c>
      <c r="J91" s="551" t="s">
        <v>5086</v>
      </c>
      <c r="K91" s="552"/>
      <c r="L91" s="553" t="s">
        <v>16526</v>
      </c>
      <c r="M91" s="635" t="s">
        <v>5164</v>
      </c>
      <c r="N91" s="636"/>
      <c r="O91" s="637" t="s">
        <v>16527</v>
      </c>
      <c r="P91" s="638" t="s">
        <v>16515</v>
      </c>
    </row>
    <row r="92" spans="1:16" ht="26.25" thickBot="1">
      <c r="A92" s="344" t="s">
        <v>16516</v>
      </c>
      <c r="B92" s="345"/>
      <c r="C92" s="634"/>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39"/>
    </row>
    <row r="93" spans="1:16" ht="15.75" thickTop="1">
      <c r="A93" s="631"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2"/>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2"/>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2"/>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2"/>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2"/>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3" t="s">
        <v>16513</v>
      </c>
      <c r="D108" s="635" t="s">
        <v>103</v>
      </c>
      <c r="E108" s="636"/>
      <c r="F108" s="637"/>
      <c r="G108" s="635" t="s">
        <v>16524</v>
      </c>
      <c r="H108" s="636"/>
      <c r="I108" s="637" t="s">
        <v>16525</v>
      </c>
      <c r="J108" s="635" t="s">
        <v>5086</v>
      </c>
      <c r="K108" s="636"/>
      <c r="L108" s="637" t="s">
        <v>16526</v>
      </c>
      <c r="M108" s="635" t="s">
        <v>5164</v>
      </c>
      <c r="N108" s="636"/>
      <c r="O108" s="637" t="s">
        <v>16527</v>
      </c>
      <c r="P108" s="638" t="s">
        <v>16515</v>
      </c>
    </row>
    <row r="109" spans="1:16" ht="26.25" thickBot="1">
      <c r="A109" s="344" t="s">
        <v>16516</v>
      </c>
      <c r="B109" s="345"/>
      <c r="C109" s="634"/>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39"/>
    </row>
    <row r="110" spans="1:16" ht="15.75" thickTop="1">
      <c r="A110" s="631"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2"/>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2"/>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2"/>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2"/>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2"/>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3" t="s">
        <v>16513</v>
      </c>
      <c r="D125" s="635" t="s">
        <v>103</v>
      </c>
      <c r="E125" s="636"/>
      <c r="F125" s="637"/>
      <c r="G125" s="635" t="s">
        <v>16524</v>
      </c>
      <c r="H125" s="636"/>
      <c r="I125" s="637" t="s">
        <v>16525</v>
      </c>
      <c r="J125" s="635" t="s">
        <v>5086</v>
      </c>
      <c r="K125" s="636"/>
      <c r="L125" s="637" t="s">
        <v>16526</v>
      </c>
      <c r="M125" s="635" t="s">
        <v>5164</v>
      </c>
      <c r="N125" s="636"/>
      <c r="O125" s="637" t="s">
        <v>16527</v>
      </c>
      <c r="P125" s="638" t="s">
        <v>16515</v>
      </c>
    </row>
    <row r="126" spans="1:16" ht="26.25" thickBot="1">
      <c r="A126" s="344" t="s">
        <v>16516</v>
      </c>
      <c r="B126" s="345"/>
      <c r="C126" s="634"/>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39"/>
    </row>
    <row r="127" spans="1:16" ht="15.75" thickTop="1">
      <c r="A127" s="631"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2"/>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2"/>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2"/>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2"/>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2"/>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48" t="s">
        <v>16323</v>
      </c>
      <c r="C5" s="649"/>
      <c r="D5" s="650"/>
      <c r="E5" s="59">
        <v>3.7310066730958975</v>
      </c>
      <c r="F5" s="65" t="s">
        <v>16540</v>
      </c>
      <c r="I5" s="548" t="s">
        <v>16323</v>
      </c>
      <c r="J5" s="111">
        <v>3.7310066730958975</v>
      </c>
      <c r="K5" s="544"/>
    </row>
    <row r="6" spans="1:11">
      <c r="B6" s="642" t="s">
        <v>16324</v>
      </c>
      <c r="C6" s="643"/>
      <c r="D6" s="644"/>
      <c r="E6" s="60">
        <v>2.6336517692441621</v>
      </c>
      <c r="F6" s="65" t="s">
        <v>16540</v>
      </c>
      <c r="I6" s="546" t="s">
        <v>16324</v>
      </c>
      <c r="J6" s="112">
        <v>2.6336517692441621</v>
      </c>
      <c r="K6" s="544"/>
    </row>
    <row r="7" spans="1:11">
      <c r="B7" s="642" t="s">
        <v>16325</v>
      </c>
      <c r="C7" s="643"/>
      <c r="D7" s="644"/>
      <c r="E7" s="60">
        <v>1.8655033365479488</v>
      </c>
      <c r="F7" s="65" t="s">
        <v>16540</v>
      </c>
      <c r="I7" s="546" t="s">
        <v>16325</v>
      </c>
      <c r="J7" s="112">
        <v>1.8655033365479488</v>
      </c>
      <c r="K7" s="544"/>
    </row>
    <row r="8" spans="1:11">
      <c r="B8" s="642" t="s">
        <v>16326</v>
      </c>
      <c r="C8" s="643"/>
      <c r="D8" s="644"/>
      <c r="E8" s="60">
        <v>0.87788392308138752</v>
      </c>
      <c r="F8" s="65" t="s">
        <v>16540</v>
      </c>
      <c r="I8" s="546" t="s">
        <v>16326</v>
      </c>
      <c r="J8" s="112">
        <v>0.87788392308138752</v>
      </c>
      <c r="K8" s="544"/>
    </row>
    <row r="9" spans="1:11">
      <c r="B9" s="642" t="s">
        <v>16327</v>
      </c>
      <c r="C9" s="643"/>
      <c r="D9" s="644"/>
      <c r="E9" s="60">
        <v>0.87788392308138752</v>
      </c>
      <c r="F9" s="65" t="s">
        <v>16540</v>
      </c>
      <c r="I9" s="546" t="s">
        <v>16327</v>
      </c>
      <c r="J9" s="112">
        <v>0.87788392308138752</v>
      </c>
      <c r="K9" s="544"/>
    </row>
    <row r="10" spans="1:11">
      <c r="B10" s="642" t="s">
        <v>16328</v>
      </c>
      <c r="C10" s="643"/>
      <c r="D10" s="644"/>
      <c r="E10" s="60">
        <v>0.54867745192586725</v>
      </c>
      <c r="F10" s="65" t="s">
        <v>16540</v>
      </c>
      <c r="I10" s="546" t="s">
        <v>16328</v>
      </c>
      <c r="J10" s="112">
        <v>0.54867745192586725</v>
      </c>
      <c r="K10" s="544"/>
    </row>
    <row r="11" spans="1:11" ht="15.75" thickBot="1">
      <c r="B11" s="645" t="s">
        <v>16329</v>
      </c>
      <c r="C11" s="646"/>
      <c r="D11" s="647"/>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51" t="s">
        <v>16544</v>
      </c>
      <c r="C18" s="652"/>
      <c r="D18" s="653"/>
      <c r="E18" s="84">
        <v>7.03</v>
      </c>
      <c r="F18" s="52" t="s">
        <v>16545</v>
      </c>
      <c r="G18" s="56"/>
      <c r="I18" s="102" t="s">
        <v>16544</v>
      </c>
      <c r="J18" s="103">
        <v>7.03</v>
      </c>
    </row>
    <row r="19" spans="2:10">
      <c r="B19" s="654" t="s">
        <v>16546</v>
      </c>
      <c r="C19" s="655"/>
      <c r="D19" s="656"/>
      <c r="E19" s="85">
        <v>2.99</v>
      </c>
      <c r="F19" s="52" t="s">
        <v>16545</v>
      </c>
      <c r="G19" s="56"/>
      <c r="I19" s="102" t="s">
        <v>16546</v>
      </c>
      <c r="J19" s="103">
        <v>2.99</v>
      </c>
    </row>
    <row r="20" spans="2:10" ht="25.5">
      <c r="B20" s="654" t="s">
        <v>16547</v>
      </c>
      <c r="C20" s="655"/>
      <c r="D20" s="656"/>
      <c r="E20" s="85">
        <v>2.97</v>
      </c>
      <c r="F20" s="52" t="s">
        <v>16548</v>
      </c>
      <c r="G20" s="56"/>
      <c r="I20" s="102" t="s">
        <v>16547</v>
      </c>
      <c r="J20" s="103">
        <v>2.97</v>
      </c>
    </row>
    <row r="21" spans="2:10">
      <c r="B21" s="654" t="s">
        <v>16549</v>
      </c>
      <c r="C21" s="655"/>
      <c r="D21" s="656"/>
      <c r="E21" s="85">
        <v>1.81</v>
      </c>
      <c r="F21" s="52" t="s">
        <v>16545</v>
      </c>
      <c r="G21" s="56"/>
      <c r="I21" s="102" t="s">
        <v>16549</v>
      </c>
      <c r="J21" s="103">
        <v>1.81</v>
      </c>
    </row>
    <row r="22" spans="2:10" ht="15.75" thickBot="1">
      <c r="B22" s="657" t="s">
        <v>16550</v>
      </c>
      <c r="C22" s="658"/>
      <c r="D22" s="659"/>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0"/>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3</v>
      </c>
      <c r="E4" s="120">
        <f>useP</f>
        <v>15</v>
      </c>
      <c r="F4" s="108"/>
    </row>
    <row r="5" spans="1:6">
      <c r="C5" s="120" t="s">
        <v>16598</v>
      </c>
      <c r="D5" s="122">
        <f>use_new</f>
        <v>4</v>
      </c>
      <c r="E5" s="122">
        <f>use_newP</f>
        <v>17</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1</v>
      </c>
      <c r="E12" s="123">
        <f>use_newP-useP</f>
        <v>2</v>
      </c>
    </row>
    <row r="13" spans="1:6">
      <c r="C13" s="123" t="s">
        <v>16603</v>
      </c>
      <c r="D13" s="167">
        <f>D12/(1+return)</f>
        <v>0.52631578947368418</v>
      </c>
      <c r="E13" s="167">
        <f>E12/(1+return)</f>
        <v>1.0526315789473684</v>
      </c>
    </row>
    <row r="14" spans="1:6">
      <c r="C14" s="123" t="s">
        <v>16604</v>
      </c>
      <c r="D14" s="123">
        <f>use_new-D12</f>
        <v>3</v>
      </c>
      <c r="E14" s="123">
        <f>use_newP-E12</f>
        <v>15</v>
      </c>
    </row>
    <row r="15" spans="1:6">
      <c r="C15" s="123" t="s">
        <v>16605</v>
      </c>
      <c r="D15" s="123">
        <f>D14/(1+return)</f>
        <v>1.5789473684210527</v>
      </c>
      <c r="E15" s="123">
        <f>E14/(1+return)</f>
        <v>7.8947368421052637</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1567.6999999999998</v>
      </c>
      <c r="E23" s="107">
        <f>E7*E12*scheme_days</f>
        <v>671</v>
      </c>
      <c r="F23" s="41" t="s">
        <v>16611</v>
      </c>
    </row>
    <row r="24" spans="2:6">
      <c r="C24" s="125" t="s">
        <v>16612</v>
      </c>
      <c r="D24" s="107">
        <f>D23*car_share</f>
        <v>376.24799999999993</v>
      </c>
      <c r="E24" s="107">
        <f>E23*car_shareP</f>
        <v>161.04</v>
      </c>
    </row>
    <row r="25" spans="2:6">
      <c r="C25" s="125" t="s">
        <v>16613</v>
      </c>
      <c r="D25" s="107">
        <f>D24/'Input Summary'!D86</f>
        <v>235.15499999999994</v>
      </c>
      <c r="E25" s="107">
        <f>E24/'Input Summary'!D86</f>
        <v>100.64999999999999</v>
      </c>
    </row>
    <row r="26" spans="2:6" ht="15.75">
      <c r="C26" s="123" t="s">
        <v>16614</v>
      </c>
      <c r="D26" s="167">
        <f>D23*'Input Summary'!D34</f>
        <v>94.061999999999983</v>
      </c>
      <c r="E26" s="167">
        <f>E23*'Input Summary'!D56</f>
        <v>40.26</v>
      </c>
      <c r="F26" s="105"/>
    </row>
    <row r="27" spans="2:6">
      <c r="C27" s="123" t="s">
        <v>16615</v>
      </c>
      <c r="D27" s="167">
        <f>D26/'Input Summary'!D87</f>
        <v>39.192499999999995</v>
      </c>
      <c r="E27" s="167">
        <f>E26/'Input Summary'!D87</f>
        <v>16.774999999999999</v>
      </c>
    </row>
    <row r="28" spans="2:6" ht="15.75">
      <c r="B28" s="105" t="s">
        <v>16616</v>
      </c>
      <c r="C28" s="125" t="s">
        <v>16617</v>
      </c>
      <c r="D28" s="126"/>
      <c r="E28" s="127">
        <f>SUM(D25:E25,D27:E27)</f>
        <v>391.77249999999992</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0</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1</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0.52631578947368418</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0.48609867178082172</v>
      </c>
      <c r="E19" s="446">
        <f>E18*E4</f>
        <v>0.62417339178082165</v>
      </c>
      <c r="G19" s="301"/>
      <c r="H19" s="42"/>
    </row>
    <row r="20" spans="2:8">
      <c r="C20" s="134" t="s">
        <v>16638</v>
      </c>
      <c r="D20" s="140">
        <f>'TAG VoT'!F21*D10</f>
        <v>144.50209275358495</v>
      </c>
      <c r="E20" s="140">
        <f>'TAG VoT'!$F$21*E10</f>
        <v>144.50209275358495</v>
      </c>
    </row>
    <row r="21" spans="2:8">
      <c r="C21" s="134" t="s">
        <v>16639</v>
      </c>
      <c r="D21" s="141">
        <f>D19*D20</f>
        <v>70.242275357066745</v>
      </c>
      <c r="E21" s="142">
        <f>E19*E20</f>
        <v>90.194361353432001</v>
      </c>
    </row>
    <row r="22" spans="2:8">
      <c r="C22" s="138"/>
      <c r="D22" s="149"/>
      <c r="E22" s="143"/>
    </row>
    <row r="23" spans="2:8" ht="15.75">
      <c r="C23" s="144" t="s">
        <v>16523</v>
      </c>
      <c r="D23" s="145">
        <f>D21+E21</f>
        <v>160.43663671049876</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0.52631578947368418</v>
      </c>
      <c r="E7" s="500">
        <f>'General Calculations'!E13</f>
        <v>1.0526315789473684</v>
      </c>
      <c r="F7" s="492"/>
    </row>
    <row r="8" spans="1:6">
      <c r="A8" s="492"/>
      <c r="B8" s="492"/>
      <c r="C8" s="109" t="s">
        <v>16644</v>
      </c>
      <c r="D8" s="499">
        <f>'General Calculations'!D15</f>
        <v>1.5789473684210527</v>
      </c>
      <c r="E8" s="500">
        <f>'General Calculations'!E15</f>
        <v>7.8947368421052637</v>
      </c>
      <c r="F8" s="492"/>
    </row>
    <row r="9" spans="1:6">
      <c r="A9" s="492"/>
      <c r="B9" s="492"/>
      <c r="C9" s="109" t="s">
        <v>16645</v>
      </c>
      <c r="D9" s="499">
        <f>'General Calculations'!D12</f>
        <v>1</v>
      </c>
      <c r="E9" s="500">
        <f>'General Calculations'!E12</f>
        <v>2</v>
      </c>
      <c r="F9" s="492"/>
    </row>
    <row r="10" spans="1:6">
      <c r="A10" s="492"/>
      <c r="B10" s="492"/>
      <c r="C10" s="151" t="s">
        <v>16646</v>
      </c>
      <c r="D10" s="502">
        <f>'General Calculations'!D14</f>
        <v>3</v>
      </c>
      <c r="E10" s="527">
        <f>'General Calculations'!E14</f>
        <v>15</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0.42801556420233466</v>
      </c>
      <c r="E13" s="503">
        <f>'Input Summary'!D58</f>
        <v>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3.1823292211700292E-2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4.0602131442514171E-2</v>
      </c>
      <c r="F20" s="492"/>
      <c r="G20" s="492"/>
      <c r="H20" s="492"/>
    </row>
    <row r="21" spans="1:8">
      <c r="A21" s="492"/>
      <c r="B21" s="492"/>
      <c r="C21" s="505" t="s">
        <v>16652</v>
      </c>
      <c r="D21" s="499">
        <f>(D20-D19)</f>
        <v>7.0300000000000001E-2</v>
      </c>
      <c r="E21" s="506">
        <f>(E20-E19)</f>
        <v>8.7788392308138785E-3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2.2000000000000002</v>
      </c>
      <c r="E25" s="508">
        <f>E5*E13</f>
        <v>1.1000000000000001</v>
      </c>
      <c r="F25" s="131" t="s">
        <v>16641</v>
      </c>
      <c r="G25" s="131"/>
      <c r="H25" s="131"/>
    </row>
    <row r="26" spans="1:8">
      <c r="A26" s="492"/>
      <c r="B26" s="492"/>
      <c r="C26" s="109" t="s">
        <v>16657</v>
      </c>
      <c r="D26" s="499">
        <f>60*D25/speed</f>
        <v>8.8000000000000007</v>
      </c>
      <c r="E26" s="499">
        <f>60*E25/speedP</f>
        <v>13.2</v>
      </c>
      <c r="F26" s="492" t="s">
        <v>16658</v>
      </c>
      <c r="G26" s="131"/>
      <c r="H26" s="131"/>
    </row>
    <row r="27" spans="1:8">
      <c r="A27" s="492"/>
      <c r="B27" s="492"/>
      <c r="C27" s="151" t="s">
        <v>16659</v>
      </c>
      <c r="D27" s="502">
        <f>D26*scheme_days</f>
        <v>2684</v>
      </c>
      <c r="E27" s="502">
        <f>E26*scheme_days</f>
        <v>4026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188.68520000000001</v>
      </c>
      <c r="E30" s="510">
        <f>E21*E25*scheme_days</f>
        <v>2.9453005619380566</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94.342600000000004</v>
      </c>
      <c r="E35" s="514">
        <f>E9*E30/2</f>
        <v>2.9453005619380566</v>
      </c>
      <c r="F35" s="492"/>
      <c r="G35" s="511"/>
    </row>
    <row r="36" spans="2:7">
      <c r="B36" s="492"/>
      <c r="C36" s="515" t="s">
        <v>16665</v>
      </c>
      <c r="D36" s="516">
        <f>D34+D35</f>
        <v>94.342600000000004</v>
      </c>
      <c r="E36" s="531">
        <f>E35</f>
        <v>2.9453005619380566</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566.05560000000003</v>
      </c>
      <c r="E41" s="514">
        <f>E30*E10</f>
        <v>44.17950842907085</v>
      </c>
      <c r="F41" s="492"/>
      <c r="G41" s="492"/>
    </row>
    <row r="42" spans="2:7">
      <c r="B42" s="492"/>
      <c r="C42" s="515" t="s">
        <v>16669</v>
      </c>
      <c r="D42" s="516">
        <f>D40+D41</f>
        <v>566.05560000000003</v>
      </c>
      <c r="E42" s="531">
        <f>E41</f>
        <v>44.17950842907085</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97.287900561938059</v>
      </c>
      <c r="F45" s="492"/>
      <c r="G45" s="492"/>
    </row>
    <row r="46" spans="2:7" ht="15">
      <c r="B46" s="492"/>
      <c r="C46" s="499" t="s">
        <v>16671</v>
      </c>
      <c r="D46" s="492"/>
      <c r="E46" s="239">
        <f>D42+E42</f>
        <v>610.23510842907092</v>
      </c>
      <c r="F46" s="492"/>
      <c r="G46" s="492"/>
    </row>
    <row r="47" spans="2:7" ht="15">
      <c r="B47" s="492"/>
      <c r="C47" s="499" t="s">
        <v>16672</v>
      </c>
      <c r="D47" s="154">
        <f>D36+D42</f>
        <v>660.39820000000009</v>
      </c>
      <c r="E47" s="239">
        <f>E36+E42</f>
        <v>47.124808991008905</v>
      </c>
      <c r="F47" s="492"/>
      <c r="G47" s="492"/>
    </row>
    <row r="48" spans="2:7" ht="15">
      <c r="B48" s="492"/>
      <c r="C48" s="155" t="s">
        <v>16673</v>
      </c>
      <c r="D48" s="117"/>
      <c r="E48" s="237">
        <f>D47+E47</f>
        <v>707.52300899100896</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0.52631578947368418</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8.4210526315789472E-2</v>
      </c>
      <c r="E9" s="299">
        <f>'General Calculations'!$D$13*'Health Assumptions'!E25</f>
        <v>2.1052631578947368E-2</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0.20526315789473684</v>
      </c>
      <c r="E10" s="299">
        <f>'General Calculations'!$D$13*'Health Assumptions'!E26</f>
        <v>8.4210526315789472E-2</v>
      </c>
      <c r="F10" s="300">
        <f>'General Calculations'!$E$13*'Health Assumptions'!F26</f>
        <v>0.17894736842105263</v>
      </c>
      <c r="G10" s="167">
        <f>'General Calculations'!$E$13*'Health Assumptions'!G26</f>
        <v>0.25263157894736837</v>
      </c>
    </row>
    <row r="11" spans="1:7">
      <c r="C11" s="125" t="s">
        <v>16584</v>
      </c>
      <c r="D11" s="167">
        <f>'General Calculations'!$D$13*'Health Assumptions'!D27</f>
        <v>6.8421052631578952E-2</v>
      </c>
      <c r="E11" s="299">
        <f>'General Calculations'!$D$13*'Health Assumptions'!E27</f>
        <v>2.6315789473684209E-2</v>
      </c>
      <c r="F11" s="300">
        <f>'General Calculations'!$E$13*'Health Assumptions'!F27</f>
        <v>7.3684210526315796E-2</v>
      </c>
      <c r="G11" s="167">
        <f>'General Calculations'!$E$13*'Health Assumptions'!G27</f>
        <v>9.4736842105263147E-2</v>
      </c>
    </row>
    <row r="12" spans="1:7">
      <c r="C12" s="125" t="s">
        <v>16585</v>
      </c>
      <c r="D12" s="167">
        <f>'General Calculations'!$D$13*'Health Assumptions'!D28</f>
        <v>2.6315789473684209E-2</v>
      </c>
      <c r="E12" s="299">
        <f>'General Calculations'!$D$13*'Health Assumptions'!E28</f>
        <v>5.263157894736842E-3</v>
      </c>
      <c r="F12" s="300">
        <f>'General Calculations'!$E$13*'Health Assumptions'!F28</f>
        <v>5.2631578947368418E-2</v>
      </c>
      <c r="G12" s="167">
        <f>'General Calculations'!$E$13*'Health Assumptions'!G28</f>
        <v>5.2631578947368418E-2</v>
      </c>
    </row>
    <row r="13" spans="1:7">
      <c r="C13" s="125" t="s">
        <v>16586</v>
      </c>
      <c r="D13" s="167">
        <f>'General Calculations'!$D$13*'Health Assumptions'!D29</f>
        <v>5.263157894736842E-3</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0.38947368421052631</v>
      </c>
      <c r="E14" s="299">
        <f>SUM(E9:E13)</f>
        <v>0.13684210526315788</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6.4283689439659911E-5</v>
      </c>
      <c r="E72" s="124">
        <f>E64*'Health Assumptions'!E60*E10</f>
        <v>1.3684388191840682E-5</v>
      </c>
      <c r="F72" s="162">
        <f>SUM(D72:E72)</f>
        <v>7.7968077631500589E-5</v>
      </c>
      <c r="G72" s="124">
        <f>F64*'Health Assumptions'!D60*F10</f>
        <v>1.8759761404473197E-5</v>
      </c>
      <c r="H72" s="124">
        <f>G64*'Health Assumptions'!E60*G10</f>
        <v>1.5228921379260786E-5</v>
      </c>
      <c r="I72" s="124">
        <f>SUM(G72:H72)</f>
        <v>3.3988682783733985E-5</v>
      </c>
    </row>
    <row r="73" spans="2:12">
      <c r="C73" s="125" t="s">
        <v>16584</v>
      </c>
      <c r="D73" s="124">
        <f>D65*'Health Assumptions'!D61*D11</f>
        <v>1.2073476950030004E-4</v>
      </c>
      <c r="E73" s="124">
        <f>E65*'Health Assumptions'!E61*E11</f>
        <v>2.4186015355998528E-5</v>
      </c>
      <c r="F73" s="162">
        <f>SUM(D73:E73)</f>
        <v>1.4492078485629857E-4</v>
      </c>
      <c r="G73" s="124">
        <f>F65*'Health Assumptions'!D61*F11</f>
        <v>4.3790865608670936E-5</v>
      </c>
      <c r="H73" s="124">
        <f>G65*'Health Assumptions'!E61*G11</f>
        <v>3.8013551243384229E-5</v>
      </c>
      <c r="I73" s="124">
        <f>SUM(G73:H73)</f>
        <v>8.1804416852055171E-5</v>
      </c>
    </row>
    <row r="74" spans="2:12">
      <c r="C74" s="125" t="s">
        <v>16585</v>
      </c>
      <c r="D74" s="124">
        <f>D66*'Health Assumptions'!D62*D12</f>
        <v>1.5821803001838335E-4</v>
      </c>
      <c r="E74" s="124">
        <f>E66*'Health Assumptions'!E62*E12</f>
        <v>1.6959922289747966E-5</v>
      </c>
      <c r="F74" s="162">
        <f>SUM(D74:E74)</f>
        <v>1.7517795230813133E-4</v>
      </c>
      <c r="G74" s="124">
        <f>F66*'Health Assumptions'!D62*F12</f>
        <v>1.2398493283404286E-4</v>
      </c>
      <c r="H74" s="124">
        <f>G66*'Health Assumptions'!E62*G12</f>
        <v>8.308854536725876E-5</v>
      </c>
      <c r="I74" s="124">
        <f>SUM(G74:H74)</f>
        <v>2.0707347820130164E-4</v>
      </c>
    </row>
    <row r="75" spans="2:12">
      <c r="C75" s="125" t="s">
        <v>16586</v>
      </c>
      <c r="D75" s="124">
        <f>D67*'Health Assumptions'!D63*D13</f>
        <v>1.0541996967833489E-4</v>
      </c>
      <c r="E75" s="124">
        <f>E67*'Health Assumptions'!E63*E13</f>
        <v>0</v>
      </c>
      <c r="F75" s="162">
        <f>SUM(D75:E75)</f>
        <v>1.0541996967833489E-4</v>
      </c>
      <c r="G75" s="124">
        <f>F67*'Health Assumptions'!D63*F13</f>
        <v>1.1235574399960525E-4</v>
      </c>
      <c r="H75" s="124">
        <f>G67*'Health Assumptions'!E63*G13</f>
        <v>8.9400721928588732E-5</v>
      </c>
      <c r="I75" s="124">
        <f>SUM(G75:H75)</f>
        <v>2.0175646592819399E-4</v>
      </c>
    </row>
    <row r="76" spans="2:12">
      <c r="C76" s="125" t="s">
        <v>16683</v>
      </c>
      <c r="D76" s="124">
        <f t="shared" ref="D76:I76" si="2">SUM(D71:D75)</f>
        <v>4.4865645863667819E-4</v>
      </c>
      <c r="E76" s="124">
        <f t="shared" si="2"/>
        <v>5.4830325837587179E-5</v>
      </c>
      <c r="F76" s="162">
        <f t="shared" si="2"/>
        <v>5.0348678447426532E-4</v>
      </c>
      <c r="G76" s="124">
        <f t="shared" si="2"/>
        <v>2.9889130384679226E-4</v>
      </c>
      <c r="H76" s="124">
        <f t="shared" si="2"/>
        <v>2.2573173991849254E-4</v>
      </c>
      <c r="I76" s="124">
        <f t="shared" si="2"/>
        <v>5.2462304376528479E-4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2.2397684018873659E-3</v>
      </c>
      <c r="E82" s="124">
        <f>E72*'Health Assumptions'!E93</f>
        <v>4.6920199661223971E-4</v>
      </c>
      <c r="F82" s="162">
        <f>SUM(D82:E82)</f>
        <v>2.7089703984996055E-3</v>
      </c>
      <c r="G82" s="124">
        <f>G72*'Health Assumptions'!D68</f>
        <v>6.5362646710134917E-4</v>
      </c>
      <c r="H82" s="124">
        <f>H72*'Health Assumptions'!E68</f>
        <v>5.2216001309144777E-4</v>
      </c>
      <c r="I82" s="124">
        <f>SUM(G82:H82)</f>
        <v>1.1757864801927968E-3</v>
      </c>
    </row>
    <row r="83" spans="3:11">
      <c r="C83" s="125" t="s">
        <v>16584</v>
      </c>
      <c r="D83" s="124">
        <f>D73*'Health Assumptions'!D94</f>
        <v>2.8646396729774537E-3</v>
      </c>
      <c r="E83" s="124">
        <f>E73*'Health Assumptions'!E94</f>
        <v>5.7385473469482304E-4</v>
      </c>
      <c r="F83" s="162">
        <f>SUM(D83:E83)</f>
        <v>3.4384944076722769E-3</v>
      </c>
      <c r="G83" s="124">
        <f>G73*'Health Assumptions'!D69</f>
        <v>1.0390134627814151E-3</v>
      </c>
      <c r="H83" s="124">
        <f>H73*'Health Assumptions'!E69</f>
        <v>9.0193676149180255E-4</v>
      </c>
      <c r="I83" s="124">
        <f>SUM(G83:H83)</f>
        <v>1.9409502242732175E-3</v>
      </c>
    </row>
    <row r="84" spans="3:11">
      <c r="C84" s="125" t="s">
        <v>16585</v>
      </c>
      <c r="D84" s="124">
        <f>D74*'Health Assumptions'!D95</f>
        <v>2.3940387889405273E-3</v>
      </c>
      <c r="E84" s="124">
        <f>E74*'Health Assumptions'!E95</f>
        <v>2.432601171657226E-4</v>
      </c>
      <c r="F84" s="162">
        <f>SUM(D84:E84)</f>
        <v>2.6372989061062501E-3</v>
      </c>
      <c r="G84" s="124">
        <f>G74*'Health Assumptions'!D70</f>
        <v>1.8760487563547373E-3</v>
      </c>
      <c r="H84" s="124">
        <f>H74*'Health Assumptions'!E70</f>
        <v>1.191758366333245E-3</v>
      </c>
      <c r="I84" s="124">
        <f>SUM(G84:H84)</f>
        <v>3.0678071226879823E-3</v>
      </c>
    </row>
    <row r="85" spans="3:11">
      <c r="C85" s="125" t="s">
        <v>16586</v>
      </c>
      <c r="D85" s="124">
        <f>D75*'Health Assumptions'!D96</f>
        <v>6.0960625770974238E-4</v>
      </c>
      <c r="E85" s="124">
        <f>E75*'Health Assumptions'!E96</f>
        <v>0</v>
      </c>
      <c r="F85" s="162">
        <f>SUM(D85:E85)</f>
        <v>6.0960625770974238E-4</v>
      </c>
      <c r="G85" s="124">
        <f>G75*'Health Assumptions'!D71</f>
        <v>6.4971337822220334E-4</v>
      </c>
      <c r="H85" s="124">
        <f>H75*'Health Assumptions'!E71</f>
        <v>5.1697263523911401E-4</v>
      </c>
      <c r="I85" s="124">
        <f>SUM(G85:H85)</f>
        <v>1.1666860134613172E-3</v>
      </c>
    </row>
    <row r="86" spans="3:11">
      <c r="C86" s="125" t="s">
        <v>16683</v>
      </c>
      <c r="D86" s="124">
        <f t="shared" ref="D86:I86" si="3">SUM(D81:D85)</f>
        <v>8.1080531215150901E-3</v>
      </c>
      <c r="E86" s="124">
        <f t="shared" si="3"/>
        <v>1.2863168484727853E-3</v>
      </c>
      <c r="F86" s="162">
        <f t="shared" si="3"/>
        <v>9.3943699699878761E-3</v>
      </c>
      <c r="G86" s="124">
        <f t="shared" si="3"/>
        <v>4.2184020644597045E-3</v>
      </c>
      <c r="H86" s="124">
        <f t="shared" si="3"/>
        <v>3.1328277761556093E-3</v>
      </c>
      <c r="I86" s="124">
        <f t="shared" si="3"/>
        <v>7.3512298406153143E-3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0.39177249999999991</v>
      </c>
      <c r="H18" s="94">
        <f>IF(H4&lt;opening,0,'General Calculations'!$E$28/1000)</f>
        <v>0.39177249999999991</v>
      </c>
      <c r="I18" s="94">
        <f>IF(I4&lt;opening,0,'General Calculations'!$E$28/1000)</f>
        <v>0.39177249999999991</v>
      </c>
      <c r="J18" s="94">
        <f>IF(J4&lt;opening,0,'General Calculations'!$E$28/1000)</f>
        <v>0.39177249999999991</v>
      </c>
      <c r="K18" s="94">
        <f>IF(K4&lt;opening,0,'General Calculations'!$E$28/1000)</f>
        <v>0.39177249999999991</v>
      </c>
      <c r="L18" s="94">
        <f>IF(L4&lt;opening,0,'General Calculations'!$E$28/1000)</f>
        <v>0.39177249999999991</v>
      </c>
      <c r="M18" s="94">
        <f>IF(M4&lt;opening,0,'General Calculations'!$E$28/1000)</f>
        <v>0.39177249999999991</v>
      </c>
      <c r="N18" s="94">
        <f>IF(N4&lt;opening,0,'General Calculations'!$E$28/1000)</f>
        <v>0.39177249999999991</v>
      </c>
      <c r="O18" s="94">
        <f>IF(O4&lt;opening,0,'General Calculations'!$E$28/1000)</f>
        <v>0.39177249999999991</v>
      </c>
      <c r="P18" s="94">
        <f>IF(P4&lt;opening,0,'General Calculations'!$E$28/1000)</f>
        <v>0.39177249999999991</v>
      </c>
      <c r="Q18" s="94">
        <f>IF(Q4&lt;opening,0,'General Calculations'!$E$28/1000)</f>
        <v>0.39177249999999991</v>
      </c>
      <c r="R18" s="94">
        <f>IF(R4&lt;opening,0,'General Calculations'!$E$28/1000)</f>
        <v>0.39177249999999991</v>
      </c>
      <c r="S18" s="94">
        <f>IF(S4&lt;opening,0,'General Calculations'!$E$28/1000)</f>
        <v>0.39177249999999991</v>
      </c>
      <c r="T18" s="94">
        <f>IF(T4&lt;opening,0,'General Calculations'!$E$28/1000)</f>
        <v>0.39177249999999991</v>
      </c>
      <c r="U18" s="94">
        <f>IF(U4&lt;opening,0,'General Calculations'!$E$28/1000)</f>
        <v>0.39177249999999991</v>
      </c>
      <c r="V18" s="94">
        <f>IF(V4&lt;opening,0,'General Calculations'!$E$28/1000)</f>
        <v>0.39177249999999991</v>
      </c>
      <c r="W18" s="94">
        <f>IF(W4&lt;opening,0,'General Calculations'!$E$28/1000)</f>
        <v>0.39177249999999991</v>
      </c>
      <c r="X18" s="94">
        <f>IF(X4&lt;opening,0,'General Calculations'!$E$28/1000)</f>
        <v>0.39177249999999991</v>
      </c>
      <c r="Y18" s="94">
        <f>IF(Y4&lt;opening,0,'General Calculations'!$E$28/1000)</f>
        <v>0.39177249999999991</v>
      </c>
      <c r="Z18" s="94">
        <f>IF(Z4&lt;opening,0,'General Calculations'!$E$28/1000)</f>
        <v>0.39177249999999991</v>
      </c>
      <c r="AA18" s="94">
        <f>IF(AA4&lt;opening,0,'General Calculations'!$E$28/1000)</f>
        <v>0.39177249999999991</v>
      </c>
      <c r="AB18" s="94">
        <f>IF(AB4&lt;opening,0,'General Calculations'!$E$28/1000)</f>
        <v>0.39177249999999991</v>
      </c>
      <c r="AC18" s="94">
        <f>IF(AC4&lt;opening,0,'General Calculations'!$E$28/1000)</f>
        <v>0.39177249999999991</v>
      </c>
      <c r="AD18" s="94">
        <f>IF(AD4&lt;opening,0,'General Calculations'!$E$28/1000)</f>
        <v>0.39177249999999991</v>
      </c>
      <c r="AE18" s="94">
        <f>IF(AE4&lt;opening,0,'General Calculations'!$E$28/1000)</f>
        <v>0.39177249999999991</v>
      </c>
      <c r="AF18" s="94">
        <f>IF(AF4&lt;opening,0,'General Calculations'!$E$28/1000)</f>
        <v>0.39177249999999991</v>
      </c>
      <c r="AG18" s="94">
        <f>IF(AG4&lt;opening,0,'General Calculations'!$E$28/1000)</f>
        <v>0.39177249999999991</v>
      </c>
      <c r="AH18" s="94">
        <f>IF(AH4&lt;opening,0,'General Calculations'!$E$28/1000)</f>
        <v>0.39177249999999991</v>
      </c>
      <c r="AI18" s="94">
        <f>IF(AI4&lt;opening,0,'General Calculations'!$E$28/1000)</f>
        <v>0.39177249999999991</v>
      </c>
      <c r="AJ18" s="94">
        <f>IF(AJ4&lt;opening,0,'General Calculations'!$E$28/1000)</f>
        <v>0.39177249999999991</v>
      </c>
      <c r="AK18" s="94">
        <f>IF(AK4&lt;opening,0,'General Calculations'!$E$28/1000)</f>
        <v>0.39177249999999991</v>
      </c>
      <c r="AL18" s="94">
        <f>IF(AL4&lt;opening,0,'General Calculations'!$E$28/1000)</f>
        <v>0.39177249999999991</v>
      </c>
      <c r="AM18" s="94">
        <f>IF(AM4&lt;opening,0,'General Calculations'!$E$28/1000)</f>
        <v>0.39177249999999991</v>
      </c>
      <c r="AN18" s="94">
        <f>IF(AN4&lt;opening,0,'General Calculations'!$E$28/1000)</f>
        <v>0.39177249999999991</v>
      </c>
      <c r="AO18" s="94">
        <f>IF(AO4&lt;opening,0,'General Calculations'!$E$28/1000)</f>
        <v>0.39177249999999991</v>
      </c>
      <c r="AP18" s="94">
        <f>IF(AP4&lt;opening,0,'General Calculations'!$E$28/1000)</f>
        <v>0.39177249999999991</v>
      </c>
      <c r="AQ18" s="94">
        <f>IF(AQ4&lt;opening,0,'General Calculations'!$E$28/1000)</f>
        <v>0.39177249999999991</v>
      </c>
      <c r="AR18" s="94">
        <f>IF(AR4&lt;opening,0,'General Calculations'!$E$28/1000)</f>
        <v>0.39177249999999991</v>
      </c>
      <c r="AS18" s="94">
        <f>IF(AS4&lt;opening,0,'General Calculations'!$E$28/1000)</f>
        <v>0.39177249999999991</v>
      </c>
      <c r="AT18" s="94">
        <f>IF(AT4&lt;opening,0,'General Calculations'!$E$28/1000)</f>
        <v>0.39177249999999991</v>
      </c>
      <c r="AU18" s="94">
        <f>IF(AU4&lt;opening,0,'General Calculations'!$E$28/1000)</f>
        <v>0.39177249999999991</v>
      </c>
      <c r="AV18" s="94">
        <f>IF(AV4&lt;opening,0,'General Calculations'!$E$28/1000)</f>
        <v>0.39177249999999991</v>
      </c>
      <c r="AW18" s="94">
        <f>IF(AW4&lt;opening,0,'General Calculations'!$E$28/1000)</f>
        <v>0.39177249999999991</v>
      </c>
      <c r="AX18" s="94">
        <f>IF(AX4&lt;opening,0,'General Calculations'!$E$28/1000)</f>
        <v>0.39177249999999991</v>
      </c>
      <c r="AY18" s="94">
        <f>IF(AY4&lt;opening,0,'General Calculations'!$E$28/1000)</f>
        <v>0.39177249999999991</v>
      </c>
      <c r="AZ18" s="94">
        <f>IF(AZ4&lt;opening,0,'General Calculations'!$E$28/1000)</f>
        <v>0.39177249999999991</v>
      </c>
      <c r="BA18" s="94">
        <f>IF(BA4&lt;opening,0,'General Calculations'!$E$28/1000)</f>
        <v>0.39177249999999991</v>
      </c>
      <c r="BB18" s="94">
        <f>IF(BB4&lt;opening,0,'General Calculations'!$E$28/1000)</f>
        <v>0.39177249999999991</v>
      </c>
      <c r="BC18" s="94">
        <f>IF(BC4&lt;opening,0,'General Calculations'!$E$28/1000)</f>
        <v>0.39177249999999991</v>
      </c>
      <c r="BD18" s="94">
        <f>IF(BD4&lt;opening,0,'General Calculations'!$E$28/1000)</f>
        <v>0.39177249999999991</v>
      </c>
      <c r="BE18" s="94">
        <f>IF(BE4&lt;opening,0,'General Calculations'!$E$28/1000)</f>
        <v>0.39177249999999991</v>
      </c>
      <c r="BF18" s="94">
        <f>IF(BF4&lt;opening,0,'General Calculations'!$E$28/1000)</f>
        <v>0.39177249999999991</v>
      </c>
      <c r="BG18" s="94">
        <f>IF(BG4&lt;opening,0,'General Calculations'!$E$28/1000)</f>
        <v>0.39177249999999991</v>
      </c>
      <c r="BH18" s="94">
        <f>IF(BH4&lt;opening,0,'General Calculations'!$E$28/1000)</f>
        <v>0.39177249999999991</v>
      </c>
      <c r="BI18" s="94">
        <f>IF(BI4&lt;opening,0,'General Calculations'!$E$28/1000)</f>
        <v>0.39177249999999991</v>
      </c>
      <c r="BJ18" s="94">
        <f>IF(BJ4&lt;opening,0,'General Calculations'!$E$28/1000)</f>
        <v>0.39177249999999991</v>
      </c>
      <c r="BK18" s="94">
        <f>IF(BK4&lt;opening,0,'General Calculations'!$E$28/1000)</f>
        <v>0.39177249999999991</v>
      </c>
      <c r="BL18" s="94">
        <f>IF(BL4&lt;opening,0,'General Calculations'!$E$28/1000)</f>
        <v>0.39177249999999991</v>
      </c>
      <c r="BM18" s="94">
        <f>IF(BM4&lt;opening,0,'General Calculations'!$E$28/1000)</f>
        <v>0.39177249999999991</v>
      </c>
      <c r="BN18" s="376">
        <f>IF(BN4&lt;opening,0,'General Calculations'!$E$28/1000)</f>
        <v>0.39177249999999991</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0.86360512353676278</v>
      </c>
      <c r="C19" s="42">
        <f>IFERROR(C$18*HLOOKUP(C$4,mecc2,2)/100*C$7*C$9*C$11*C$12,0)</f>
        <v>0</v>
      </c>
      <c r="D19" s="42">
        <f t="shared" ref="D19:AH19" si="19">IFERROR(D$18*HLOOKUP(D$4,mecc2,2)/100*D$7*D$9*D$11*D$12,0)</f>
        <v>0</v>
      </c>
      <c r="E19" s="42">
        <f t="shared" si="19"/>
        <v>0</v>
      </c>
      <c r="F19" s="42">
        <f t="shared" si="19"/>
        <v>0</v>
      </c>
      <c r="G19" s="42">
        <f t="shared" si="19"/>
        <v>4.3772501997971905E-2</v>
      </c>
      <c r="H19" s="42">
        <f t="shared" si="19"/>
        <v>4.3637451177560196E-2</v>
      </c>
      <c r="I19" s="42">
        <f t="shared" si="19"/>
        <v>4.3502817027963762E-2</v>
      </c>
      <c r="J19" s="42">
        <f t="shared" si="19"/>
        <v>4.3368598263632707E-2</v>
      </c>
      <c r="K19" s="42">
        <f t="shared" si="19"/>
        <v>4.3234793602983407E-2</v>
      </c>
      <c r="L19" s="42">
        <f t="shared" si="19"/>
        <v>4.3779758222914078E-2</v>
      </c>
      <c r="M19" s="42">
        <f t="shared" si="19"/>
        <v>4.4331591996418236E-2</v>
      </c>
      <c r="N19" s="42">
        <f t="shared" si="19"/>
        <v>4.4890381507595264E-2</v>
      </c>
      <c r="O19" s="42">
        <f t="shared" si="19"/>
        <v>4.545621443191715E-2</v>
      </c>
      <c r="P19" s="42">
        <f t="shared" si="19"/>
        <v>4.6029179549985109E-2</v>
      </c>
      <c r="Q19" s="42">
        <f t="shared" si="19"/>
        <v>4.5132506234698777E-2</v>
      </c>
      <c r="R19" s="42">
        <f t="shared" si="19"/>
        <v>4.4253300600613971E-2</v>
      </c>
      <c r="S19" s="42">
        <f t="shared" si="19"/>
        <v>4.3391222367852422E-2</v>
      </c>
      <c r="T19" s="42">
        <f t="shared" si="19"/>
        <v>4.2545937885371962E-2</v>
      </c>
      <c r="U19" s="42">
        <f t="shared" si="19"/>
        <v>4.1717120001833231E-2</v>
      </c>
      <c r="V19" s="42">
        <f t="shared" si="19"/>
        <v>4.1446534505176345E-2</v>
      </c>
      <c r="W19" s="42">
        <f t="shared" si="19"/>
        <v>4.1177704079602931E-2</v>
      </c>
      <c r="X19" s="42">
        <f t="shared" si="19"/>
        <v>4.0910617341374605E-2</v>
      </c>
      <c r="Y19" s="42">
        <f t="shared" si="19"/>
        <v>4.0645262980590131E-2</v>
      </c>
      <c r="Z19" s="42">
        <f t="shared" si="19"/>
        <v>4.0381629760706549E-2</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4.7385642110708117E-3</v>
      </c>
      <c r="C20" s="42">
        <f t="shared" ref="C20:AH20" si="22">IFERROR(C$18*HLOOKUP(C$4,mecc2,3)/100*C$7*C$9*C$11*C$12,0)</f>
        <v>0</v>
      </c>
      <c r="D20" s="42">
        <f t="shared" si="22"/>
        <v>0</v>
      </c>
      <c r="E20" s="42">
        <f t="shared" si="22"/>
        <v>0</v>
      </c>
      <c r="F20" s="42">
        <f t="shared" si="22"/>
        <v>0</v>
      </c>
      <c r="G20" s="42">
        <f t="shared" si="22"/>
        <v>2.6188324583805101E-4</v>
      </c>
      <c r="H20" s="42">
        <f t="shared" si="22"/>
        <v>2.5857657788877589E-4</v>
      </c>
      <c r="I20" s="42">
        <f t="shared" si="22"/>
        <v>2.5531166157157539E-4</v>
      </c>
      <c r="J20" s="42">
        <f t="shared" si="22"/>
        <v>2.5208796970960343E-4</v>
      </c>
      <c r="K20" s="42">
        <f t="shared" si="22"/>
        <v>2.489049817824104E-4</v>
      </c>
      <c r="L20" s="42">
        <f t="shared" si="22"/>
        <v>2.4930425411550668E-4</v>
      </c>
      <c r="M20" s="42">
        <f t="shared" si="22"/>
        <v>2.4970416692753132E-4</v>
      </c>
      <c r="N20" s="42">
        <f t="shared" si="22"/>
        <v>2.5010472124588638E-4</v>
      </c>
      <c r="O20" s="42">
        <f t="shared" si="22"/>
        <v>2.5050591809962198E-4</v>
      </c>
      <c r="P20" s="42">
        <f t="shared" si="22"/>
        <v>2.5090775851943924E-4</v>
      </c>
      <c r="Q20" s="42">
        <f t="shared" si="22"/>
        <v>2.4424112725443E-4</v>
      </c>
      <c r="R20" s="42">
        <f t="shared" si="22"/>
        <v>2.3775162870419159E-4</v>
      </c>
      <c r="S20" s="42">
        <f t="shared" si="22"/>
        <v>2.3143455644393537E-4</v>
      </c>
      <c r="T20" s="42">
        <f t="shared" si="22"/>
        <v>2.2528532909880662E-4</v>
      </c>
      <c r="U20" s="42">
        <f t="shared" si="22"/>
        <v>2.1929948702130228E-4</v>
      </c>
      <c r="V20" s="42">
        <f t="shared" si="22"/>
        <v>2.1636522098463567E-4</v>
      </c>
      <c r="W20" s="42">
        <f t="shared" si="22"/>
        <v>2.1347021594803279E-4</v>
      </c>
      <c r="X20" s="42">
        <f t="shared" si="22"/>
        <v>2.1061394659234865E-4</v>
      </c>
      <c r="Y20" s="42">
        <f t="shared" si="22"/>
        <v>2.0779589462730137E-4</v>
      </c>
      <c r="Z20" s="42">
        <f t="shared" si="22"/>
        <v>2.0501554869742502E-4</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0.14559651512558627</v>
      </c>
      <c r="C21" s="42">
        <f t="shared" ref="C21:AH21" si="24">IFERROR(C$18*HLOOKUP(C$4,mecc2,4)/100*C$7*C$9*C$11*C$12,0)</f>
        <v>0</v>
      </c>
      <c r="D21" s="42">
        <f t="shared" si="24"/>
        <v>0</v>
      </c>
      <c r="E21" s="42">
        <f t="shared" si="24"/>
        <v>0</v>
      </c>
      <c r="F21" s="42">
        <f t="shared" si="24"/>
        <v>0</v>
      </c>
      <c r="G21" s="42">
        <f t="shared" si="24"/>
        <v>7.9360771388666609E-3</v>
      </c>
      <c r="H21" s="42">
        <f t="shared" si="24"/>
        <v>7.8556163673928637E-3</v>
      </c>
      <c r="I21" s="42">
        <f t="shared" si="24"/>
        <v>7.7759713561029549E-3</v>
      </c>
      <c r="J21" s="42">
        <f t="shared" si="24"/>
        <v>7.6971338343245896E-3</v>
      </c>
      <c r="K21" s="42">
        <f t="shared" si="24"/>
        <v>7.6190956152385183E-3</v>
      </c>
      <c r="L21" s="42">
        <f t="shared" si="24"/>
        <v>7.6427582297235981E-3</v>
      </c>
      <c r="M21" s="42">
        <f t="shared" si="24"/>
        <v>7.6664943331570456E-3</v>
      </c>
      <c r="N21" s="42">
        <f t="shared" si="24"/>
        <v>7.6903041537733832E-3</v>
      </c>
      <c r="O21" s="42">
        <f t="shared" si="24"/>
        <v>7.7141879205159603E-3</v>
      </c>
      <c r="P21" s="42">
        <f t="shared" si="24"/>
        <v>7.7381458630391602E-3</v>
      </c>
      <c r="Q21" s="42">
        <f t="shared" si="24"/>
        <v>7.5325429536347395E-3</v>
      </c>
      <c r="R21" s="42">
        <f t="shared" si="24"/>
        <v>7.3324029234657015E-3</v>
      </c>
      <c r="S21" s="42">
        <f t="shared" si="24"/>
        <v>7.1375806235668563E-3</v>
      </c>
      <c r="T21" s="42">
        <f t="shared" si="24"/>
        <v>6.9479347615880255E-3</v>
      </c>
      <c r="U21" s="42">
        <f t="shared" si="24"/>
        <v>6.7633277993236129E-3</v>
      </c>
      <c r="V21" s="42">
        <f t="shared" si="24"/>
        <v>6.6772339183875469E-3</v>
      </c>
      <c r="W21" s="42">
        <f t="shared" si="24"/>
        <v>6.5922359707781741E-3</v>
      </c>
      <c r="X21" s="42">
        <f t="shared" si="24"/>
        <v>6.5083200057960569E-3</v>
      </c>
      <c r="Y21" s="42">
        <f t="shared" si="24"/>
        <v>6.4254722503273879E-3</v>
      </c>
      <c r="Z21" s="42">
        <f t="shared" si="24"/>
        <v>6.3436791065834188E-3</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1.9263879380502866E-2</v>
      </c>
      <c r="C22" s="42">
        <f t="shared" ref="C22:AH22" si="26">IFERROR(C$18*HLOOKUP(C$4,mecc2,5)/100*C$7*C$9*C$11*C$12,0)</f>
        <v>0</v>
      </c>
      <c r="D22" s="42">
        <f t="shared" si="26"/>
        <v>0</v>
      </c>
      <c r="E22" s="42">
        <f t="shared" si="26"/>
        <v>0</v>
      </c>
      <c r="F22" s="42">
        <f t="shared" si="26"/>
        <v>0</v>
      </c>
      <c r="G22" s="42">
        <f t="shared" si="26"/>
        <v>1.2944391694699917E-3</v>
      </c>
      <c r="H22" s="42">
        <f t="shared" si="26"/>
        <v>1.2028080399135322E-3</v>
      </c>
      <c r="I22" s="42">
        <f t="shared" si="26"/>
        <v>1.1176633209214488E-3</v>
      </c>
      <c r="J22" s="42">
        <f t="shared" si="26"/>
        <v>1.0385458506105118E-3</v>
      </c>
      <c r="K22" s="42">
        <f t="shared" si="26"/>
        <v>9.6502897037999461E-4</v>
      </c>
      <c r="L22" s="42">
        <f t="shared" si="26"/>
        <v>9.7111315275385125E-4</v>
      </c>
      <c r="M22" s="42">
        <f t="shared" si="26"/>
        <v>9.7723569384676684E-4</v>
      </c>
      <c r="N22" s="42">
        <f t="shared" si="26"/>
        <v>9.8339683549753519E-4</v>
      </c>
      <c r="O22" s="42">
        <f t="shared" si="26"/>
        <v>9.8959682106966184E-4</v>
      </c>
      <c r="P22" s="42">
        <f t="shared" si="26"/>
        <v>9.9583589546097841E-4</v>
      </c>
      <c r="Q22" s="42">
        <f t="shared" si="26"/>
        <v>9.6938453494528317E-4</v>
      </c>
      <c r="R22" s="42">
        <f t="shared" si="26"/>
        <v>9.4363577460329184E-4</v>
      </c>
      <c r="S22" s="42">
        <f t="shared" si="26"/>
        <v>9.1857095199214826E-4</v>
      </c>
      <c r="T22" s="42">
        <f t="shared" si="26"/>
        <v>8.9417190038019307E-4</v>
      </c>
      <c r="U22" s="42">
        <f t="shared" si="26"/>
        <v>8.7042093557990207E-4</v>
      </c>
      <c r="V22" s="42">
        <f t="shared" si="26"/>
        <v>8.554085995786788E-4</v>
      </c>
      <c r="W22" s="42">
        <f t="shared" si="26"/>
        <v>8.4065518454661079E-4</v>
      </c>
      <c r="X22" s="42">
        <f t="shared" si="26"/>
        <v>8.2615622481837766E-4</v>
      </c>
      <c r="Y22" s="42">
        <f t="shared" si="26"/>
        <v>8.1190733174894261E-4</v>
      </c>
      <c r="Z22" s="42">
        <f t="shared" si="26"/>
        <v>7.9790419238516866E-4</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9.7064343417057504E-3</v>
      </c>
      <c r="C23" s="42">
        <f t="shared" ref="C23:AH23" si="28">IFERROR(C$18*HLOOKUP(C$4,mecc2,6)/100*C$7*C$9*C$11*C$12,0)</f>
        <v>0</v>
      </c>
      <c r="D23" s="42">
        <f t="shared" si="28"/>
        <v>0</v>
      </c>
      <c r="E23" s="42">
        <f t="shared" si="28"/>
        <v>0</v>
      </c>
      <c r="F23" s="42">
        <f t="shared" si="28"/>
        <v>0</v>
      </c>
      <c r="G23" s="42">
        <f t="shared" si="28"/>
        <v>5.2907180925777732E-4</v>
      </c>
      <c r="H23" s="42">
        <f t="shared" si="28"/>
        <v>5.237077578261909E-4</v>
      </c>
      <c r="I23" s="42">
        <f t="shared" si="28"/>
        <v>5.1839809040686363E-4</v>
      </c>
      <c r="J23" s="42">
        <f t="shared" si="28"/>
        <v>5.1314225562163927E-4</v>
      </c>
      <c r="K23" s="42">
        <f t="shared" si="28"/>
        <v>5.0793970768256782E-4</v>
      </c>
      <c r="L23" s="42">
        <f t="shared" si="28"/>
        <v>5.0951721531490644E-4</v>
      </c>
      <c r="M23" s="42">
        <f t="shared" si="28"/>
        <v>5.1109962221046977E-4</v>
      </c>
      <c r="N23" s="42">
        <f t="shared" si="28"/>
        <v>5.1268694358489223E-4</v>
      </c>
      <c r="O23" s="42">
        <f t="shared" si="28"/>
        <v>5.1427919470106395E-4</v>
      </c>
      <c r="P23" s="42">
        <f t="shared" si="28"/>
        <v>5.1587639086927723E-4</v>
      </c>
      <c r="Q23" s="42">
        <f t="shared" si="28"/>
        <v>5.0216953024231588E-4</v>
      </c>
      <c r="R23" s="42">
        <f t="shared" si="28"/>
        <v>4.8882686156437999E-4</v>
      </c>
      <c r="S23" s="42">
        <f t="shared" si="28"/>
        <v>4.7583870823779032E-4</v>
      </c>
      <c r="T23" s="42">
        <f t="shared" si="28"/>
        <v>4.6319565077253489E-4</v>
      </c>
      <c r="U23" s="42">
        <f t="shared" si="28"/>
        <v>4.5088851995490745E-4</v>
      </c>
      <c r="V23" s="42">
        <f t="shared" si="28"/>
        <v>4.451489278925032E-4</v>
      </c>
      <c r="W23" s="42">
        <f t="shared" si="28"/>
        <v>4.3948239805187845E-4</v>
      </c>
      <c r="X23" s="42">
        <f t="shared" si="28"/>
        <v>4.3388800038640407E-4</v>
      </c>
      <c r="Y23" s="42">
        <f t="shared" si="28"/>
        <v>4.2836481668849285E-4</v>
      </c>
      <c r="Z23" s="42">
        <f t="shared" si="28"/>
        <v>4.2291194043889483E-4</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6.0893874392888722E-2</v>
      </c>
      <c r="C24" s="42">
        <f t="shared" ref="C24:AH24" si="30">IFERROR(C$18*HLOOKUP(C$4,mecc2,7)/100*C$7*C$9*C$11*C$12,0)</f>
        <v>0</v>
      </c>
      <c r="D24" s="42">
        <f t="shared" si="30"/>
        <v>0</v>
      </c>
      <c r="E24" s="42">
        <f t="shared" si="30"/>
        <v>0</v>
      </c>
      <c r="F24" s="42">
        <f t="shared" si="30"/>
        <v>0</v>
      </c>
      <c r="G24" s="42">
        <f t="shared" si="30"/>
        <v>4.6499316683948676E-3</v>
      </c>
      <c r="H24" s="42">
        <f t="shared" si="30"/>
        <v>3.5311448173213794E-3</v>
      </c>
      <c r="I24" s="42">
        <f t="shared" si="30"/>
        <v>2.6815412806270047E-3</v>
      </c>
      <c r="J24" s="42">
        <f t="shared" si="30"/>
        <v>2.0363547834215817E-3</v>
      </c>
      <c r="K24" s="42">
        <f t="shared" si="30"/>
        <v>1.5464020016855203E-3</v>
      </c>
      <c r="L24" s="42">
        <f t="shared" si="30"/>
        <v>1.8529109897056312E-3</v>
      </c>
      <c r="M24" s="42">
        <f t="shared" si="30"/>
        <v>2.2201724597030771E-3</v>
      </c>
      <c r="N24" s="42">
        <f t="shared" si="30"/>
        <v>2.6602280294139211E-3</v>
      </c>
      <c r="O24" s="42">
        <f t="shared" si="30"/>
        <v>3.1875060595184198E-3</v>
      </c>
      <c r="P24" s="42">
        <f t="shared" si="30"/>
        <v>3.8192947247853242E-3</v>
      </c>
      <c r="Q24" s="42">
        <f t="shared" si="30"/>
        <v>3.7178923447977793E-3</v>
      </c>
      <c r="R24" s="42">
        <f t="shared" si="30"/>
        <v>3.6191822007878376E-3</v>
      </c>
      <c r="S24" s="42">
        <f t="shared" si="30"/>
        <v>3.5230928138162486E-3</v>
      </c>
      <c r="T24" s="42">
        <f t="shared" si="30"/>
        <v>3.4295546027115617E-3</v>
      </c>
      <c r="U24" s="42">
        <f t="shared" si="30"/>
        <v>3.3384998336843459E-3</v>
      </c>
      <c r="V24" s="42">
        <f t="shared" si="30"/>
        <v>3.2260901198052742E-3</v>
      </c>
      <c r="W24" s="42">
        <f t="shared" si="30"/>
        <v>3.1174653226264757E-3</v>
      </c>
      <c r="X24" s="42">
        <f t="shared" si="30"/>
        <v>3.0124980012539797E-3</v>
      </c>
      <c r="Y24" s="42">
        <f t="shared" si="30"/>
        <v>2.9110650058212601E-3</v>
      </c>
      <c r="Z24" s="42">
        <f t="shared" si="30"/>
        <v>2.8130473330072372E-3</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-7.0239493266397446E-2</v>
      </c>
      <c r="C25" s="532">
        <f t="shared" ref="C25:AH25" si="32">IFERROR(C$18*HLOOKUP(C$4,mecc2,8)/100*C$7*C$9*C$11*C$12,0)</f>
        <v>0</v>
      </c>
      <c r="D25" s="532">
        <f t="shared" si="32"/>
        <v>0</v>
      </c>
      <c r="E25" s="532">
        <f t="shared" si="32"/>
        <v>0</v>
      </c>
      <c r="F25" s="532">
        <f t="shared" si="32"/>
        <v>0</v>
      </c>
      <c r="G25" s="532">
        <f t="shared" si="32"/>
        <v>-7.2248194002927516E-3</v>
      </c>
      <c r="H25" s="532">
        <f t="shared" si="32"/>
        <v>-6.6171027767061661E-3</v>
      </c>
      <c r="I25" s="532">
        <f t="shared" si="32"/>
        <v>-6.0605043159581559E-3</v>
      </c>
      <c r="J25" s="532">
        <f t="shared" si="32"/>
        <v>-5.550724207132627E-3</v>
      </c>
      <c r="K25" s="532">
        <f t="shared" si="32"/>
        <v>-5.0838243184679627E-3</v>
      </c>
      <c r="L25" s="532">
        <f t="shared" si="32"/>
        <v>-4.4678246444570906E-3</v>
      </c>
      <c r="M25" s="532">
        <f t="shared" si="32"/>
        <v>-3.926464764154875E-3</v>
      </c>
      <c r="N25" s="532">
        <f t="shared" si="32"/>
        <v>-3.4507006812088568E-3</v>
      </c>
      <c r="O25" s="532">
        <f t="shared" si="32"/>
        <v>-3.0325842472848918E-3</v>
      </c>
      <c r="P25" s="532">
        <f t="shared" si="32"/>
        <v>-2.6651303797403597E-3</v>
      </c>
      <c r="Q25" s="532">
        <f t="shared" si="32"/>
        <v>-2.5943882412159062E-3</v>
      </c>
      <c r="R25" s="532">
        <f t="shared" si="32"/>
        <v>-2.5255238532889677E-3</v>
      </c>
      <c r="S25" s="532">
        <f t="shared" si="32"/>
        <v>-2.4584873737102148E-3</v>
      </c>
      <c r="T25" s="532">
        <f t="shared" si="32"/>
        <v>-2.3932302832227418E-3</v>
      </c>
      <c r="U25" s="532">
        <f t="shared" si="32"/>
        <v>-2.3297053504450983E-3</v>
      </c>
      <c r="V25" s="532">
        <f t="shared" si="32"/>
        <v>-2.2013162440178988E-3</v>
      </c>
      <c r="W25" s="532">
        <f t="shared" si="32"/>
        <v>-2.0800026085922253E-3</v>
      </c>
      <c r="X25" s="532">
        <f t="shared" si="32"/>
        <v>-1.9653745178629073E-3</v>
      </c>
      <c r="Y25" s="532">
        <f t="shared" si="32"/>
        <v>-1.8570635342035368E-3</v>
      </c>
      <c r="Z25" s="532">
        <f t="shared" si="32"/>
        <v>-1.7547215244341999E-3</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1.9803476953373975</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0.110749832069078</v>
      </c>
      <c r="H29" s="42">
        <f>IF(H4&lt;opening,0,1)*Absenteeism!$D$23*H7*H9*H11*H12*H10/1000</f>
        <v>0.1094243117359807</v>
      </c>
      <c r="I29" s="42">
        <f>IF(I4&lt;opening,0,1)*Absenteeism!$D$23*I7*I9*I11*I12*I10/1000</f>
        <v>0.10811465602426143</v>
      </c>
      <c r="J29" s="42">
        <f>IF(J4&lt;opening,0,1)*Absenteeism!$D$23*J7*J9*J11*J12*J10/1000</f>
        <v>0.10682067505662808</v>
      </c>
      <c r="K29" s="42">
        <f>IF(K4&lt;opening,0,1)*Absenteeism!$D$23*K7*K9*K11*K12*K10/1000</f>
        <v>0.1055421812283537</v>
      </c>
      <c r="L29" s="42">
        <f>IF(L4&lt;opening,0,1)*Absenteeism!$D$23*L7*L9*L11*L12*L10/1000</f>
        <v>0.10427898918007711</v>
      </c>
      <c r="M29" s="42">
        <f>IF(M4&lt;opening,0,1)*Absenteeism!$D$23*M7*M9*M11*M12*M10/1000</f>
        <v>0.10303091577092911</v>
      </c>
      <c r="N29" s="42">
        <f>IF(N4&lt;opening,0,1)*Absenteeism!$D$23*N7*N9*N11*N12*N10/1000</f>
        <v>0.10179778005197997</v>
      </c>
      <c r="O29" s="42">
        <f>IF(O4&lt;opening,0,1)*Absenteeism!$D$23*O7*O9*O11*O12*O10/1000</f>
        <v>0.10057940324000515</v>
      </c>
      <c r="P29" s="42">
        <f>IF(P4&lt;opening,0,1)*Absenteeism!$D$23*P7*P9*P11*P12*P10/1000</f>
        <v>9.9375608691565004E-2</v>
      </c>
      <c r="Q29" s="42">
        <f>IF(Q4&lt;opening,0,1)*Absenteeism!$D$23*Q7*Q9*Q11*Q12*Q10/1000</f>
        <v>9.8186221877394217E-2</v>
      </c>
      <c r="R29" s="42">
        <f>IF(R4&lt;opening,0,1)*Absenteeism!$D$23*R7*R9*R11*R12*R10/1000</f>
        <v>9.701107035709837E-2</v>
      </c>
      <c r="S29" s="42">
        <f>IF(S4&lt;opening,0,1)*Absenteeism!$D$23*S7*S9*S11*S12*S10/1000</f>
        <v>9.5849983754152934E-2</v>
      </c>
      <c r="T29" s="42">
        <f>IF(T4&lt;opening,0,1)*Absenteeism!$D$23*T7*T9*T11*T12*T10/1000</f>
        <v>9.4702793731201607E-2</v>
      </c>
      <c r="U29" s="42">
        <f>IF(U4&lt;opening,0,1)*Absenteeism!$D$23*U7*U9*U11*U12*U10/1000</f>
        <v>9.3569333965650675E-2</v>
      </c>
      <c r="V29" s="42">
        <f>IF(V4&lt;opening,0,1)*Absenteeism!$D$23*V7*V9*V11*V12*V10/1000</f>
        <v>9.2449440125554561E-2</v>
      </c>
      <c r="W29" s="42">
        <f>IF(W4&lt;opening,0,1)*Absenteeism!$D$23*W7*W9*W11*W12*W10/1000</f>
        <v>9.1342949845790972E-2</v>
      </c>
      <c r="X29" s="42">
        <f>IF(X4&lt;opening,0,1)*Absenteeism!$D$23*X7*X9*X11*X12*X10/1000</f>
        <v>9.0249702704520721E-2</v>
      </c>
      <c r="Y29" s="42">
        <f>IF(Y4&lt;opening,0,1)*Absenteeism!$D$23*Y7*Y9*Y11*Y12*Y10/1000</f>
        <v>8.9169540199929162E-2</v>
      </c>
      <c r="Z29" s="42">
        <f>IF(Z4&lt;opening,0,1)*Absenteeism!$D$23*Z7*Z9*Z11*Z12*Z10/1000</f>
        <v>8.8102305727246449E-2</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10.700015044761249</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0.12836590207793799</v>
      </c>
      <c r="H30" s="532">
        <f t="shared" si="34"/>
        <v>0.25483477112024144</v>
      </c>
      <c r="I30" s="532">
        <f t="shared" si="34"/>
        <v>0.37942763335513791</v>
      </c>
      <c r="J30" s="532">
        <f t="shared" si="34"/>
        <v>0.50216530785589686</v>
      </c>
      <c r="K30" s="532">
        <f t="shared" si="34"/>
        <v>0.62306840845420719</v>
      </c>
      <c r="L30" s="532">
        <f t="shared" si="34"/>
        <v>0.61846445469715638</v>
      </c>
      <c r="M30" s="532">
        <f t="shared" si="34"/>
        <v>0.61389452030284264</v>
      </c>
      <c r="N30" s="532">
        <f t="shared" si="34"/>
        <v>0.60935835389666426</v>
      </c>
      <c r="O30" s="532">
        <f t="shared" si="34"/>
        <v>0.60485570596146732</v>
      </c>
      <c r="P30" s="532">
        <f t="shared" si="34"/>
        <v>0.60038632882382104</v>
      </c>
      <c r="Q30" s="532">
        <f t="shared" si="34"/>
        <v>0.59594997664039384</v>
      </c>
      <c r="R30" s="532">
        <f t="shared" si="34"/>
        <v>0.59154640538443048</v>
      </c>
      <c r="S30" s="532">
        <f t="shared" si="34"/>
        <v>0.58717537283232901</v>
      </c>
      <c r="T30" s="532">
        <f>IF(T4&lt;opening,0,1)*T8*T9*T11*T12*T13*(VoL*YLLsC + VoL*YLLsP)/1000</f>
        <v>0.58283663855031664</v>
      </c>
      <c r="U30" s="532">
        <f t="shared" si="34"/>
        <v>0.57852996388122591</v>
      </c>
      <c r="V30" s="532">
        <f t="shared" si="34"/>
        <v>0.5742551119313648</v>
      </c>
      <c r="W30" s="532">
        <f t="shared" si="34"/>
        <v>0.57001184755748757</v>
      </c>
      <c r="X30" s="532">
        <f t="shared" si="34"/>
        <v>0.56579993735386092</v>
      </c>
      <c r="Y30" s="532">
        <f t="shared" si="34"/>
        <v>0.56161914963942383</v>
      </c>
      <c r="Z30" s="532">
        <f t="shared" si="34"/>
        <v>0.55746925444504392</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7.5324297203519999</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0.42124689950417438</v>
      </c>
      <c r="H33" s="42">
        <f>IF(H4&lt;opening,0,'Journey Ambience'!$E$46)*H7*H9*H10*H11/1000</f>
        <v>0.41620516426977061</v>
      </c>
      <c r="I33" s="42">
        <f>IF(I4&lt;opening,0,'Journey Ambience'!$E$46)*I7*I9*I10*I11/1000</f>
        <v>0.41122377154282203</v>
      </c>
      <c r="J33" s="42">
        <f>IF(J4&lt;opening,0,'Journey Ambience'!$E$46)*J7*J9*J10*J11/1000</f>
        <v>0.40630199910805237</v>
      </c>
      <c r="K33" s="42">
        <f>IF(K4&lt;opening,0,'Journey Ambience'!$E$46)*K7*K9*K10*K11/1000</f>
        <v>0.40143913339408993</v>
      </c>
      <c r="L33" s="42">
        <f>IF(L4&lt;opening,0,'Journey Ambience'!$E$46)*L7*L9*L10*L11/1000</f>
        <v>0.39663446937001329</v>
      </c>
      <c r="M33" s="42">
        <f>IF(M4&lt;opening,0,'Journey Ambience'!$E$46)*M7*M9*M10*M11/1000</f>
        <v>0.39188731044313313</v>
      </c>
      <c r="N33" s="42">
        <f>IF(N4&lt;opening,0,'Journey Ambience'!$E$46)*N7*N9*N10*N11/1000</f>
        <v>0.38719696835799855</v>
      </c>
      <c r="O33" s="42">
        <f>IF(O4&lt;opening,0,'Journey Ambience'!$E$46)*O7*O9*O10*O11/1000</f>
        <v>0.38256276309661236</v>
      </c>
      <c r="P33" s="42">
        <f>IF(P4&lt;opening,0,'Journey Ambience'!$E$46)*P7*P9*P10*P11/1000</f>
        <v>0.37798402277984011</v>
      </c>
      <c r="Q33" s="42">
        <f>IF(Q4&lt;opening,0,'Journey Ambience'!$E$46)*Q7*Q9*Q10*Q11/1000</f>
        <v>0.37346008356999927</v>
      </c>
      <c r="R33" s="42">
        <f>IF(R4&lt;opening,0,'Journey Ambience'!$E$46)*R7*R9*R10*R11/1000</f>
        <v>0.36899028957461438</v>
      </c>
      <c r="S33" s="42">
        <f>IF(S4&lt;opening,0,'Journey Ambience'!$E$46)*S7*S9*S10*S11/1000</f>
        <v>0.36457399275132413</v>
      </c>
      <c r="T33" s="42">
        <f>IF(T4&lt;opening,0,'Journey Ambience'!$E$46)*T7*T9*T10*T11/1000</f>
        <v>0.36021055281392589</v>
      </c>
      <c r="U33" s="42">
        <f>IF(U4&lt;opening,0,'Journey Ambience'!$E$46)*U7*U9*U10*U11/1000</f>
        <v>0.3558993371395468</v>
      </c>
      <c r="V33" s="42">
        <f>IF(V4&lt;opening,0,'Journey Ambience'!$E$46)*V7*V9*V10*V11/1000</f>
        <v>0.35163972067692262</v>
      </c>
      <c r="W33" s="42">
        <f>IF(W4&lt;opening,0,'Journey Ambience'!$E$46)*W7*W9*W10*W11/1000</f>
        <v>0.34743108585577726</v>
      </c>
      <c r="X33" s="42">
        <f>IF(X4&lt;opening,0,'Journey Ambience'!$E$46)*X7*X9*X10*X11/1000</f>
        <v>0.34327282249728608</v>
      </c>
      <c r="Y33" s="42">
        <f>IF(Y4&lt;opening,0,'Journey Ambience'!$E$46)*Y7*Y9*Y10*Y11/1000</f>
        <v>0.33916432772560962</v>
      </c>
      <c r="Z33" s="42">
        <f>IF(Z4&lt;opening,0,'Journey Ambience'!$E$46)*Z7*Z9*Z10*Z11/1000</f>
        <v>0.33510500588048792</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1.2008720303062814</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6.7158093503481689E-2</v>
      </c>
      <c r="H34" s="532">
        <f>IF(H4&lt;opening,0,'Journey Ambience'!$E$45)*H7*H9*H10*H11*H12/1000</f>
        <v>6.6354305210462983E-2</v>
      </c>
      <c r="I34" s="532">
        <f>IF(I4&lt;opening,0,'Journey Ambience'!$E$45)*I7*I9*I10*I11*I12/1000</f>
        <v>6.5560137137231467E-2</v>
      </c>
      <c r="J34" s="532">
        <f>IF(J4&lt;opening,0,'Journey Ambience'!$E$45)*J7*J9*J10*J11*J12/1000</f>
        <v>6.4775474143233938E-2</v>
      </c>
      <c r="K34" s="532">
        <f>IF(K4&lt;opening,0,'Journey Ambience'!$E$45)*K7*K9*K10*K11*K12/1000</f>
        <v>6.4000202465988212E-2</v>
      </c>
      <c r="L34" s="532">
        <f>IF(L4&lt;opening,0,'Journey Ambience'!$E$45)*L7*L9*L10*L11*L12/1000</f>
        <v>6.3234209704589719E-2</v>
      </c>
      <c r="M34" s="532">
        <f>IF(M4&lt;opening,0,'Journey Ambience'!$E$45)*M7*M9*M10*M11*M12/1000</f>
        <v>6.2477384803415241E-2</v>
      </c>
      <c r="N34" s="532">
        <f>IF(N4&lt;opening,0,'Journey Ambience'!$E$45)*N7*N9*N10*N11*N12/1000</f>
        <v>6.1729618036021713E-2</v>
      </c>
      <c r="O34" s="532">
        <f>IF(O4&lt;opening,0,'Journey Ambience'!$E$45)*O7*O9*O10*O11*O12/1000</f>
        <v>6.0990800989237919E-2</v>
      </c>
      <c r="P34" s="532">
        <f>IF(P4&lt;opening,0,'Journey Ambience'!$E$45)*P7*P9*P10*P11*P12/1000</f>
        <v>6.0260826547446432E-2</v>
      </c>
      <c r="Q34" s="532">
        <f>IF(Q4&lt;opening,0,'Journey Ambience'!$E$45)*Q7*Q9*Q10*Q11*Q12/1000</f>
        <v>5.9539588877053698E-2</v>
      </c>
      <c r="R34" s="532">
        <f>IF(R4&lt;opening,0,'Journey Ambience'!$E$45)*R7*R9*R10*R11*R12/1000</f>
        <v>5.8826983411145964E-2</v>
      </c>
      <c r="S34" s="532">
        <f>IF(S4&lt;opening,0,'Journey Ambience'!$E$45)*S7*S9*S10*S11*S12/1000</f>
        <v>5.8122906834329011E-2</v>
      </c>
      <c r="T34" s="532">
        <f>IF(T4&lt;opening,0,'Journey Ambience'!$E$45)*T7*T9*T10*T11*T12/1000</f>
        <v>5.7427257067749038E-2</v>
      </c>
      <c r="U34" s="532">
        <f>IF(U4&lt;opening,0,'Journey Ambience'!$E$45)*U7*U9*U10*U11*U12/1000</f>
        <v>5.6739933254293266E-2</v>
      </c>
      <c r="V34" s="532">
        <f>IF(V4&lt;opening,0,'Journey Ambience'!$E$45)*V7*V9*V10*V11*V12/1000</f>
        <v>5.6060835743967141E-2</v>
      </c>
      <c r="W34" s="532">
        <f>IF(W4&lt;opening,0,'Journey Ambience'!$E$45)*W7*W9*W10*W11*W12/1000</f>
        <v>5.5389866079446938E-2</v>
      </c>
      <c r="X34" s="532">
        <f>IF(X4&lt;opening,0,'Journey Ambience'!$E$45)*X7*X9*X10*X11*X12/1000</f>
        <v>5.4726926981805257E-2</v>
      </c>
      <c r="Y34" s="532">
        <f>IF(Y4&lt;opening,0,'Journey Ambience'!$E$45)*Y7*Y9*Y10*Y11*Y12/1000</f>
        <v>5.4071922336407084E-2</v>
      </c>
      <c r="Z34" s="532">
        <f>IF(Z4&lt;opening,0,'Journey Ambience'!$E$45)*Z7*Z9*Z10*Z11*Z12/1000</f>
        <v>5.342475717897497E-2</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1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80" t="s">
        <v>16702</v>
      </c>
      <c r="C4" s="681"/>
      <c r="D4" s="681"/>
      <c r="E4" s="192">
        <f>Discounting!B19</f>
        <v>0.86360512353676278</v>
      </c>
      <c r="F4" s="41"/>
      <c r="G4" s="104"/>
      <c r="H4" s="435" t="s">
        <v>16711</v>
      </c>
      <c r="I4" s="192">
        <f>SUM(E4:E9,E14)</f>
        <v>1.0335648977221197</v>
      </c>
      <c r="J4" s="436">
        <f>IFERROR(I4/SUM($I$4:$I$6),0)</f>
        <v>4.6044207943657975E-2</v>
      </c>
      <c r="K4" s="41"/>
      <c r="L4" s="41"/>
      <c r="M4" s="41"/>
      <c r="N4" s="41"/>
      <c r="O4" s="41"/>
    </row>
    <row r="5" spans="1:15">
      <c r="A5" s="41"/>
      <c r="B5" s="674" t="s">
        <v>16712</v>
      </c>
      <c r="C5" s="675"/>
      <c r="D5" s="675"/>
      <c r="E5" s="124">
        <f>Discounting!B20</f>
        <v>4.7385642110708117E-3</v>
      </c>
      <c r="F5" s="41"/>
      <c r="G5" s="104"/>
      <c r="H5" s="107" t="s">
        <v>16713</v>
      </c>
      <c r="I5" s="124">
        <f>E10+E11</f>
        <v>12.680362740098648</v>
      </c>
      <c r="J5" s="430">
        <f>IFERROR(I5/SUM($I$4:$I$6),0)</f>
        <v>0.56489656343097705</v>
      </c>
      <c r="K5" s="41"/>
      <c r="L5" s="41"/>
      <c r="M5" s="41"/>
      <c r="N5" s="41"/>
      <c r="O5" s="41"/>
    </row>
    <row r="6" spans="1:15">
      <c r="A6" s="41"/>
      <c r="B6" s="674" t="s">
        <v>16441</v>
      </c>
      <c r="C6" s="675"/>
      <c r="D6" s="675"/>
      <c r="E6" s="124">
        <f>Discounting!B21</f>
        <v>0.14559651512558627</v>
      </c>
      <c r="F6" s="41"/>
      <c r="G6" s="104"/>
      <c r="H6" s="107" t="s">
        <v>16714</v>
      </c>
      <c r="I6" s="124">
        <f>E12</f>
        <v>8.7333017506582813</v>
      </c>
      <c r="J6" s="430">
        <f>IFERROR(I6/SUM($I$4:$I$6),0)</f>
        <v>0.38905922862536496</v>
      </c>
      <c r="K6" s="41"/>
      <c r="L6" s="41"/>
      <c r="M6" s="41"/>
      <c r="N6" s="41"/>
      <c r="O6" s="41"/>
    </row>
    <row r="7" spans="1:15">
      <c r="A7" s="41"/>
      <c r="B7" s="674" t="s">
        <v>16715</v>
      </c>
      <c r="C7" s="675"/>
      <c r="D7" s="675"/>
      <c r="E7" s="124">
        <f>Discounting!B22</f>
        <v>1.9263879380502866E-2</v>
      </c>
      <c r="F7" s="41"/>
      <c r="G7" s="104"/>
      <c r="H7" s="41"/>
      <c r="I7" s="41"/>
      <c r="J7" s="413"/>
      <c r="K7" s="41"/>
      <c r="L7" s="41"/>
      <c r="M7" s="41"/>
      <c r="N7" s="41"/>
      <c r="O7" s="41"/>
    </row>
    <row r="8" spans="1:15">
      <c r="A8" s="41"/>
      <c r="B8" s="674" t="s">
        <v>16443</v>
      </c>
      <c r="C8" s="675"/>
      <c r="D8" s="675"/>
      <c r="E8" s="124">
        <f>Discounting!B23</f>
        <v>9.7064343417057504E-3</v>
      </c>
      <c r="F8" s="41"/>
      <c r="G8" s="104"/>
      <c r="H8" s="41"/>
      <c r="I8" s="41"/>
      <c r="J8" s="413"/>
      <c r="K8" s="41"/>
      <c r="L8" s="41"/>
      <c r="M8" s="41"/>
      <c r="N8" s="41"/>
      <c r="O8" s="41"/>
    </row>
    <row r="9" spans="1:15">
      <c r="A9" s="41"/>
      <c r="B9" s="674" t="s">
        <v>16716</v>
      </c>
      <c r="C9" s="675"/>
      <c r="D9" s="675"/>
      <c r="E9" s="124">
        <f>Discounting!B24</f>
        <v>6.0893874392888722E-2</v>
      </c>
      <c r="F9" s="41"/>
      <c r="G9" s="104"/>
      <c r="H9" s="41"/>
      <c r="I9" s="41"/>
      <c r="J9" s="413"/>
      <c r="K9" s="41"/>
      <c r="L9" s="41"/>
      <c r="M9" s="41"/>
      <c r="N9" s="41"/>
      <c r="O9" s="41"/>
    </row>
    <row r="10" spans="1:15">
      <c r="A10" s="41"/>
      <c r="B10" s="678" t="s">
        <v>16704</v>
      </c>
      <c r="C10" s="679"/>
      <c r="D10" s="679"/>
      <c r="E10" s="124">
        <f>Discounting!B30</f>
        <v>10.700015044761249</v>
      </c>
      <c r="F10" s="41"/>
      <c r="G10" s="104"/>
      <c r="H10" s="41"/>
      <c r="I10" s="41"/>
      <c r="J10" s="413"/>
      <c r="K10" s="41"/>
      <c r="L10" s="41"/>
      <c r="M10" s="41"/>
      <c r="N10" s="41"/>
      <c r="O10" s="41"/>
    </row>
    <row r="11" spans="1:15">
      <c r="A11" s="41"/>
      <c r="B11" s="678" t="s">
        <v>75</v>
      </c>
      <c r="C11" s="679"/>
      <c r="D11" s="679"/>
      <c r="E11" s="124">
        <f>_xlfn.IFNA(Discounting!B29, 0)</f>
        <v>1.9803476953373975</v>
      </c>
      <c r="F11" s="41"/>
      <c r="G11" s="104"/>
      <c r="H11" s="41"/>
      <c r="I11" s="41"/>
      <c r="J11" s="413"/>
      <c r="K11" s="41"/>
      <c r="L11" s="41"/>
      <c r="M11" s="41"/>
      <c r="N11" s="41"/>
      <c r="O11" s="41"/>
    </row>
    <row r="12" spans="1:15">
      <c r="A12" s="41"/>
      <c r="B12" s="678" t="s">
        <v>16423</v>
      </c>
      <c r="C12" s="679"/>
      <c r="D12" s="679"/>
      <c r="E12" s="124">
        <f>IFERROR(Discounting!B33+Discounting!B34,0)</f>
        <v>8.7333017506582813</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-7.0239493266397446E-2</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22.442490824267974</v>
      </c>
      <c r="F19" s="41"/>
      <c r="G19" s="104"/>
      <c r="H19" s="41"/>
      <c r="I19" s="41"/>
      <c r="J19" s="413"/>
      <c r="K19" s="41"/>
      <c r="L19" s="41"/>
      <c r="M19" s="41"/>
      <c r="N19" s="41"/>
      <c r="O19" s="41"/>
    </row>
    <row r="20" spans="1:15">
      <c r="A20" s="41"/>
      <c r="B20" s="674" t="s">
        <v>16719</v>
      </c>
      <c r="C20" s="675"/>
      <c r="D20" s="675"/>
      <c r="E20" s="124">
        <f>IFERROR((E15+E16)-E5,0)</f>
        <v>-4.7385642110708117E-3</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6" t="s">
        <v>16720</v>
      </c>
      <c r="C22" s="677"/>
      <c r="D22" s="677"/>
      <c r="E22" s="433">
        <f>IFERROR(E19/E20, 0)</f>
        <v>-4736.1373244315419</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2023-01-16T16:18:24Z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