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tient" sheetId="1" state="visible" r:id="rId2"/>
    <sheet name="Blood Chemistry" sheetId="2" state="visible" r:id="rId3"/>
    <sheet name="Cardiovascular" sheetId="3" state="visible" r:id="rId4"/>
    <sheet name="Endocrine" sheetId="4" state="visible" r:id="rId5"/>
    <sheet name="Energy" sheetId="5" state="visible" r:id="rId6"/>
    <sheet name="Gastrointestinal" sheetId="6" state="visible" r:id="rId7"/>
    <sheet name="Nervous" sheetId="7" state="visible" r:id="rId8"/>
    <sheet name="Renal" sheetId="8" state="visible" r:id="rId9"/>
    <sheet name="Respiratory" sheetId="9" state="visible" r:id="rId10"/>
    <sheet name="Tissue"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<sst xmlns="http://schemas.openxmlformats.org/spreadsheetml/2006/main" count="4311" uniqueCount="1130">
  <si>
    <t xml:space="preserve">Patient Inputs</t>
  </si>
  <si>
    <t xml:space="preserve">Units</t>
  </si>
  <si>
    <t xml:space="preserve">Value</t>
  </si>
  <si>
    <t xml:space="preserve">References</t>
  </si>
  <si>
    <t xml:space="preserve">Gender</t>
  </si>
  <si>
    <t xml:space="preserve">Male</t>
  </si>
  <si>
    <t xml:space="preserve">Height</t>
  </si>
  <si>
    <t xml:space="preserve">cm</t>
  </si>
  <si>
    <t xml:space="preserve">Weight</t>
  </si>
  <si>
    <t xml:space="preserve">kg</t>
  </si>
  <si>
    <t xml:space="preserve">TotalBodySurfaceArea</t>
  </si>
  <si>
    <t xml:space="preserve">m2</t>
  </si>
  <si>
    <t xml:space="preserve">PMID 3657876.</t>
  </si>
  <si>
    <t xml:space="preserve">CardiacOutput</t>
  </si>
  <si>
    <t xml:space="preserve">mL/min</t>
  </si>
  <si>
    <t xml:space="preserve">guyton2006medical</t>
  </si>
  <si>
    <t xml:space="preserve">BloodVolume</t>
  </si>
  <si>
    <t xml:space="preserve">mL</t>
  </si>
  <si>
    <t xml:space="preserve">CardiacIndex</t>
  </si>
  <si>
    <t xml:space="preserve">mL/min/m2</t>
  </si>
  <si>
    <t xml:space="preserve">RightLungRatio</t>
  </si>
  <si>
    <t xml:space="preserve">LeftLungRatio</t>
  </si>
  <si>
    <t xml:space="preserve">Hemoglobin Concentration</t>
  </si>
  <si>
    <t xml:space="preserve">g/mL</t>
  </si>
  <si>
    <t xml:space="preserve">BodyFatFraction</t>
  </si>
  <si>
    <t xml:space="preserve">LeanBodyMass</t>
  </si>
  <si>
    <t xml:space="preserve">StandPatientWeight</t>
  </si>
  <si>
    <t xml:space="preserve">StandardPatientTotalBodySurfaceArea</t>
  </si>
  <si>
    <t xml:space="preserve">StandardBodyFatFraction</t>
  </si>
  <si>
    <t xml:space="preserve">StandardLeadBodyMass</t>
  </si>
  <si>
    <t xml:space="preserve">Output</t>
  </si>
  <si>
    <t xml:space="preserve">Algorithm</t>
  </si>
  <si>
    <t xml:space="preserve">Male Multipliers</t>
  </si>
  <si>
    <t xml:space="preserve">Female Multipliers</t>
  </si>
  <si>
    <t xml:space="preserve">Reference Values</t>
  </si>
  <si>
    <t xml:space="preserve">Reference Page</t>
  </si>
  <si>
    <t xml:space="preserve">Notes</t>
  </si>
  <si>
    <t xml:space="preserve">Internal Notes</t>
  </si>
  <si>
    <t xml:space="preserve">Reading</t>
  </si>
  <si>
    <t xml:space="preserve">Table</t>
  </si>
  <si>
    <t xml:space="preserve">ResultsFile</t>
  </si>
  <si>
    <t xml:space="preserve">SignificantDigits</t>
  </si>
  <si>
    <t xml:space="preserve">BloodDensity</t>
  </si>
  <si>
    <t xml:space="preserve">kg/m^3</t>
  </si>
  <si>
    <t xml:space="preserve">Mean</t>
  </si>
  <si>
    <t xml:space="preserve">herman2007physics</t>
  </si>
  <si>
    <t xml:space="preserve">p21</t>
  </si>
  <si>
    <t xml:space="preserve">BloodChemistry</t>
  </si>
  <si>
    <t xml:space="preserve">0f</t>
  </si>
  <si>
    <t xml:space="preserve">BloodPH</t>
  </si>
  <si>
    <t xml:space="preserve">7.2,
 [7.35,7.4]</t>
  </si>
  <si>
    <t xml:space="preserve">valentin2002icrp,  guyton2006medical</t>
  </si>
  <si>
    <t xml:space="preserve">p137                                 p384</t>
  </si>
  <si>
    <t xml:space="preserve">2f</t>
  </si>
  <si>
    <t xml:space="preserve">BloodSpecificHeat</t>
  </si>
  <si>
    <t xml:space="preserve">J/K kg</t>
  </si>
  <si>
    <t xml:space="preserve">blake2010specificheat</t>
  </si>
  <si>
    <t xml:space="preserve">BloodUreaNitrogenConcentration</t>
  </si>
  <si>
    <t xml:space="preserve">mg/dL</t>
  </si>
  <si>
    <t xml:space="preserve">[9.0,18.0],
[6.0,20.0]</t>
  </si>
  <si>
    <t xml:space="preserve">valtin1995renal,
Deepakfirst</t>
  </si>
  <si>
    <t xml:space="preserve">p289
</t>
  </si>
  <si>
    <t xml:space="preserve">I can't find a Deepak reference</t>
  </si>
  <si>
    <t xml:space="preserve">1f</t>
  </si>
  <si>
    <t xml:space="preserve">CarbonDioxideSaturation</t>
  </si>
  <si>
    <t xml:space="preserve">dash2010erratum</t>
  </si>
  <si>
    <t xml:space="preserve">CarbonMonoxideSaturation*</t>
  </si>
  <si>
    <t xml:space="preserve">None in default system/enviornment</t>
  </si>
  <si>
    <t xml:space="preserve">Hematocrit</t>
  </si>
  <si>
    <t xml:space="preserve">0.42,
[0.4,0.5]</t>
  </si>
  <si>
    <t xml:space="preserve">guyton2006medical,
valtin1995renal</t>
  </si>
  <si>
    <t xml:space="preserve">p169                                  p288</t>
  </si>
  <si>
    <t xml:space="preserve"> 0.38 for Women</t>
  </si>
  <si>
    <t xml:space="preserve">HemoglobinContent</t>
  </si>
  <si>
    <t xml:space="preserve">g</t>
  </si>
  <si>
    <t xml:space="preserve">[C&lt;sub&gt;Hb&lt;/sub&gt;*V&lt;sub&gt;blood&lt;/sub&gt;]</t>
  </si>
  <si>
    <t xml:space="preserve">Hb Concentration * Total Blood Volume</t>
  </si>
  <si>
    <t xml:space="preserve">OxygenSaturation</t>
  </si>
  <si>
    <t xml:space="preserve">0.97, [0.96,1.0]</t>
  </si>
  <si>
    <t xml:space="preserve">p506                                 p288</t>
  </si>
  <si>
    <t xml:space="preserve">Phosphate</t>
  </si>
  <si>
    <t xml:space="preserve">mmol/L</t>
  </si>
  <si>
    <t xml:space="preserve">[0.8,1.4]</t>
  </si>
  <si>
    <t xml:space="preserve">Leeuwen2015laboratory</t>
  </si>
  <si>
    <t xml:space="preserve">PlasmaVolume</t>
  </si>
  <si>
    <t xml:space="preserve">p293                                 p137                        </t>
  </si>
  <si>
    <t xml:space="preserve">guyton2006medical, valentin2002icrp</t>
  </si>
  <si>
    <t xml:space="preserve">60% BVT (~3)
56.3%BVT</t>
  </si>
  <si>
    <t xml:space="preserve">http://www.heart.org/HEARTORG/Conditions/HeartFailure/SymptomsDiagnosisofHeartFailure/Common-Tests-for-Heart-Failure_UCM_306334_Article.jsp</t>
  </si>
  <si>
    <t xml:space="preserve">PulseOximetry</t>
  </si>
  <si>
    <t xml:space="preserve">RedBloodCellCount</t>
  </si>
  <si>
    <t xml:space="preserve">ct/uL</t>
  </si>
  <si>
    <t xml:space="preserve">p419                                  p137  </t>
  </si>
  <si>
    <t xml:space="preserve">3g</t>
  </si>
  <si>
    <t xml:space="preserve">ShuntFraction</t>
  </si>
  <si>
    <t xml:space="preserve">[0.02,0.05]</t>
  </si>
  <si>
    <t xml:space="preserve">Levitzky2013pulmonary</t>
  </si>
  <si>
    <t xml:space="preserve">p127</t>
  </si>
  <si>
    <t xml:space="preserve">StrongIonDifference</t>
  </si>
  <si>
    <t xml:space="preserve">[40,42]</t>
  </si>
  <si>
    <t xml:space="preserve">kellum2009stewart</t>
  </si>
  <si>
    <t xml:space="preserve">TotalProteinConcentration</t>
  </si>
  <si>
    <t xml:space="preserve">g/dL</t>
  </si>
  <si>
    <t xml:space="preserve">[6,8]</t>
  </si>
  <si>
    <t xml:space="preserve">valtin1995renal</t>
  </si>
  <si>
    <t xml:space="preserve">p289</t>
  </si>
  <si>
    <t xml:space="preserve">VolumeFractionNeutralLipidInPlasma</t>
  </si>
  <si>
    <t xml:space="preserve">rodgers2006physiologically</t>
  </si>
  <si>
    <t xml:space="preserve">4f</t>
  </si>
  <si>
    <t xml:space="preserve">VolumeFractionNeutralPhospholipidInPlasma</t>
  </si>
  <si>
    <t xml:space="preserve">WhiteBloodCellCount</t>
  </si>
  <si>
    <t xml:space="preserve">guyton2006medical   </t>
  </si>
  <si>
    <t xml:space="preserve">p430</t>
  </si>
  <si>
    <t xml:space="preserve">maximum value for men</t>
  </si>
  <si>
    <t xml:space="preserve">4g</t>
  </si>
  <si>
    <t xml:space="preserve">Substance Blood Concentrations</t>
  </si>
  <si>
    <t xml:space="preserve">Chosen Values</t>
  </si>
  <si>
    <t xml:space="preserve">Reference</t>
  </si>
  <si>
    <t xml:space="preserve">Page</t>
  </si>
  <si>
    <t xml:space="preserve">Acetoacetate-BloodConcentration</t>
  </si>
  <si>
    <t xml:space="preserve">mg/L</t>
  </si>
  <si>
    <t xml:space="preserve">[8.1672,10.209]</t>
  </si>
  <si>
    <t xml:space="preserve">Fery1983ketone</t>
  </si>
  <si>
    <t xml:space="preserve">Acetoacetate is one of the main ketone bodies used for energy (along with beta-hydroxybutyrate). Note that total ketone body normal concnetration is 0.31 ± 0.05. See the reference (in energy folder).
Note that the concentration is converted from molarity ([0.08,0.1] mmol/L).</t>
  </si>
  <si>
    <t xml:space="preserve">Albumin-BloodConcentration</t>
  </si>
  <si>
    <t xml:space="preserve">[4,5]</t>
  </si>
  <si>
    <t xml:space="preserve">Concentrtion of "protein" is 6 to 8 g/dL. Albumin is 4 to 5 g/dL, and globulin makes the difference.</t>
  </si>
  <si>
    <t xml:space="preserve">Bicarbonate-BloodConcentration</t>
  </si>
  <si>
    <t xml:space="preserve">[0.134,0.159]</t>
  </si>
  <si>
    <t xml:space="preserve">p288</t>
  </si>
  <si>
    <t xml:space="preserve">converted from [22,26] mmol/L</t>
  </si>
  <si>
    <t xml:space="preserve">3f</t>
  </si>
  <si>
    <t xml:space="preserve">Calcium-BloodConcentration</t>
  </si>
  <si>
    <t xml:space="preserve">[44.08,52.1]</t>
  </si>
  <si>
    <t xml:space="preserve">cheuvront2014comparison</t>
  </si>
  <si>
    <t xml:space="preserve">converted from 1.2 +- 0.1 mmol/L</t>
  </si>
  <si>
    <t xml:space="preserve">Chloride-BloodConcentration</t>
  </si>
  <si>
    <t xml:space="preserve">g/L</t>
  </si>
  <si>
    <t xml:space="preserve">[3.6868,3.86405],
3.6159,
[3.43865,3.79315]</t>
  </si>
  <si>
    <t xml:space="preserve">cheuvront2014comparison,
Boron2012medical,
Leeuwen2015laboratory</t>
  </si>
  <si>
    <t xml:space="preserve">
p108</t>
  </si>
  <si>
    <t xml:space="preserve">Converted from molarity ([104, 109],102 mmol/L)</t>
  </si>
  <si>
    <t xml:space="preserve">Creatinine-BloodConcentration</t>
  </si>
  <si>
    <t xml:space="preserve">[5.0,15.0]</t>
  </si>
  <si>
    <t xml:space="preserve">coresh2001prevalence,
p288</t>
  </si>
  <si>
    <t xml:space="preserve">Epinephrine-BloodConcentration</t>
  </si>
  <si>
    <t xml:space="preserve">ug/L</t>
  </si>
  <si>
    <t xml:space="preserve">[0.032, 0.036],
[0.028, 0.072],
[0.015, 0.021],
[0.022, 0.034],
[0.045, 0.111] </t>
  </si>
  <si>
    <t xml:space="preserve">wortsman1984adrenomedullary,
stratton1985hemodynamic,
stein1998basal,
penesova2008role,
zauner2000resting</t>
  </si>
  <si>
    <t xml:space="preserve">Globulin-BloodConcentration</t>
  </si>
  <si>
    <t xml:space="preserve">[2,3]</t>
  </si>
  <si>
    <t xml:space="preserve">Glucose-BloodConcentration</t>
  </si>
  <si>
    <t xml:space="preserve">[90,100]</t>
  </si>
  <si>
    <t xml:space="preserve">polonsky1987insulin</t>
  </si>
  <si>
    <t xml:space="preserve">Kind of your average about to eat, but not starving baseline</t>
  </si>
  <si>
    <t xml:space="preserve">Hemoglobin-BloodConcentration</t>
  </si>
  <si>
    <t xml:space="preserve">[13.8,17.2]</t>
  </si>
  <si>
    <t xml:space="preserve">[12.1,15.1]</t>
  </si>
  <si>
    <t xml:space="preserve">p506                                </t>
  </si>
  <si>
    <t xml:space="preserve">VALUES FOR MALE ONLY
If you change this, change the reference value for Blood Chemistry  HemoglobinContent</t>
  </si>
  <si>
    <t xml:space="preserve">http://www.nhlbi.nih.gov/health/health-topics/topics/arr/diagnosis.html</t>
  </si>
  <si>
    <t xml:space="preserve">Insulin-BloodConcentration</t>
  </si>
  <si>
    <t xml:space="preserve">Changes with glucose load. See Leeuwen2015laboratory, for time course expectations. Polonsky also has plotted data. Value from Polonsky converted from microIU/ml). Value from Leeuwen converted from pmol/L</t>
  </si>
  <si>
    <t xml:space="preserve">Lactate-BloodConcentration</t>
  </si>
  <si>
    <t xml:space="preserve">[53.442,151.419],
[26.721,115.791]</t>
  </si>
  <si>
    <t xml:space="preserve">Kratz2004Case,
phypers2006lactate</t>
  </si>
  <si>
    <t xml:space="preserve">p1555
</t>
  </si>
  <si>
    <t xml:space="preserve">Converted from molarity ([0.6, 1.7],[0.3, 1.3] mmol/L)</t>
  </si>
  <si>
    <t xml:space="preserve">Norepinephrine-BloodConcentration</t>
  </si>
  <si>
    <t xml:space="preserve">[0.124, 0.274]</t>
  </si>
  <si>
    <t xml:space="preserve">Ensinger1992relationship</t>
  </si>
  <si>
    <t xml:space="preserve">Potassium-BloodConcentration</t>
  </si>
  <si>
    <t xml:space="preserve">[108.85,164.83],
[108.85,171.05]</t>
  </si>
  <si>
    <t xml:space="preserve">Leeuwen2015laboratory,
valtin1995renal</t>
  </si>
  <si>
    <t xml:space="preserve">p1278
p289</t>
  </si>
  <si>
    <t xml:space="preserve">Converted from molarity ([3.5, 5.3],[3.5, 5.5] mmol/L)</t>
  </si>
  <si>
    <t xml:space="preserve">Sodium-BloodConcentration</t>
  </si>
  <si>
    <t xml:space="preserve">[0.313,0.336]</t>
  </si>
  <si>
    <t xml:space="preserve">skott1989effects
p288</t>
  </si>
  <si>
    <t xml:space="preserve">Converted from molarity  ([136, 146] mmol/L).</t>
  </si>
  <si>
    <t xml:space="preserve">Tristearin-BloodConcentration</t>
  </si>
  <si>
    <t xml:space="preserve">[50,150]</t>
  </si>
  <si>
    <t xml:space="preserve">This number is for triglycerides. Tristearin is one particular type of triglyceride. We should change the name.</t>
  </si>
  <si>
    <t xml:space="preserve">Urea-BloodConcentration</t>
  </si>
  <si>
    <t xml:space="preserve">[20,34],
[19.26,38.52],
[12.84,42.8]</t>
  </si>
  <si>
    <t xml:space="preserve">musch2006age,
BUN*2.14,
BUN*2.14</t>
  </si>
  <si>
    <t xml:space="preserve">MW of urea = 60, MW of urea nitrogen = 14x2 =&gt; 60/28 = 2.14</t>
  </si>
  <si>
    <t xml:space="preserve">2.14 = MW Urea(60) / MW N2 (2*14) 
converted from 0.1 mmol/L</t>
  </si>
  <si>
    <t xml:space="preserve">http://acutecaretesting.org/en/articles/urea-and-the-clinical-value-of-measuring-blood-urea-concentration</t>
  </si>
  <si>
    <t xml:space="preserve">Pressures</t>
  </si>
  <si>
    <t xml:space="preserve">ArterialCarbonDioxidePressure</t>
  </si>
  <si>
    <t xml:space="preserve">mmHg</t>
  </si>
  <si>
    <t xml:space="preserve">Guyton p504</t>
  </si>
  <si>
    <t xml:space="preserve">ArterialOxygenPressure</t>
  </si>
  <si>
    <t xml:space="preserve">Guyton p503</t>
  </si>
  <si>
    <t xml:space="preserve">PulmonaryArterialCarbonDioxidePressure</t>
  </si>
  <si>
    <t xml:space="preserve">PulmonaryArterialOxygenPressure</t>
  </si>
  <si>
    <t xml:space="preserve">Guyton p502</t>
  </si>
  <si>
    <t xml:space="preserve">PulmonaryVenousCarbonDioxidePressure</t>
  </si>
  <si>
    <t xml:space="preserve">Guyton p505</t>
  </si>
  <si>
    <t xml:space="preserve">PulmonaryVenousOxygenPressure</t>
  </si>
  <si>
    <t xml:space="preserve">VenousOxygenPressure</t>
  </si>
  <si>
    <t xml:space="preserve">VenousCarbonDioxidePressure</t>
  </si>
  <si>
    <t xml:space="preserve">Arterial Blood Gas Test</t>
  </si>
  <si>
    <t xml:space="preserve">Equal to System Property</t>
  </si>
  <si>
    <t xml:space="preserve">ArterialBloodGasTest</t>
  </si>
  <si>
    <t xml:space="preserve">ABG@</t>
  </si>
  <si>
    <t xml:space="preserve">Bicarbonate</t>
  </si>
  <si>
    <t xml:space="preserve">mEq/L</t>
  </si>
  <si>
    <t xml:space="preserve">[22,26]</t>
  </si>
  <si>
    <t xml:space="preserve">Equal to System Property / Molar Mass * Valence</t>
  </si>
  <si>
    <t xml:space="preserve">PartialPressureOfOxygen</t>
  </si>
  <si>
    <t xml:space="preserve">PartialPressureOfCarbonDioxide</t>
  </si>
  <si>
    <t xml:space="preserve">Complete Blood Count</t>
  </si>
  <si>
    <t xml:space="preserve">CompleteBloodCount</t>
  </si>
  <si>
    <t xml:space="preserve">CBC@</t>
  </si>
  <si>
    <t xml:space="preserve">Hemoglobin</t>
  </si>
  <si>
    <t xml:space="preserve">MeanCorpuscularHemoglobin</t>
  </si>
  <si>
    <t xml:space="preserve">pg/ct</t>
  </si>
  <si>
    <t xml:space="preserve">[27,31]</t>
  </si>
  <si>
    <t xml:space="preserve">medline2015corpuscular</t>
  </si>
  <si>
    <t xml:space="preserve">https://en.wikipedia.org/wiki/Mean_corpuscular_hemoglobin</t>
  </si>
  <si>
    <t xml:space="preserve">MeanCorpuscularHemoglobinConcentration</t>
  </si>
  <si>
    <t xml:space="preserve">[27,39.25]</t>
  </si>
  <si>
    <t xml:space="preserve">[C&lt;sub&gt;Hb&lt;/sub&gt;/Hematocrit]</t>
  </si>
  <si>
    <t xml:space="preserve">MeanCorpuscularVolume</t>
  </si>
  <si>
    <t xml:space="preserve">uL</t>
  </si>
  <si>
    <t xml:space="preserve">p419</t>
  </si>
  <si>
    <t xml:space="preserve">PlateletCount</t>
  </si>
  <si>
    <t xml:space="preserve">[1.5E05,4.0E05]</t>
  </si>
  <si>
    <t xml:space="preserve">ross1988stability</t>
  </si>
  <si>
    <t xml:space="preserve">https://en.wikipedia.org/wiki/Platelet#cite_note-22</t>
  </si>
  <si>
    <t xml:space="preserve">Complete Metabolic Panel</t>
  </si>
  <si>
    <t xml:space="preserve">Albumin</t>
  </si>
  <si>
    <t xml:space="preserve">CompleteMetabolicPanel</t>
  </si>
  <si>
    <t xml:space="preserve">CMP@</t>
  </si>
  <si>
    <t xml:space="preserve">ALP*</t>
  </si>
  <si>
    <t xml:space="preserve">ALT*</t>
  </si>
  <si>
    <t xml:space="preserve">AST*</t>
  </si>
  <si>
    <t xml:space="preserve">BUN</t>
  </si>
  <si>
    <t xml:space="preserve">Calcium</t>
  </si>
  <si>
    <t xml:space="preserve">Chloride*</t>
  </si>
  <si>
    <t xml:space="preserve">CO2</t>
  </si>
  <si>
    <t xml:space="preserve">[22.0, 26.0]</t>
  </si>
  <si>
    <t xml:space="preserve">Creatinine</t>
  </si>
  <si>
    <t xml:space="preserve">Glucose</t>
  </si>
  <si>
    <t xml:space="preserve">[65,139]</t>
  </si>
  <si>
    <t xml:space="preserve">Potassium*</t>
  </si>
  <si>
    <t xml:space="preserve">Sodium</t>
  </si>
  <si>
    <t xml:space="preserve"> [136, 146]</t>
  </si>
  <si>
    <t xml:space="preserve">TotalBilirubin*</t>
  </si>
  <si>
    <t xml:space="preserve">TotalProtein</t>
  </si>
  <si>
    <t xml:space="preserve">OptimizerTargets</t>
  </si>
  <si>
    <t xml:space="preserve">ArterialPressure*</t>
  </si>
  <si>
    <t xml:space="preserve">Not validating the waveform itself. 
Waveform Mean is being validated.</t>
  </si>
  <si>
    <t xml:space="preserve">Cardiovascular</t>
  </si>
  <si>
    <t xml:space="preserve">p293</t>
  </si>
  <si>
    <t xml:space="preserve">If you change this, change the reference value for Blood Chemistry  HemoglobinContent</t>
  </si>
  <si>
    <t xml:space="preserve">L/min m^2</t>
  </si>
  <si>
    <t xml:space="preserve">p232</t>
  </si>
  <si>
    <t xml:space="preserve">The normal human weighing 70kg has a body surface area of about 1.7 square meteres.</t>
  </si>
  <si>
    <t xml:space="preserve">CentralVenousPressure*</t>
  </si>
  <si>
    <t xml:space="preserve">[2,6]</t>
  </si>
  <si>
    <t xml:space="preserve">p93</t>
  </si>
  <si>
    <t xml:space="preserve">pg. 93 in Leeuwen
(Also, we have 3-8 citing T.A. Goers. Washington Manual of Surgery, but I'd like to verify that before I change the limits Rodney 1/15/2015)</t>
  </si>
  <si>
    <t xml:space="preserve">CerebralBloodFlow</t>
  </si>
  <si>
    <t xml:space="preserve">valentin2002icrp</t>
  </si>
  <si>
    <t xml:space="preserve">CerebralPerfusionPressure</t>
  </si>
  <si>
    <t xml:space="preserve">[60,98]</t>
  </si>
  <si>
    <t xml:space="preserve">[MAP-ICP]</t>
  </si>
  <si>
    <t xml:space="preserve">DiastolicArterialPressure</t>
  </si>
  <si>
    <t xml:space="preserve">[60,90]</t>
  </si>
  <si>
    <t xml:space="preserve">pg. 93 in Leeuwen </t>
  </si>
  <si>
    <t xml:space="preserve">DiastolicLeftHeartPressure</t>
  </si>
  <si>
    <t xml:space="preserve">[4,12]</t>
  </si>
  <si>
    <t xml:space="preserve">Edwards2009pocket</t>
  </si>
  <si>
    <t xml:space="preserve">DiastolicRightHeartPressure</t>
  </si>
  <si>
    <t xml:space="preserve">[2,8]</t>
  </si>
  <si>
    <t xml:space="preserve">http://ht.edwards.com/scin/edwards/sitecollectionimages/edwards/products/presep/ar04313hemodynpocketcard.pdf</t>
  </si>
  <si>
    <t xml:space="preserve">HeartEjectionFraction</t>
  </si>
  <si>
    <t xml:space="preserve">Leeuwen says 0.65 on pg. 94</t>
  </si>
  <si>
    <t xml:space="preserve">HeartRate</t>
  </si>
  <si>
    <t xml:space="preserve">1/min</t>
  </si>
  <si>
    <t xml:space="preserve">[60,100]</t>
  </si>
  <si>
    <t xml:space="preserve">MayoClinic2022heart</t>
  </si>
  <si>
    <t xml:space="preserve">HeartRhythm*</t>
  </si>
  <si>
    <t xml:space="preserve">Not validating enums</t>
  </si>
  <si>
    <t xml:space="preserve">HeartStrokeVolume</t>
  </si>
  <si>
    <t xml:space="preserve">[55.3,93.1]</t>
  </si>
  <si>
    <t xml:space="preserve">brandfonbrener1955changes</t>
  </si>
  <si>
    <t xml:space="preserve">Leeuwen has SV index on pg. 94 which is SV adjusted to body surface area, 33 - 57 mL/m^2</t>
  </si>
  <si>
    <t xml:space="preserve">IntracranialPressure</t>
  </si>
  <si>
    <t xml:space="preserve">[7,15]</t>
  </si>
  <si>
    <t xml:space="preserve">steiner2006monitoring</t>
  </si>
  <si>
    <t xml:space="preserve">Assumes supine adult</t>
  </si>
  <si>
    <t xml:space="preserve">MeanArterialPressure</t>
  </si>
  <si>
    <t xml:space="preserve">[70,105]</t>
  </si>
  <si>
    <t xml:space="preserve">MeanArterialCarbonDioxidePartialPressure*</t>
  </si>
  <si>
    <t xml:space="preserve">Exposed for use by other systems</t>
  </si>
  <si>
    <t xml:space="preserve">MeanArterialCarbonDioxidePartialPressureDelta*</t>
  </si>
  <si>
    <t xml:space="preserve">MeanCentralVenousPressure</t>
  </si>
  <si>
    <t xml:space="preserve">MeanSkinFlow</t>
  </si>
  <si>
    <t xml:space="preserve">mL/s</t>
  </si>
  <si>
    <t xml:space="preserve">This is the same as the Skin Compartment Inflow</t>
  </si>
  <si>
    <t xml:space="preserve">PulmonaryArterialPressure*</t>
  </si>
  <si>
    <t xml:space="preserve">PulmonaryCapillariesWedgePressure</t>
  </si>
  <si>
    <t xml:space="preserve">previously had 10-13 from solin1999influence, but that population was all sleep apnea pts who one might expect to have elevated PCWP</t>
  </si>
  <si>
    <t xml:space="preserve">PulmonaryDiastolicArterialPressure</t>
  </si>
  <si>
    <t xml:space="preserve">[4,12],
[8,15]</t>
  </si>
  <si>
    <t xml:space="preserve">Leeuwen2015laboratory,
Edwards2009pocket</t>
  </si>
  <si>
    <t xml:space="preserve">p93
</t>
  </si>
  <si>
    <t xml:space="preserve">PulmonaryMeanArterialPressure</t>
  </si>
  <si>
    <t xml:space="preserve">[9,18]</t>
  </si>
  <si>
    <t xml:space="preserve">PulmonaryMeanCapillaryFlow*</t>
  </si>
  <si>
    <t xml:space="preserve">No data for this</t>
  </si>
  <si>
    <t xml:space="preserve">PulmonaryMeanShuntFlow*</t>
  </si>
  <si>
    <t xml:space="preserve">PulmonarySystolicArterialPressure</t>
  </si>
  <si>
    <t xml:space="preserve">[15,30]</t>
  </si>
  <si>
    <t xml:space="preserve">PulmonaryVascularResistance</t>
  </si>
  <si>
    <t xml:space="preserve">mmHg s/mL</t>
  </si>
  <si>
    <t xml:space="preserve">p167</t>
  </si>
  <si>
    <t xml:space="preserve">PulmonaryVascularResistanceIndex</t>
  </si>
  <si>
    <t xml:space="preserve">mmHg s/mL m^2</t>
  </si>
  <si>
    <t xml:space="preserve">p167 &amp; p232</t>
  </si>
  <si>
    <t xml:space="preserve">The normal human weighing 70kg has a body surface area of about 1.7 square meteres. Therefore, 0.14*1.7.</t>
  </si>
  <si>
    <t xml:space="preserve">PulsePressure</t>
  </si>
  <si>
    <t xml:space="preserve">[25,100]</t>
  </si>
  <si>
    <t xml:space="preserve">Homan2021physiology</t>
  </si>
  <si>
    <t xml:space="preserve">SystolicArterialPressure - DiastolicArteralPressure</t>
  </si>
  <si>
    <t xml:space="preserve">no lower than 25% of systolic and no higher than 100</t>
  </si>
  <si>
    <t xml:space="preserve">SystemicVascularResistance</t>
  </si>
  <si>
    <t xml:space="preserve">p163</t>
  </si>
  <si>
    <t xml:space="preserve">Need to compute a range for SVR in PRUs (see p163 in Guyton)</t>
  </si>
  <si>
    <t xml:space="preserve">SystolicArterialPressure</t>
  </si>
  <si>
    <t xml:space="preserve">[100,140]</t>
  </si>
  <si>
    <t xml:space="preserve">SystolicLeftHeartPressure</t>
  </si>
  <si>
    <t xml:space="preserve">homoud2008introduction</t>
  </si>
  <si>
    <t xml:space="preserve">p8</t>
  </si>
  <si>
    <t xml:space="preserve">Course notes. Neither Guyton nor Boron have ranges. Boron says that the left ventricle systolic pressure is approximately equal to the aorta systolic pressure (p.533)</t>
  </si>
  <si>
    <t xml:space="preserve">SystolicRightHeartPressure</t>
  </si>
  <si>
    <t xml:space="preserve">Compartment Data</t>
  </si>
  <si>
    <t xml:space="preserve">Aorta-Volume</t>
  </si>
  <si>
    <t xml:space="preserve">Reduced from ICRP value of 0.06 because we have arms and legs</t>
  </si>
  <si>
    <t xml:space="preserve">CardiovascularCompartments</t>
  </si>
  <si>
    <t xml:space="preserve">HemodynamicsTargets</t>
  </si>
  <si>
    <t xml:space="preserve">Aorta-InFlow </t>
  </si>
  <si>
    <t xml:space="preserve">Unless otherwise noted, any deviation from the ICRP value is a result of incorporation of "other" blood flow.</t>
  </si>
  <si>
    <t xml:space="preserve">BrainVasculature-Volume </t>
  </si>
  <si>
    <t xml:space="preserve">BrainVasculature-InFlow </t>
  </si>
  <si>
    <t xml:space="preserve">BrainVasculature-Oxygen-PartialPressure</t>
  </si>
  <si>
    <t xml:space="preserve">dhawan2011neurointensive</t>
  </si>
  <si>
    <t xml:space="preserve">BoneVasculature-Volume </t>
  </si>
  <si>
    <t xml:space="preserve">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</si>
  <si>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</si>
  <si>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</si>
  <si>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</si>
  <si>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</si>
  <si>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</si>
  <si>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</si>
  <si>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 xml:space="preserve">This is a little less because we also have a splanchnic compartment</t>
  </si>
  <si>
    <t xml:space="preserve">LargeIntestineVasculature-InFlow </t>
  </si>
  <si>
    <t xml:space="preserve">LeftArmVasculature-Volume </t>
  </si>
  <si>
    <t xml:space="preserve">Arms and legs are a guess - some comes from the aorta/large arteries and some comes from "other"</t>
  </si>
  <si>
    <t xml:space="preserve">LeftArmVasculature-InFlow</t>
  </si>
  <si>
    <t xml:space="preserve">brachial artery average</t>
  </si>
  <si>
    <t xml:space="preserve">LeftHeart-Volume </t>
  </si>
  <si>
    <t xml:space="preserve">Min</t>
  </si>
  <si>
    <t xml:space="preserve">[34,66]</t>
  </si>
  <si>
    <t xml:space="preserve">hudsmuth2005heartvolume</t>
  </si>
  <si>
    <t xml:space="preserve">Max</t>
  </si>
  <si>
    <t xml:space="preserve">[131,189]</t>
  </si>
  <si>
    <t xml:space="preserve">LeftHeart-Pressure </t>
  </si>
  <si>
    <t xml:space="preserve">LeftHeart-InFlow </t>
  </si>
  <si>
    <t xml:space="preserve">LeftKidneyVasculature-Volume </t>
  </si>
  <si>
    <t xml:space="preserve">effros1967vascular</t>
  </si>
  <si>
    <t xml:space="preserve">Half the ICRP value for both kidneys plus a little bit to make everything add to 1.0</t>
  </si>
  <si>
    <t xml:space="preserve">LeftKidneyVasculature-InFlow </t>
  </si>
  <si>
    <t xml:space="preserve">Half of the total per kidney, plus a little extra to absorb "other"</t>
  </si>
  <si>
    <t xml:space="preserve">LeftLegVasculature-Volume </t>
  </si>
  <si>
    <t xml:space="preserve">LeftLegVasculature-InFlow</t>
  </si>
  <si>
    <t xml:space="preserve">holland1998lower</t>
  </si>
  <si>
    <t xml:space="preserve">common femoral artery estimate</t>
  </si>
  <si>
    <t xml:space="preserve">LeftPulmonaryArteries-Volume </t>
  </si>
  <si>
    <t xml:space="preserve">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</si>
  <si>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</si>
  <si>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</si>
  <si>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</si>
  <si>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</si>
  <si>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</si>
  <si>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</si>
  <si>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 xml:space="preserve">Added a little here to make the numbers add to 1.0</t>
  </si>
  <si>
    <t xml:space="preserve">LiverVasculature-InFlow </t>
  </si>
  <si>
    <t xml:space="preserve">p838</t>
  </si>
  <si>
    <t xml:space="preserve">This includes the portal flow.</t>
  </si>
  <si>
    <t xml:space="preserve">MuscleVasculature-Volume </t>
  </si>
  <si>
    <t xml:space="preserve">Skeletal muscle</t>
  </si>
  <si>
    <t xml:space="preserve">MuscleVasculature-InFlow </t>
  </si>
  <si>
    <t xml:space="preserve">MyocardiumVasculature-Volume </t>
  </si>
  <si>
    <t xml:space="preserve">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</si>
  <si>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</si>
  <si>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</si>
  <si>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</si>
  <si>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</si>
  <si>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</si>
  <si>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</si>
  <si>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</si>
  <si>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Based on the wedge pressure</t>
  </si>
  <si>
    <t xml:space="preserve">PulmonaryVeins-Volume </t>
  </si>
  <si>
    <t xml:space="preserve">PulmonaryVeins-InFlow </t>
  </si>
  <si>
    <t xml:space="preserve">PulmonaryVeins-Pressure </t>
  </si>
  <si>
    <t xml:space="preserve">Based on the wedge pressure. Pulmonary vein pressure must be less than pulmonary capillary pressure.</t>
  </si>
  <si>
    <t xml:space="preserve">RightArmVasculature-Volume </t>
  </si>
  <si>
    <t xml:space="preserve">RightArmVasculature-InFlow</t>
  </si>
  <si>
    <t xml:space="preserve">gault1966patterns</t>
  </si>
  <si>
    <t xml:space="preserve">RightHeart-Volume </t>
  </si>
  <si>
    <t xml:space="preserve">[58,98],
[50,100]</t>
  </si>
  <si>
    <t xml:space="preserve">hudsmuth2005heartvolume,
Edwards2009pocket</t>
  </si>
  <si>
    <t xml:space="preserve">We have other validation data which suggests that 0.045 is too high for both sides of the heart. We will use the Hudsmuth reference for validation, which unlike the ICRP is actual data.</t>
  </si>
  <si>
    <t xml:space="preserve">[157,223],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</si>
  <si>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</si>
  <si>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</si>
  <si>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</si>
  <si>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</si>
  <si>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</si>
  <si>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</si>
  <si>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</si>
  <si>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</si>
  <si>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</si>
  <si>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</si>
  <si>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</si>
  <si>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</si>
  <si>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</si>
  <si>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</si>
  <si>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</si>
  <si>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</si>
  <si>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</si>
  <si>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</si>
  <si>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Stomach plus a little bit of "other"</t>
  </si>
  <si>
    <t xml:space="preserve">SpleenVasculature-Volume </t>
  </si>
  <si>
    <t xml:space="preserve">SpleenVasculature-InFlow </t>
  </si>
  <si>
    <t xml:space="preserve">VenaCava-Volume </t>
  </si>
  <si>
    <t xml:space="preserve">VenaCava-InFlow </t>
  </si>
  <si>
    <t xml:space="preserve">InsulinSynthesisRate</t>
  </si>
  <si>
    <t xml:space="preserve">pmol/min</t>
  </si>
  <si>
    <t xml:space="preserve">[0.55,436]</t>
  </si>
  <si>
    <t xml:space="preserve">tolic2000modeling</t>
  </si>
  <si>
    <t xml:space="preserve">the insulin secretion rate is going to be highly dynamic because of the feeding at the begining of the validation scenario. We need to include insulin synthesis validation in the meal validation.</t>
  </si>
  <si>
    <t xml:space="preserve">Endocrine</t>
  </si>
  <si>
    <t xml:space="preserve">AchievedExerciseLevel*</t>
  </si>
  <si>
    <t xml:space="preserve">Under resting state, this is essentially NaN</t>
  </si>
  <si>
    <t xml:space="preserve">Energy</t>
  </si>
  <si>
    <t xml:space="preserve">CoreTemperature</t>
  </si>
  <si>
    <t xml:space="preserve">degC</t>
  </si>
  <si>
    <t xml:space="preserve">CreatinineProductionRate</t>
  </si>
  <si>
    <t xml:space="preserve">umol/s</t>
  </si>
  <si>
    <t xml:space="preserve">esparanza2012creatinine</t>
  </si>
  <si>
    <t xml:space="preserve">Converted from 1.2 mg/min</t>
  </si>
  <si>
    <t xml:space="preserve">ExerciseMeanArterialPressureDelta*</t>
  </si>
  <si>
    <t xml:space="preserve">Used in Barorecptors</t>
  </si>
  <si>
    <t xml:space="preserve">FatigueLevel*</t>
  </si>
  <si>
    <t xml:space="preserve">Under resting state, this is essentially zero</t>
  </si>
  <si>
    <t xml:space="preserve">KetoneProductionRate</t>
  </si>
  <si>
    <t xml:space="preserve">umol/min</t>
  </si>
  <si>
    <t xml:space="preserve">garber1974ketone</t>
  </si>
  <si>
    <t xml:space="preserve">LactateProductionRate</t>
  </si>
  <si>
    <t xml:space="preserve">mol/day</t>
  </si>
  <si>
    <t xml:space="preserve">phypers2006lactate</t>
  </si>
  <si>
    <t xml:space="preserve">SkinTemperature</t>
  </si>
  <si>
    <t xml:space="preserve">SweatRate*</t>
  </si>
  <si>
    <t xml:space="preserve">This needs to be validated</t>
  </si>
  <si>
    <t xml:space="preserve">TotalMetabolicRate</t>
  </si>
  <si>
    <t xml:space="preserve">kcal/day</t>
  </si>
  <si>
    <t xml:space="preserve">[1200,3000]</t>
  </si>
  <si>
    <t xml:space="preserve">Norgan2003energy</t>
  </si>
  <si>
    <t xml:space="preserve">1790 roza1984metabolic for 77 kg man</t>
  </si>
  <si>
    <t xml:space="preserve">general range for men and women</t>
  </si>
  <si>
    <t xml:space="preserve">TotalWorkRateLevel*</t>
  </si>
  <si>
    <t xml:space="preserve">WaterAbsorptionRate</t>
  </si>
  <si>
    <t xml:space="preserve">[3.3,4.0]</t>
  </si>
  <si>
    <t xml:space="preserve">Peronnet2012Pharmacokinetic</t>
  </si>
  <si>
    <t xml:space="preserve">Can go as high as 19.4mL (Guyton)</t>
  </si>
  <si>
    <t xml:space="preserve">Gastrointestinal</t>
  </si>
  <si>
    <t xml:space="preserve">BaroreceptorHeartRateScale*</t>
  </si>
  <si>
    <t xml:space="preserve">BaroreceptorHeartElastanceScale*</t>
  </si>
  <si>
    <t xml:space="preserve">BaroreceptorResistanceScale*</t>
  </si>
  <si>
    <t xml:space="preserve">BaroreceptorComplianceScale*</t>
  </si>
  <si>
    <t xml:space="preserve">ChemoreceptorHeartElastanceScale*</t>
  </si>
  <si>
    <t xml:space="preserve">ChemoreceptorHeartRateScale*</t>
  </si>
  <si>
    <t xml:space="preserve">FiltrationFraction</t>
  </si>
  <si>
    <t xml:space="preserve">GFR/RenalPlasmaFlow</t>
  </si>
  <si>
    <t xml:space="preserve">Renal</t>
  </si>
  <si>
    <t xml:space="preserve">GlomerularFiltrationRate</t>
  </si>
  <si>
    <t xml:space="preserve">L/day</t>
  </si>
  <si>
    <t xml:space="preserve">RenalBloodFlow</t>
  </si>
  <si>
    <t xml:space="preserve">RenalPlasmaFlow</t>
  </si>
  <si>
    <t xml:space="preserve">Dependent on Hematocrit</t>
  </si>
  <si>
    <t xml:space="preserve">RenalVascularResistance</t>
  </si>
  <si>
    <t xml:space="preserve">mmHg min/mL</t>
  </si>
  <si>
    <t xml:space="preserve">We are just looking at left, right should be the same</t>
  </si>
  <si>
    <t xml:space="preserve">UrinationRate*</t>
  </si>
  <si>
    <t xml:space="preserve">Folkestad2004</t>
  </si>
  <si>
    <t xml:space="preserve">Male: Folkestad 2004
Female is 33 from Corstiaans 2000</t>
  </si>
  <si>
    <t xml:space="preserve">Validation scenario will need to include urination…</t>
  </si>
  <si>
    <t xml:space="preserve">UrineOsmolality</t>
  </si>
  <si>
    <t xml:space="preserve">mOsm/kg</t>
  </si>
  <si>
    <t xml:space="preserve">[50,1200]</t>
  </si>
  <si>
    <t xml:space="preserve">Wilczynski 2014
Valtin &amp; Shaffer p. 291</t>
  </si>
  <si>
    <t xml:space="preserve">UrineOsmolarity</t>
  </si>
  <si>
    <t xml:space="preserve">mOsm/L</t>
  </si>
  <si>
    <t xml:space="preserve">Valtin &amp; Shaffer p. 291</t>
  </si>
  <si>
    <t xml:space="preserve">UrineProductionRate</t>
  </si>
  <si>
    <t xml:space="preserve">UrineSpecificGravity</t>
  </si>
  <si>
    <t xml:space="preserve">[1.01,1.022],
[1.003,1.040]</t>
  </si>
  <si>
    <t xml:space="preserve">valtin1995renal,
walker1990clinical</t>
  </si>
  <si>
    <t xml:space="preserve">Valtin &amp; Shaffer p.291</t>
  </si>
  <si>
    <t xml:space="preserve">UrineVolume*</t>
  </si>
  <si>
    <t xml:space="preserve">UrineUreaNitrogenConcentration</t>
  </si>
  <si>
    <t xml:space="preserve">[5,10]</t>
  </si>
  <si>
    <t xml:space="preserve">LeftAfferentArterioleResistance</t>
  </si>
  <si>
    <t xml:space="preserve">(85mmHg - 60mmHg) / (RenalBloodFlow / 2)</t>
  </si>
  <si>
    <t xml:space="preserve">LeftBowmansCapsulesHydrostaticPressure</t>
  </si>
  <si>
    <t xml:space="preserve">LeftBowmansCapsulesOsmoticPressure</t>
  </si>
  <si>
    <t xml:space="preserve">LeftEfferentArterioleResistance</t>
  </si>
  <si>
    <t xml:space="preserve">(59mmHg - 18mmHg) / ((RenalBloodFlow - GFR) / 2)</t>
  </si>
  <si>
    <t xml:space="preserve">LeftFiltrationFraction</t>
  </si>
  <si>
    <t xml:space="preserve">LeftGlomerularCapillariesHydrostaticPressure</t>
  </si>
  <si>
    <t xml:space="preserve">LeftGlomerularCapillariesOsmoticPressure</t>
  </si>
  <si>
    <t xml:space="preserve">LeftGlomerularFiltrationCoefficient</t>
  </si>
  <si>
    <t xml:space="preserve">mL/min mmHg</t>
  </si>
  <si>
    <t xml:space="preserve">Rate/NetPressure</t>
  </si>
  <si>
    <t xml:space="preserve">LeftGlomerularFiltrationRate</t>
  </si>
  <si>
    <t xml:space="preserve">Total GFR / 2</t>
  </si>
  <si>
    <t xml:space="preserve">LeftGlomerularFiltrationSurfaceArea</t>
  </si>
  <si>
    <t xml:space="preserve">cm^2</t>
  </si>
  <si>
    <t xml:space="preserve">[7250,23250]</t>
  </si>
  <si>
    <t xml:space="preserve">[(SurfaceArea/100g&lt;sub&gt;RenalTissue&lt;/sub&gt;)*KidneyMass&lt;sub&gt;g&lt;/sub&gt;]</t>
  </si>
  <si>
    <t xml:space="preserve">5000-15000 cm^2 per 100 g renal tissue @cite valtin1995renal &lt;br&gt; mass of 2 kidneys in adult male = 310 g / 2 @cite valentin2002icrp</t>
  </si>
  <si>
    <t xml:space="preserve">LeftGlomerularFluidPermeability*</t>
  </si>
  <si>
    <t xml:space="preserve">mL/min m^2 mmHg</t>
  </si>
  <si>
    <t xml:space="preserve">tuma2011microcirculation</t>
  </si>
  <si>
    <t xml:space="preserve">We don’t change this from 1.0</t>
  </si>
  <si>
    <t xml:space="preserve">LeftNetFiltrationPressure</t>
  </si>
  <si>
    <t xml:space="preserve">LeftNetReabsorptionPressure</t>
  </si>
  <si>
    <t xml:space="preserve">p340</t>
  </si>
  <si>
    <t xml:space="preserve">LeftPeritubularCapillariesHydrostaticPressure</t>
  </si>
  <si>
    <t xml:space="preserve">LeftPeritubularCapillariesOsmoticPressure</t>
  </si>
  <si>
    <t xml:space="preserve">LeftReabsorptionFiltrationCoefficient</t>
  </si>
  <si>
    <t xml:space="preserve">LeftReabsorptionRate</t>
  </si>
  <si>
    <t xml:space="preserve">TotalReabsorptionRate/2</t>
  </si>
  <si>
    <t xml:space="preserve">LeftTubularReabsorptionFiltrationSurfaceArea*</t>
  </si>
  <si>
    <t xml:space="preserve">m^2</t>
  </si>
  <si>
    <t xml:space="preserve">Cannot find</t>
  </si>
  <si>
    <t xml:space="preserve">LeftTubularReabsorptionFluidPermeability*</t>
  </si>
  <si>
    <t xml:space="preserve">LeftTubularHydrostaticPressure*</t>
  </si>
  <si>
    <t xml:space="preserve">LeftTubularOsmoticPressure</t>
  </si>
  <si>
    <t xml:space="preserve">RightAfferentArterioleResistance</t>
  </si>
  <si>
    <t xml:space="preserve">RightBowmansCapsulesHydrostaticPressure</t>
  </si>
  <si>
    <t xml:space="preserve">RightBowmansCapsulesOsmoticPressure</t>
  </si>
  <si>
    <t xml:space="preserve">RightEfferentArterioleResistance</t>
  </si>
  <si>
    <t xml:space="preserve">RightFiltrationFraction</t>
  </si>
  <si>
    <t xml:space="preserve">RightGlomerularCapillariesHydrostaticPressure</t>
  </si>
  <si>
    <t xml:space="preserve">RightGlomerularCapillariesOsmoticPressure</t>
  </si>
  <si>
    <t xml:space="preserve">RightGlomerularFiltrationCoefficient</t>
  </si>
  <si>
    <t xml:space="preserve">RightGlomerularFiltrationRate</t>
  </si>
  <si>
    <t xml:space="preserve">RightGlomerularFiltrationSurfaceArea</t>
  </si>
  <si>
    <t xml:space="preserve">RightGlomerularFluidPermeability*</t>
  </si>
  <si>
    <t xml:space="preserve">RightNetFiltrationPressure</t>
  </si>
  <si>
    <t xml:space="preserve">RightNetReabsorptionPressure</t>
  </si>
  <si>
    <t xml:space="preserve">RightPeritubularCapillariesHydrostaticPressure</t>
  </si>
  <si>
    <t xml:space="preserve">RightPeritubularCapillariesOsmoticPressure</t>
  </si>
  <si>
    <t xml:space="preserve">RightReabsorptionFiltrationCoefficient</t>
  </si>
  <si>
    <t xml:space="preserve">RightReabsorptionRate</t>
  </si>
  <si>
    <t xml:space="preserve">RightTubularReabsorptionFiltrationSurfaceArea*</t>
  </si>
  <si>
    <t xml:space="preserve">RightTubularReabsorptionFluidPermeability*</t>
  </si>
  <si>
    <t xml:space="preserve">RightTubularHydrostaticPressure*</t>
  </si>
  <si>
    <t xml:space="preserve">RightTubularOsmoticPressure</t>
  </si>
  <si>
    <t xml:space="preserve">LeftKidneyVasculature-Volume</t>
  </si>
  <si>
    <t xml:space="preserve">[31.7,37.9]</t>
  </si>
  <si>
    <t xml:space="preserve">28 is the difference between intravascular fluid volume and total extracellular fluid volume, reported in the ICRP</t>
  </si>
  <si>
    <t xml:space="preserve">Blood only; Total/2</t>
  </si>
  <si>
    <t xml:space="preserve">RenalCompartments</t>
  </si>
  <si>
    <t xml:space="preserve">LeftRenalArtery-Volume</t>
  </si>
  <si>
    <t xml:space="preserve">[5.3,6.3]</t>
  </si>
  <si>
    <t xml:space="preserve">TotalKidney = 34.8 &lt;br&gt; TotalKidneyLargeVasculature = TotalKidney/2 &lt;br&gt; LargeVasculature = TotalKidneyLargeVasculature/3 </t>
  </si>
  <si>
    <t xml:space="preserve">LeftRenalVein-Volume</t>
  </si>
  <si>
    <t xml:space="preserve">LeftAfferentArteriole-Volume</t>
  </si>
  <si>
    <t xml:space="preserve">[3.18,3.78]</t>
  </si>
  <si>
    <t xml:space="preserve">TotalKidney = 34.8 &lt;br&gt; TotalKidneySmallVasculature = TotalKidney/2 &lt;br&gt; SmallVasculature = TotalKidneySmallVasculature/5</t>
  </si>
  <si>
    <t xml:space="preserve">LeftGlomerularCapillaries-Volume</t>
  </si>
  <si>
    <t xml:space="preserve">LeftEfferentArteriole-Volume</t>
  </si>
  <si>
    <t xml:space="preserve">LeftPeritubularCapillaries-Volume</t>
  </si>
  <si>
    <t xml:space="preserve">LeftBowmansCapsules-Volume</t>
  </si>
  <si>
    <t xml:space="preserve">LeftTubules-Volume</t>
  </si>
  <si>
    <t xml:space="preserve">TotalKidney = 34.8 &lt;br&gt; TotalKidneyLargeVasculature = TotalKidney/2 &lt;br&gt; LargeVasculature = TotalKidneyLargeVasculature/3</t>
  </si>
  <si>
    <t xml:space="preserve">LeftUreter-Volume</t>
  </si>
  <si>
    <t xml:space="preserve">[(3.14*(diameter/2)&lt;sup&gt;2&lt;/sup&gt;)*length]</t>
  </si>
  <si>
    <t xml:space="preserve">Ureter Length 28.5 cm @cite valentin2002icrp &lt;br&gt; Estimated Diameter 0.89 mm (factoring vessel wall) @cite zelenko2004normal</t>
  </si>
  <si>
    <t xml:space="preserve">RightKidneyVasculature-Volume</t>
  </si>
  <si>
    <t xml:space="preserve">RightRenalArtery-Volume</t>
  </si>
  <si>
    <t xml:space="preserve">RightRenalVein-Volume</t>
  </si>
  <si>
    <t xml:space="preserve">RightAfferentArteriole-Volume</t>
  </si>
  <si>
    <t xml:space="preserve">RightGlomerularCapillaries-Volume</t>
  </si>
  <si>
    <t xml:space="preserve">RightEfferentArteriole-Volume</t>
  </si>
  <si>
    <t xml:space="preserve">RightPeritubularCapillaries-Volume</t>
  </si>
  <si>
    <t xml:space="preserve">RightBowmansCapsules-Volume</t>
  </si>
  <si>
    <t xml:space="preserve">RightTubules-Volume</t>
  </si>
  <si>
    <t xml:space="preserve">RightUreter-Volume</t>
  </si>
  <si>
    <t xml:space="preserve">LeftRenalArtery-Pressure</t>
  </si>
  <si>
    <t xml:space="preserve">(Beginning + End) / 2</t>
  </si>
  <si>
    <t xml:space="preserve">LeftRenalVein-Pressure</t>
  </si>
  <si>
    <t xml:space="preserve">LeftAfferentArteriole-Pressure</t>
  </si>
  <si>
    <t xml:space="preserve">LeftGlomerularCapillaries-Pressure</t>
  </si>
  <si>
    <t xml:space="preserve">Same as GlomerularCapillariesHydrostaticPressure</t>
  </si>
  <si>
    <t xml:space="preserve">LeftEfferentArteriole-Pressure</t>
  </si>
  <si>
    <t xml:space="preserve">LeftPeritubularCapillaries-Pressure</t>
  </si>
  <si>
    <t xml:space="preserve">[13, 18]</t>
  </si>
  <si>
    <t xml:space="preserve">321 &amp; 340</t>
  </si>
  <si>
    <t xml:space="preserve">LeftBowmansCapsules-Pressure</t>
  </si>
  <si>
    <t xml:space="preserve">Same as BowmansCapsulesHydrostaticPressure</t>
  </si>
  <si>
    <t xml:space="preserve">LeftTubules-Pressure*</t>
  </si>
  <si>
    <t xml:space="preserve">RightRenalArtery-Pressure</t>
  </si>
  <si>
    <t xml:space="preserve">RightRenalVein-Pressure</t>
  </si>
  <si>
    <t xml:space="preserve">RightAfferentArteriole-Pressure</t>
  </si>
  <si>
    <t xml:space="preserve">RightGlomerularCapillaries-Pressure</t>
  </si>
  <si>
    <t xml:space="preserve">RightEfferentArteriole-Pressure</t>
  </si>
  <si>
    <t xml:space="preserve">RightPeritubularCapillaries-Pressure</t>
  </si>
  <si>
    <t xml:space="preserve">RightBowmansCapsules-Pressure</t>
  </si>
  <si>
    <t xml:space="preserve">RightTubules-Pressure*</t>
  </si>
  <si>
    <t xml:space="preserve">LeftRenalArtery-InFlow</t>
  </si>
  <si>
    <t xml:space="preserve">ml/min</t>
  </si>
  <si>
    <t xml:space="preserve">1100/2</t>
  </si>
  <si>
    <t xml:space="preserve">LeftUreter-InFlow</t>
  </si>
  <si>
    <t xml:space="preserve">UrineProductionRate/2</t>
  </si>
  <si>
    <t xml:space="preserve">RightRenalArtery-InFlow</t>
  </si>
  <si>
    <t xml:space="preserve">RightUreter-InFlow</t>
  </si>
  <si>
    <t xml:space="preserve">Bladder-Acetoacetate-Concentration</t>
  </si>
  <si>
    <t xml:space="preserve">sapir1975renal</t>
  </si>
  <si>
    <t xml:space="preserve">Converted to g/L by multiplying by Acetoacetate Molar Mass: 66500g/mol</t>
  </si>
  <si>
    <t xml:space="preserve">TM limited</t>
  </si>
  <si>
    <t xml:space="preserve">TM = Transport Maximum; the maximum rate of renal retention</t>
  </si>
  <si>
    <t xml:space="preserve">Bladder-Albumin-Concentration</t>
  </si>
  <si>
    <t xml:space="preserve">tojo2012mechanisms</t>
  </si>
  <si>
    <t xml:space="preserve">(0.1 g/day excreted) / (1.5 L/day urine production)</t>
  </si>
  <si>
    <t xml:space="preserve">Clearance Rate * Body Weight * Healthy Plasma Concentration / Avg Urine Production Rate</t>
  </si>
  <si>
    <t xml:space="preserve">Bladder-Bicarbonate-Concentration</t>
  </si>
  <si>
    <t xml:space="preserve">Valtin &amp; Shaffer p. 10</t>
  </si>
  <si>
    <t xml:space="preserve">Converted to mg/L by multiplying by Bicarbonate Molar Mass: 61.02 g/mol</t>
  </si>
  <si>
    <t xml:space="preserve">Bladder-Calcium-Concentration</t>
  </si>
  <si>
    <t xml:space="preserve">[0.1,0.24]</t>
  </si>
  <si>
    <t xml:space="preserve">Valtin &amp; Shaffer p.290</t>
  </si>
  <si>
    <t xml:space="preserve">Converted to g/L by multiplying by Calcium Molar Mass: 40.08 g/mol</t>
  </si>
  <si>
    <t xml:space="preserve">Bladder-Creatinine-Concentration</t>
  </si>
  <si>
    <t xml:space="preserve">[0.68,2.26]</t>
  </si>
  <si>
    <t xml:space="preserve">Converted to g/L by multiplying by Creatinine Molar Mass: 113.12 g/mol</t>
  </si>
  <si>
    <t xml:space="preserve">Bladder-Glucose-Concentration</t>
  </si>
  <si>
    <t xml:space="preserve">Valtin &amp; Shaffer p.291
</t>
  </si>
  <si>
    <t xml:space="preserve">Apparently there can technically be some lost per day, but it's so minimal it doesn’t get detected by routine tests (V&amp;S) TM limited</t>
  </si>
  <si>
    <t xml:space="preserve">Bladder-Chloride-Concentration</t>
  </si>
  <si>
    <t xml:space="preserve">[1.06,4.61]</t>
  </si>
  <si>
    <t xml:space="preserve">Converted to g/L by multiplying by Sodium Molar Mass: 35.45 g/mol</t>
  </si>
  <si>
    <t xml:space="preserve">Bladder-Potassium-Concentration</t>
  </si>
  <si>
    <t xml:space="preserve">[0.78,2.74]</t>
  </si>
  <si>
    <t xml:space="preserve">Converted to g/L by multiplying by Sodium Molar Mass: 39.0983 g/mol</t>
  </si>
  <si>
    <t xml:space="preserve">Bladder-Lactate-Concentration</t>
  </si>
  <si>
    <t xml:space="preserve">bellomo2002bench</t>
  </si>
  <si>
    <t xml:space="preserve">Bellomo2002Bench</t>
  </si>
  <si>
    <t xml:space="preserve">Converted to g/L by multiplying by Lactate Molar Mass: 89.07 g/mol</t>
  </si>
  <si>
    <t xml:space="preserve">Bladder-Sodium-Concentration</t>
  </si>
  <si>
    <t xml:space="preserve">[0.69,2.99]</t>
  </si>
  <si>
    <t xml:space="preserve">Converted to g/L by multiplying by Sodium Molar Mass: 22.99 g/mol</t>
  </si>
  <si>
    <t xml:space="preserve">Bladder-Urea-Concentration</t>
  </si>
  <si>
    <t xml:space="preserve">[10,20]</t>
  </si>
  <si>
    <t xml:space="preserve">Substance Data</t>
  </si>
  <si>
    <t xml:space="preserve">Acetoacetate-Clearance-RenalClearance</t>
  </si>
  <si>
    <t xml:space="preserve">ml/min kg</t>
  </si>
  <si>
    <t xml:space="preserve">(UrineConcentration)(UrineProductionRate) / (PatientMass*(PlasmaConcentration))</t>
  </si>
  <si>
    <t xml:space="preserve">*Inferred from the given urine concentration, blood concentration and a urine production rate of 1500 mL/day</t>
  </si>
  <si>
    <t xml:space="preserve">RenalSubstances</t>
  </si>
  <si>
    <t xml:space="preserve">Albumin-Clearance-RenalClearance</t>
  </si>
  <si>
    <t xml:space="preserve">Tojo2012Mechanisms</t>
  </si>
  <si>
    <t xml:space="preserve">Converted from the 2.7 mL/day given by Dr. Moss to mL/min kg</t>
  </si>
  <si>
    <t xml:space="preserve">Albumin-Clearance-GlomerularFilterability</t>
  </si>
  <si>
    <t xml:space="preserve">0.001, 0.005</t>
  </si>
  <si>
    <t xml:space="preserve">rhoades2003medical, 
guyton2006medical</t>
  </si>
  <si>
    <t xml:space="preserve">Bicarbonate-Clearance-RenalClearance</t>
  </si>
  <si>
    <t xml:space="preserve">Valtin &amp; Shaffer p.10</t>
  </si>
  <si>
    <t xml:space="preserve">Bicarbonate-Clearance-RenalExcretionRate</t>
  </si>
  <si>
    <t xml:space="preserve">g/day</t>
  </si>
  <si>
    <t xml:space="preserve">converted from 2 mmol/day</t>
  </si>
  <si>
    <t xml:space="preserve">Bicarbonate-Clearance-RenalFiltrationRate</t>
  </si>
  <si>
    <t xml:space="preserve">converted from 4500 mmol/day</t>
  </si>
  <si>
    <t xml:space="preserve">Bicarbonate-Clearance-RenalReabsorptionRate</t>
  </si>
  <si>
    <t xml:space="preserve">converted from 4498 mmol/day</t>
  </si>
  <si>
    <t xml:space="preserve">Calcium-Clearance-RenalClearance</t>
  </si>
  <si>
    <t xml:space="preserve">[[urine](UrineProductionRate) / (PatientMass*[plasma])] @cite valtin1995renal</t>
  </si>
  <si>
    <t xml:space="preserve">Valtin &amp; Shaffer p.291*</t>
  </si>
  <si>
    <t xml:space="preserve">Calcium-Clearance-RenalExcretionRate</t>
  </si>
  <si>
    <t xml:space="preserve">[0.1, 0.2]
</t>
  </si>
  <si>
    <t xml:space="preserve">blaine2014renal</t>
  </si>
  <si>
    <t xml:space="preserve">converted from 0.0053 mEq/min</t>
  </si>
  <si>
    <t xml:space="preserve">Calcium-Clearance-RenalFiltrationRate</t>
  </si>
  <si>
    <t xml:space="preserve">converted from 0.5 mEq/min</t>
  </si>
  <si>
    <t xml:space="preserve">Calcium-Clearance-RenalReabsorptionRate</t>
  </si>
  <si>
    <t xml:space="preserve">[9.9,9.8]</t>
  </si>
  <si>
    <t xml:space="preserve">Calc from (Filtration - Excretion) &lt;br&gt; converted from 0.4947 mEq/min</t>
  </si>
  <si>
    <t xml:space="preserve">Creatinine-Clearance-RenalClearance</t>
  </si>
  <si>
    <t xml:space="preserve">Creatinine-Clearance-RenalExcretionRate</t>
  </si>
  <si>
    <t xml:space="preserve">mg/min</t>
  </si>
  <si>
    <t xml:space="preserve">[0.625,1.875]</t>
  </si>
  <si>
    <t xml:space="preserve">GFR*[PlasmaCreatinine]
used 125 mL/min for GFR</t>
  </si>
  <si>
    <t xml:space="preserve">Creatinine-Clearance-RenalFiltrationRate</t>
  </si>
  <si>
    <t xml:space="preserve">Creatinine-Clearance-RenalReabsorptionRate</t>
  </si>
  <si>
    <t xml:space="preserve">Creatinine not reabsorbed in normal physiology</t>
  </si>
  <si>
    <t xml:space="preserve">Glucose-Clearance-RenalClearance</t>
  </si>
  <si>
    <t xml:space="preserve">[[urine](UrineProductionRate) / (PatientMass*[plasma])]</t>
  </si>
  <si>
    <t xml:space="preserve">Valtin &amp; Shaffer p. 72</t>
  </si>
  <si>
    <t xml:space="preserve">According to literature all glucose is reabsorbed until the filtered load begins approaching the transport maximum, in reality a little gets through
@cite valtin1995renal</t>
  </si>
  <si>
    <t xml:space="preserve">Glucose-Clearance-RenalExcretionRate</t>
  </si>
  <si>
    <t xml:space="preserve">For our models we will follow the convention that glucose is 100% reabsorbed</t>
  </si>
  <si>
    <t xml:space="preserve">Glucose-Clearance-RenalFiltrationRate</t>
  </si>
  <si>
    <t xml:space="preserve">converted from 800 mmol/day</t>
  </si>
  <si>
    <t xml:space="preserve">Glucose-Clearance-GlomerularFilterability</t>
  </si>
  <si>
    <t xml:space="preserve">rhoades2003medical</t>
  </si>
  <si>
    <t xml:space="preserve">Glucose-Clearance-RenalReabsorptionRate</t>
  </si>
  <si>
    <t xml:space="preserve">converted from 799.5 mmol/day</t>
  </si>
  <si>
    <t xml:space="preserve">Hemoglobin-Clearance-GlomerularFilterability</t>
  </si>
  <si>
    <t xml:space="preserve">Implementation does not filter this, it should be NaN and fail. That is expected</t>
  </si>
  <si>
    <t xml:space="preserve">Lactate-Clearance-RenalClearance</t>
  </si>
  <si>
    <t xml:space="preserve">[urine](UrineProductionRate) / (PatientMass*[plasma]) @cite bellomo2002bench</t>
  </si>
  <si>
    <t xml:space="preserve">Sodium-Clearance-RenalClearance</t>
  </si>
  <si>
    <t xml:space="preserve">Sodium-Clearance-RenalExcretionRate</t>
  </si>
  <si>
    <t xml:space="preserve">converted from 150 mmol/day</t>
  </si>
  <si>
    <t xml:space="preserve">Sodium-Clearance-RenalFiltrationRate</t>
  </si>
  <si>
    <t xml:space="preserve">converted from 25000 mmol/day</t>
  </si>
  <si>
    <t xml:space="preserve">Sodium-Clearance-GlomerularFilterability</t>
  </si>
  <si>
    <t xml:space="preserve">Sodium-Clearance-RenalReabsorptionRate</t>
  </si>
  <si>
    <t xml:space="preserve">converted from 24850 mmol/day</t>
  </si>
  <si>
    <t xml:space="preserve">Chloride-Clearance-RenalClearance</t>
  </si>
  <si>
    <t xml:space="preserve">Chloride-Clearance-RenalExcretionRate</t>
  </si>
  <si>
    <t xml:space="preserve">Chloride-Clearance-RenalFiltrationRate</t>
  </si>
  <si>
    <t xml:space="preserve">converted from 18000 mmol/day</t>
  </si>
  <si>
    <t xml:space="preserve">Chloride-Clearance-GlomerularFilterability</t>
  </si>
  <si>
    <t xml:space="preserve">Chloride-Clearance-RenalReabsorptionRate</t>
  </si>
  <si>
    <t xml:space="preserve">Urea-Clearance-RenalClearance</t>
  </si>
  <si>
    <t xml:space="preserve">Urea-Clearance-RenalExcretionRate</t>
  </si>
  <si>
    <t xml:space="preserve">Urea-Clearance-RenalFiltrationRate</t>
  </si>
  <si>
    <t xml:space="preserve">Urea-Clearance-RenalReabsorptionRate</t>
  </si>
  <si>
    <t xml:space="preserve">Calculated from (Filtration - Excretion)</t>
  </si>
  <si>
    <t xml:space="preserve">Urinalysis</t>
  </si>
  <si>
    <t xml:space="preserve">Color</t>
  </si>
  <si>
    <t xml:space="preserve">Enum</t>
  </si>
  <si>
    <t xml:space="preserve">Yellow</t>
  </si>
  <si>
    <t xml:space="preserve">N/A</t>
  </si>
  <si>
    <t xml:space="preserve">Color is a gradient based on Urine Osmolality</t>
  </si>
  <si>
    <t xml:space="preserve">Urinalysis@</t>
  </si>
  <si>
    <t xml:space="preserve">Appearance*</t>
  </si>
  <si>
    <t xml:space="preserve">Negative</t>
  </si>
  <si>
    <t xml:space="preserve">walker1990clinical</t>
  </si>
  <si>
    <t xml:space="preserve">Determined by concentration &gt; 100mg/dL</t>
  </si>
  <si>
    <t xml:space="preserve">Ketone</t>
  </si>
  <si>
    <t xml:space="preserve">Determined by concentration &gt; 5 mg/dL</t>
  </si>
  <si>
    <t xml:space="preserve">Bilirubin*</t>
  </si>
  <si>
    <t xml:space="preserve">SpecificGravity</t>
  </si>
  <si>
    <t xml:space="preserve">Blood</t>
  </si>
  <si>
    <t xml:space="preserve">Determined by concentration &gt; 0.15 mg/dL</t>
  </si>
  <si>
    <t xml:space="preserve">pH*</t>
  </si>
  <si>
    <t xml:space="preserve">Protein</t>
  </si>
  <si>
    <t xml:space="preserve">Determined by concentration &gt; 25 mg/dL</t>
  </si>
  <si>
    <t xml:space="preserve">Urobilinogen*</t>
  </si>
  <si>
    <t xml:space="preserve">Nitrite*</t>
  </si>
  <si>
    <t xml:space="preserve">LeukocyteEsterase*</t>
  </si>
  <si>
    <t xml:space="preserve">AirwayPressure</t>
  </si>
  <si>
    <t xml:space="preserve">cmH2O</t>
  </si>
  <si>
    <t xml:space="preserve">kacmarek2016egan</t>
  </si>
  <si>
    <t xml:space="preserve">Atmospheric Pressure</t>
  </si>
  <si>
    <t xml:space="preserve">Respiratory</t>
  </si>
  <si>
    <t xml:space="preserve">AlveolarArterialGradient</t>
  </si>
  <si>
    <t xml:space="preserve">[5,14]</t>
  </si>
  <si>
    <t xml:space="preserve">costanzo2006brs</t>
  </si>
  <si>
    <t xml:space="preserve">"A conservative estimate of normal A–a gradient is less than [age in years/4] + 4. Thus, a 40-year-old should have an A–a gradient less than 14."</t>
  </si>
  <si>
    <t xml:space="preserve">2g</t>
  </si>
  <si>
    <t xml:space="preserve">AlveolarDeadSpace</t>
  </si>
  <si>
    <t xml:space="preserve">MeanPerIdealWeight(kg)</t>
  </si>
  <si>
    <t xml:space="preserve">p74</t>
  </si>
  <si>
    <t xml:space="preserve">Negligible</t>
  </si>
  <si>
    <t xml:space="preserve">"Volume of gas that enters unperfused aveoli per breath… A healthy young person has little or no alveolar dead space."</t>
  </si>
  <si>
    <t xml:space="preserve">AnatomicDeadSpace</t>
  </si>
  <si>
    <t xml:space="preserve">p71</t>
  </si>
  <si>
    <t xml:space="preserve">150mL for standard male</t>
  </si>
  <si>
    <t xml:space="preserve">ChestWallCompliance</t>
  </si>
  <si>
    <t xml:space="preserve">L/cmH2O</t>
  </si>
  <si>
    <t xml:space="preserve">p25</t>
  </si>
  <si>
    <t xml:space="preserve">ElasticWorkOfBreathing*</t>
  </si>
  <si>
    <t xml:space="preserve">J</t>
  </si>
  <si>
    <t xml:space="preserve">EndTidalCarbonDioxideFraction*</t>
  </si>
  <si>
    <t xml:space="preserve">EndTidalCarbonDioxidePressure</t>
  </si>
  <si>
    <t xml:space="preserve">[35, 45]</t>
  </si>
  <si>
    <t xml:space="preserve">p74 Fig 3-9</t>
  </si>
  <si>
    <t xml:space="preserve">EndTidalOxygenFraction*</t>
  </si>
  <si>
    <t xml:space="preserve">EndTidalOxygenPressure*</t>
  </si>
  <si>
    <t xml:space="preserve">ExpiratoryFlow</t>
  </si>
  <si>
    <t xml:space="preserve">L/s</t>
  </si>
  <si>
    <t xml:space="preserve">gupta2010characterizing</t>
  </si>
  <si>
    <t xml:space="preserve">Fig 1</t>
  </si>
  <si>
    <t xml:space="preserve">ExpiratoryPulmonaryResistance</t>
  </si>
  <si>
    <t xml:space="preserve">cmH2O s/L</t>
  </si>
  <si>
    <t xml:space="preserve">[0.5, 2.5]</t>
  </si>
  <si>
    <t xml:space="preserve">p233</t>
  </si>
  <si>
    <t xml:space="preserve">ExpiratoryTidalVolume</t>
  </si>
  <si>
    <t xml:space="preserve">p290 App IV</t>
  </si>
  <si>
    <t xml:space="preserve">FractionOfInsipredOxygen</t>
  </si>
  <si>
    <t xml:space="preserve">HorowitzIndex</t>
  </si>
  <si>
    <t xml:space="preserve">p503</t>
  </si>
  <si>
    <t xml:space="preserve">PaO2/FiO2 = 95 mmHg/0.21</t>
  </si>
  <si>
    <t xml:space="preserve">ImposedPowerOfBreathing*</t>
  </si>
  <si>
    <t xml:space="preserve">W</t>
  </si>
  <si>
    <t xml:space="preserve">ImposedWorkOfBreathing*</t>
  </si>
  <si>
    <t xml:space="preserve">InspiratoryExpiratoryRatio</t>
  </si>
  <si>
    <t xml:space="preserve">[0.25, 0.50]</t>
  </si>
  <si>
    <t xml:space="preserve"> p19</t>
  </si>
  <si>
    <t xml:space="preserve">1:2 to 1:4</t>
  </si>
  <si>
    <t xml:space="preserve">InspiratoryFlow</t>
  </si>
  <si>
    <t xml:space="preserve">InspiratoryPulmonaryResistance</t>
  </si>
  <si>
    <t xml:space="preserve">InspiratoryTidalVolume</t>
  </si>
  <si>
    <t xml:space="preserve">IntrapleuralPressure</t>
  </si>
  <si>
    <t xml:space="preserve">p13</t>
  </si>
  <si>
    <t xml:space="preserve">IntrapulmonaryPressure</t>
  </si>
  <si>
    <t xml:space="preserve">[Tidal Volume] / [Total Compliance]</t>
  </si>
  <si>
    <t xml:space="preserve">IntrinsicPositiveEndExpiredPressure</t>
  </si>
  <si>
    <t xml:space="preserve">LungCompliance</t>
  </si>
  <si>
    <t xml:space="preserve">MaximalInspiratoryPressure</t>
  </si>
  <si>
    <t xml:space="preserve">p14</t>
  </si>
  <si>
    <t xml:space="preserve">Peak inspiratory pressure in normal breathing is sometimes referred to as the maximal inspiratory pressure (MIPO), which is a negative value.  Therefore, this is the lowest alveolar pressure per breath.</t>
  </si>
  <si>
    <t xml:space="preserve">MeanAirwayPressure</t>
  </si>
  <si>
    <t xml:space="preserve">OxygenationIndex</t>
  </si>
  <si>
    <t xml:space="preserve">FiO2*MAP*100/PaO2</t>
  </si>
  <si>
    <t xml:space="preserve">OxygenSaturationIndex</t>
  </si>
  <si>
    <t xml:space="preserve">FiO2*MAP*100/SpO2</t>
  </si>
  <si>
    <t xml:space="preserve">PatientPowerOfBreathing*</t>
  </si>
  <si>
    <t xml:space="preserve">PatientWorkOfBreathing*</t>
  </si>
  <si>
    <t xml:space="preserve">PeakInspiratoryPressure</t>
  </si>
  <si>
    <t xml:space="preserve">In mechanical ventilation, the number reflects a positive pressure.</t>
  </si>
  <si>
    <t xml:space="preserve">PhysiologicDeadSpace</t>
  </si>
  <si>
    <t xml:space="preserve">PositiveEndExpiratoryPressure</t>
  </si>
  <si>
    <t xml:space="preserve">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</si>
  <si>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 xml:space="preserve">PulmonaryCompliance</t>
  </si>
  <si>
    <t xml:space="preserve">[0.06, 0.14]</t>
  </si>
  <si>
    <t xml:space="preserve">p23-25</t>
  </si>
  <si>
    <r>
      <rPr>
        <sz val="9"/>
        <color rgb="FF000000"/>
        <rFont val="Calibri"/>
        <family val="2"/>
        <charset val="1"/>
      </rPr>
      <t xml:space="preserve">1/total compliance = 1/lung compliance + 1/Chest wall compliance
</t>
    </r>
    <r>
      <rPr>
        <u val="single"/>
        <sz val="9"/>
        <color rgb="FF000000"/>
        <rFont val="Calibri"/>
        <family val="2"/>
        <charset val="1"/>
      </rPr>
      <t xml:space="preserve">Total Compliance is about 0.1 L/cmH2O
</t>
    </r>
    <r>
      <rPr>
        <sz val="9"/>
        <color rgb="FF000000"/>
        <rFont val="Calibri"/>
        <family val="2"/>
        <charset val="1"/>
      </rPr>
      <t xml:space="preserve">Chest Wall Compliance is about 0.2 L/cmH2O
Lung Compliance is about 0.2 L/cmH2O
Considered normal if in the range of 60% to 140% of average.</t>
    </r>
  </si>
  <si>
    <t xml:space="preserve">PulmonaryElastance</t>
  </si>
  <si>
    <t xml:space="preserve">cmH2O/L</t>
  </si>
  <si>
    <t xml:space="preserve">[7.14, 16.67]</t>
  </si>
  <si>
    <t xml:space="preserve">1/Compliance</t>
  </si>
  <si>
    <t xml:space="preserve">RelativeTotalLungVolume</t>
  </si>
  <si>
    <t xml:space="preserve">L</t>
  </si>
  <si>
    <t xml:space="preserve">Derived from Tidal Volume (TV) 
~1/2 TV</t>
  </si>
  <si>
    <t xml:space="preserve">ResistiveExpiratoryWorkOfBreathing*</t>
  </si>
  <si>
    <t xml:space="preserve">ResistiveInspiratoryWorkOfBreathing*</t>
  </si>
  <si>
    <t xml:space="preserve">RespirationRate</t>
  </si>
  <si>
    <t xml:space="preserve">[12.0, 20.0],
12.0,
12.0</t>
  </si>
  <si>
    <t xml:space="preserve">silverthorn2013human,
Levitzky2013pulmonary,
guyton2006medical</t>
  </si>
  <si>
    <t xml:space="preserve">p591 Tab 17.3,
p290 App IV,
p503</t>
  </si>
  <si>
    <t xml:space="preserve">RespiratoryMuscleFatigue*</t>
  </si>
  <si>
    <t xml:space="preserve">roussos1979fatigue</t>
  </si>
  <si>
    <t xml:space="preserve">RespiratoryMusclePressure*</t>
  </si>
  <si>
    <t xml:space="preserve">SaturationAndFractionOfInspiredOxygenRatio</t>
  </si>
  <si>
    <t xml:space="preserve">SpO2/FiO2 = 0.97/0.21</t>
  </si>
  <si>
    <t xml:space="preserve">SpecificVentilation</t>
  </si>
  <si>
    <t xml:space="preserve">Tidal Volume / FRC
0.007/0.030</t>
  </si>
  <si>
    <t xml:space="preserve">TidalVolume</t>
  </si>
  <si>
    <t xml:space="preserve">TotalAlveolarVentilation</t>
  </si>
  <si>
    <t xml:space="preserve">L/min</t>
  </si>
  <si>
    <t xml:space="preserve">60 ml/min/kg
Alveolar Ventilation = RR x (TV - Dead space)</t>
  </si>
  <si>
    <t xml:space="preserve">TotalDeadSpaceVentilation</t>
  </si>
  <si>
    <t xml:space="preserve">Total Pulmonary Ventilation - Total Alveolar Ventilation</t>
  </si>
  <si>
    <t xml:space="preserve">TotalLungVolume</t>
  </si>
  <si>
    <t xml:space="preserve">Derived from Tidal Volume (TV) and Functional Reserve Capacity (FRC)
FRC + 1/2 TV</t>
  </si>
  <si>
    <t xml:space="preserve">TotalPowerOfBreathing*</t>
  </si>
  <si>
    <t xml:space="preserve">TotalPulmonaryVentilation</t>
  </si>
  <si>
    <t xml:space="preserve">Derived from Tidal Volume (TV) and Respiration Rate (RR)
Minute ventilation = RRxTV</t>
  </si>
  <si>
    <t xml:space="preserve">TotalWorkOfBreathing*</t>
  </si>
  <si>
    <t xml:space="preserve">TransairwayPressure</t>
  </si>
  <si>
    <t xml:space="preserve">TransalveolarPressure</t>
  </si>
  <si>
    <t xml:space="preserve">p473</t>
  </si>
  <si>
    <t xml:space="preserve">TransChestWallPressure</t>
  </si>
  <si>
    <t xml:space="preserve">Relative pressure at the node between compliances</t>
  </si>
  <si>
    <t xml:space="preserve">TransMusclePressure</t>
  </si>
  <si>
    <t xml:space="preserve">TranspulmonaryPressure</t>
  </si>
  <si>
    <t xml:space="preserve">TransrespiratoryPressure</t>
  </si>
  <si>
    <t xml:space="preserve">p228</t>
  </si>
  <si>
    <t xml:space="preserve">No assistance (e.g., mechanical ventilator)</t>
  </si>
  <si>
    <t xml:space="preserve">TransthoracicPressure</t>
  </si>
  <si>
    <t xml:space="preserve">Carina-Pressure</t>
  </si>
  <si>
    <t xml:space="preserve">[1033.2, 1034.2]</t>
  </si>
  <si>
    <t xml:space="preserve">p466 Fig 37-2</t>
  </si>
  <si>
    <t xml:space="preserve">Assume  P&lt;sub&gt;atm&lt;/sub&gt; = 1033.2 cmH2O</t>
  </si>
  <si>
    <t xml:space="preserve">Between alveoli pulmonary pressure and atmospheric pressure</t>
  </si>
  <si>
    <t xml:space="preserve">RespiratoryCompartments</t>
  </si>
  <si>
    <t xml:space="preserve">5g</t>
  </si>
  <si>
    <t xml:space="preserve">[1032.2, 1033.2]</t>
  </si>
  <si>
    <t xml:space="preserve">Carina-Oxygen-PartialPressure</t>
  </si>
  <si>
    <t xml:space="preserve">[150.0, 160.0],
149.0</t>
  </si>
  <si>
    <t xml:space="preserve">silverthorn2013human, 
Levitzky2013pulmonary</t>
  </si>
  <si>
    <t xml:space="preserve">p577 Fig 17.6,
p76</t>
  </si>
  <si>
    <t xml:space="preserve">160.0 Dry Air @ 25 C
150.0 100% Humidity @ 37 C</t>
  </si>
  <si>
    <t xml:space="preserve">p77</t>
  </si>
  <si>
    <t xml:space="preserve">Carina-CarbonDioxide-PartialPressure</t>
  </si>
  <si>
    <t xml:space="preserve">[27.0, 43.0]</t>
  </si>
  <si>
    <t xml:space="preserve">p74 Fig 3-9 and p77</t>
  </si>
  <si>
    <t xml:space="preserve">[0.235, 0.250],
0.300</t>
  </si>
  <si>
    <t xml:space="preserve">0.25 Dry Air @ 25 C
0.235.0 100% Humidity @ 37 C</t>
  </si>
  <si>
    <t xml:space="preserve">LeftPleuralCavity-Pressure</t>
  </si>
  <si>
    <t xml:space="preserve"> m_TotalLungCapacity (Patient input data) - m_dResidualLungVolume</t>
  </si>
  <si>
    <t xml:space="preserve">RightPleuralCavity-Pressure</t>
  </si>
  <si>
    <t xml:space="preserve">PulmonaryLungs-Volume</t>
  </si>
  <si>
    <t xml:space="preserve">MinPerIdealWeight(kg)</t>
  </si>
  <si>
    <t xml:space="preserve">Functional Residual Capacity (FRC)</t>
  </si>
  <si>
    <t xml:space="preserve">MaxPerIdealWeight(kg)</t>
  </si>
  <si>
    <t xml:space="preserve">FRC + TV</t>
  </si>
  <si>
    <t xml:space="preserve">LeftLungPulmonary-Pressure</t>
  </si>
  <si>
    <t xml:space="preserve">[1034.0, 1038.2],
1034.2</t>
  </si>
  <si>
    <t xml:space="preserve">otis1947measurement,
guyton2006medical</t>
  </si>
  <si>
    <t xml:space="preserve">p111,
p466 Fig 37-2</t>
  </si>
  <si>
    <t xml:space="preserve">Same as Left Lung Alveoli Pulmonary Pressure</t>
  </si>
  <si>
    <t xml:space="preserve">[1028.2, 1032.4],
1032.2</t>
  </si>
  <si>
    <t xml:space="preserve">RightLungPulmonary-Pressure</t>
  </si>
  <si>
    <t xml:space="preserve">Same as Right Lung Alveoli Pulmonary Pressure</t>
  </si>
  <si>
    <t xml:space="preserve">LeftAlveoli-Volume</t>
  </si>
  <si>
    <t xml:space="preserve">FRC - Dead Space Volume
Scaled for right lung (55% of total)</t>
  </si>
  <si>
    <t xml:space="preserve">FRC + TV - Dead Space Volume
Scaled for right lung (55% of total)</t>
  </si>
  <si>
    <t xml:space="preserve">LeftAlveoli-Pressure</t>
  </si>
  <si>
    <t xml:space="preserve">LeftAlveoli-Oxygen-PartialPressure</t>
  </si>
  <si>
    <t xml:space="preserve">98.0,
100.0,
104.0</t>
  </si>
  <si>
    <t xml:space="preserve">silverthorn2013human,
lloyd1958relation,
Levitzky2013pulmonary</t>
  </si>
  <si>
    <t xml:space="preserve">p592,
p214,
p76</t>
  </si>
  <si>
    <t xml:space="preserve">LeftAlveoli-CarbonDioxide-PartialPressure</t>
  </si>
  <si>
    <t xml:space="preserve">40.0,
40.0,
54.4</t>
  </si>
  <si>
    <t xml:space="preserve">silverthorn2013human,
Levitzky2013pulmonary,
lloyd1958relation</t>
  </si>
  <si>
    <t xml:space="preserve">p592,
p76,
p214           </t>
  </si>
  <si>
    <t xml:space="preserve">RightAlveoli-Volume</t>
  </si>
  <si>
    <t xml:space="preserve">RightAlveoli-Pressure</t>
  </si>
  <si>
    <t xml:space="preserve">RightAlveoli-Oxygen-PartialPressure</t>
  </si>
  <si>
    <t xml:space="preserve">RightAlveoli-CarbonDioxide-PartialPressure</t>
  </si>
  <si>
    <t xml:space="preserve">LeftAnatomicDeadSpace-Volume</t>
  </si>
  <si>
    <t xml:space="preserve">Scaled for left lung (45% of total)</t>
  </si>
  <si>
    <t xml:space="preserve">LeftAnatomicDeadSpace-Oxygen-PartialPressure</t>
  </si>
  <si>
    <t xml:space="preserve">[104.0, 149.0]</t>
  </si>
  <si>
    <t xml:space="preserve">p76</t>
  </si>
  <si>
    <t xml:space="preserve">Between inspired and alveolar air values</t>
  </si>
  <si>
    <t xml:space="preserve">LeftAnatomicDeadSpace-CarbonDioxide-PartialPressure</t>
  </si>
  <si>
    <t xml:space="preserve">[0.03, 40.0]</t>
  </si>
  <si>
    <t xml:space="preserve">RightAnatomicDeadSpace-Volume</t>
  </si>
  <si>
    <t xml:space="preserve">Scaled for right lung (55% of total)</t>
  </si>
  <si>
    <t xml:space="preserve">RightAnatomicDeadSpace-Oxygen-PartialPressure</t>
  </si>
  <si>
    <t xml:space="preserve">RightAnatomicDeadSpace-CarbonDioxide-PartialPressure</t>
  </si>
  <si>
    <t xml:space="preserve">Pulmonary Function Test</t>
  </si>
  <si>
    <t xml:space="preserve">ExpiratoryReserveVolume</t>
  </si>
  <si>
    <t xml:space="preserve">wikipedia</t>
  </si>
  <si>
    <t xml:space="preserve">Wikipedia - "Spirometry".  Falls just outside the limit defined by crapo1981reference</t>
  </si>
  <si>
    <t xml:space="preserve">PulmonaryFunctionTest</t>
  </si>
  <si>
    <t xml:space="preserve">PFT@</t>
  </si>
  <si>
    <t xml:space="preserve">ForcedVitalCapacity*</t>
  </si>
  <si>
    <t xml:space="preserve">In healty subjects, the FVC and VC are the same.</t>
  </si>
  <si>
    <t xml:space="preserve">ForcedExpiratoryVolume*</t>
  </si>
  <si>
    <t xml:space="preserve">[3.496, 4.188]</t>
  </si>
  <si>
    <t xml:space="preserve">crapo1981reference</t>
  </si>
  <si>
    <t xml:space="preserve">FEV1 for Standard Patient</t>
  </si>
  <si>
    <t xml:space="preserve">ForcedExpiratoryFlow*</t>
  </si>
  <si>
    <t xml:space="preserve">[2.76, 4.13]</t>
  </si>
  <si>
    <t xml:space="preserve">FEF25,75 for Standard Patient</t>
  </si>
  <si>
    <t xml:space="preserve">FunctionalResidualCapacity</t>
  </si>
  <si>
    <t xml:space="preserve">InspiratoryCapacity</t>
  </si>
  <si>
    <t xml:space="preserve">Wikipedia - "Spirometry"</t>
  </si>
  <si>
    <t xml:space="preserve">InspiratoryReserveVolume</t>
  </si>
  <si>
    <t xml:space="preserve">MaximumVoluntaryVentilation*</t>
  </si>
  <si>
    <t xml:space="preserve">[140.0, 180.0]</t>
  </si>
  <si>
    <t xml:space="preserve">PeakExpiratoryFlow*</t>
  </si>
  <si>
    <t xml:space="preserve">gupta2010</t>
  </si>
  <si>
    <t xml:space="preserve">ResidualVolume</t>
  </si>
  <si>
    <t xml:space="preserve">SlowVitalCapacity*</t>
  </si>
  <si>
    <t xml:space="preserve">In healty subjects, the SVC and VC are the same.</t>
  </si>
  <si>
    <t xml:space="preserve">TotalLungCapacity</t>
  </si>
  <si>
    <t xml:space="preserve">Wikipedia - "Spirometry".  Falls withing limits defined by crapo1981reference</t>
  </si>
  <si>
    <t xml:space="preserve">VitalCapacity</t>
  </si>
  <si>
    <t xml:space="preserve">LungVolumePlot*</t>
  </si>
  <si>
    <t xml:space="preserve">Women</t>
  </si>
  <si>
    <t xml:space="preserve">CarbonDioxideProductionRate</t>
  </si>
  <si>
    <t xml:space="preserve">guyton2006medical </t>
  </si>
  <si>
    <t xml:space="preserve">Tissue</t>
  </si>
  <si>
    <t xml:space="preserve">ExtracellularFluidVolume</t>
  </si>
  <si>
    <t xml:space="preserve">Excluding intravascular fluid</t>
  </si>
  <si>
    <t xml:space="preserve">Change to a fraction of the total extravascular volume</t>
  </si>
  <si>
    <t xml:space="preserve">ExtravascularFluidVolume</t>
  </si>
  <si>
    <t xml:space="preserve">Note this is a sum of the ev's below</t>
  </si>
  <si>
    <t xml:space="preserve">This is a sum of the volumes</t>
  </si>
  <si>
    <t xml:space="preserve">IntracellularFluidPH</t>
  </si>
  <si>
    <t xml:space="preserve">[6.0,7.4],
 7.0</t>
  </si>
  <si>
    <t xml:space="preserve">guyton2006medical,         Rodgers2005physiologically</t>
  </si>
  <si>
    <t xml:space="preserve">p384</t>
  </si>
  <si>
    <t xml:space="preserve">This is a constant</t>
  </si>
  <si>
    <t xml:space="preserve">IntracellularFluidVolume</t>
  </si>
  <si>
    <t xml:space="preserve">OxygenConsumptionRate</t>
  </si>
  <si>
    <t xml:space="preserve">RespiratoryExchangeRatio</t>
  </si>
  <si>
    <t xml:space="preserve">none</t>
  </si>
  <si>
    <t xml:space="preserve">gropper2013nutrition</t>
  </si>
  <si>
    <t xml:space="preserve">p291</t>
  </si>
  <si>
    <t xml:space="preserve">Alveolar Transfer</t>
  </si>
  <si>
    <t xml:space="preserve">CarbonDioxide-AlveolarTransfer</t>
  </si>
  <si>
    <t xml:space="preserve">p78</t>
  </si>
  <si>
    <t xml:space="preserve">Oxygen-AlveolarTransfer</t>
  </si>
  <si>
    <t xml:space="preserve">Volumes</t>
  </si>
  <si>
    <t xml:space="preserve">FatTissue-TotalVolume</t>
  </si>
  <si>
    <t xml:space="preserve">8 of online supplement</t>
  </si>
  <si>
    <t xml:space="preserve">Huisinga assumes density of 0.92 kg/L to compute adipose tissue volume</t>
  </si>
  <si>
    <t xml:space="preserve">TissueCompartments</t>
  </si>
  <si>
    <t xml:space="preserve">FatTissueExtracellular-Volume</t>
  </si>
  <si>
    <t xml:space="preserve">rodgers2005physiologically</t>
  </si>
  <si>
    <t xml:space="preserve">FatTissueIntracellular-Volume</t>
  </si>
  <si>
    <t xml:space="preserve">BoneTissue-TotalVolume</t>
  </si>
  <si>
    <t xml:space="preserve">Huisinga assumes density of 1.3 kg/L to compute skeletal tissue volume</t>
  </si>
  <si>
    <t xml:space="preserve">BoneTissueExtracellular-Volume</t>
  </si>
  <si>
    <t xml:space="preserve">BoneTissueIntracellular-Volume</t>
  </si>
  <si>
    <t xml:space="preserve">BrainTissue-TotalVolume</t>
  </si>
  <si>
    <t xml:space="preserve">Huisinga assumes density of 1.0 kg/L</t>
  </si>
  <si>
    <t xml:space="preserve">BrainTissueExtracellular-Volume</t>
  </si>
  <si>
    <t xml:space="preserve">BrainTissueIntracellular-Volume</t>
  </si>
  <si>
    <t xml:space="preserve">GutTissue-TotalVolume</t>
  </si>
  <si>
    <t xml:space="preserve">GutTissueExtracellular-Volume</t>
  </si>
  <si>
    <t xml:space="preserve">GutTissueIntracellular-Volume</t>
  </si>
  <si>
    <t xml:space="preserve">RightKidneyTissue-TotalVolume</t>
  </si>
  <si>
    <t xml:space="preserve">RightKidneyTissueExtracellular-Volume</t>
  </si>
  <si>
    <t xml:space="preserve">RightKidneyTissueIntracellular-Volume</t>
  </si>
  <si>
    <t xml:space="preserve">LeftKidneyTissue-TotalVolume</t>
  </si>
  <si>
    <t xml:space="preserve">LeftKidneyTissueExtracellular-Volume</t>
  </si>
  <si>
    <t xml:space="preserve">LeftKidneyTissueIntracellular-Volume</t>
  </si>
  <si>
    <t xml:space="preserve">LiverTissue-TotalVolume</t>
  </si>
  <si>
    <t xml:space="preserve">LiverTissueExtracellular-Volume</t>
  </si>
  <si>
    <t xml:space="preserve">LiverTissueIntracellular-Volume</t>
  </si>
  <si>
    <t xml:space="preserve">RightLungTissue-TotalVolume</t>
  </si>
  <si>
    <t xml:space="preserve">RightLungTissueExtracellular-Volume</t>
  </si>
  <si>
    <t xml:space="preserve">RightLungTissueIntracellular-Volume</t>
  </si>
  <si>
    <t xml:space="preserve">LeftLungTissue-TotalVolume</t>
  </si>
  <si>
    <t xml:space="preserve">LeftLungTissueExtracellular-Volume</t>
  </si>
  <si>
    <t xml:space="preserve">LeftLungTissueIntracellular-Volume</t>
  </si>
  <si>
    <t xml:space="preserve">MuscleTissue-TotalVolume</t>
  </si>
  <si>
    <t xml:space="preserve">MuscleTissueExtracellular-Volume</t>
  </si>
  <si>
    <t xml:space="preserve">MuscleTissueIntracellular-Volume</t>
  </si>
  <si>
    <t xml:space="preserve">Muscle-Glucose-ExtracellularMolarity*</t>
  </si>
  <si>
    <t xml:space="preserve">[3.5,3.9]</t>
  </si>
  <si>
    <t xml:space="preserve">maclean1999muscle</t>
  </si>
  <si>
    <t xml:space="preserve">Muscle-Lactate-ExtracellularMolarity*</t>
  </si>
  <si>
    <t xml:space="preserve">[0.3,1.3]</t>
  </si>
  <si>
    <t xml:space="preserve">Assumed same as plasma except in muscles, where it is produced</t>
  </si>
  <si>
    <t xml:space="preserve">MyocardiumTissue-TotalVolume</t>
  </si>
  <si>
    <t xml:space="preserve">MyocardiumTissueExtracellular-Volume</t>
  </si>
  <si>
    <t xml:space="preserve">MyocardiumTissueIntracellular-Volume</t>
  </si>
  <si>
    <t xml:space="preserve">SkinTissue-TotalVolume</t>
  </si>
  <si>
    <t xml:space="preserve">SkinTissueExtracellular-Volume</t>
  </si>
  <si>
    <t xml:space="preserve">SkinTissueIntracellular-Volume</t>
  </si>
  <si>
    <t xml:space="preserve">SpleenTissue-TotalVolume</t>
  </si>
  <si>
    <t xml:space="preserve">SpleenTissueExtracellular-Volume</t>
  </si>
  <si>
    <t xml:space="preserve">SpleenTissueIntracellular-Volume</t>
  </si>
  <si>
    <t xml:space="preserve">Concentrations</t>
  </si>
  <si>
    <t xml:space="preserve">Acetoacetate-ExtracellularMolarity*</t>
  </si>
  <si>
    <t xml:space="preserve">[0.08,0.1]</t>
  </si>
  <si>
    <t xml:space="preserve">Assumed to be the same as plasma. NO SCIENTIFIC BASIS for this assumption</t>
  </si>
  <si>
    <t xml:space="preserve">TissueSubstances</t>
  </si>
  <si>
    <t xml:space="preserve">Albumin-ExtracellularMolarity*</t>
  </si>
  <si>
    <t xml:space="preserve">Bicarbonate-ExtracellularMolarity*</t>
  </si>
  <si>
    <t xml:space="preserve">boron2012medical</t>
  </si>
  <si>
    <t xml:space="preserve">p108</t>
  </si>
  <si>
    <t xml:space="preserve">Calcium-ExtracellularMolarity*</t>
  </si>
  <si>
    <t xml:space="preserve">CarbonDioxide-ExtracellularMolarity*</t>
  </si>
  <si>
    <t xml:space="preserve">[1.7 ,2.2]</t>
  </si>
  <si>
    <t xml:space="preserve">Cannot find validation. It's being produced in the tissues. Should be around venous values as only dissolved diffuses.</t>
  </si>
  <si>
    <t xml:space="preserve">Chloride-ExtracellularMolarity*</t>
  </si>
  <si>
    <t xml:space="preserve">Creatinine-ExtracellularMolarity*</t>
  </si>
  <si>
    <t xml:space="preserve">Cannot find validation data. We know that it is produced in muscle cells and it diffuses into blood, so the concentration should be elevated in muscles, and I would imagine also in the muscle interstitial space.</t>
  </si>
  <si>
    <t xml:space="preserve">Epinephrine-ExtracellularMolarity*</t>
  </si>
  <si>
    <t xml:space="preserve">pmol/L</t>
  </si>
  <si>
    <t xml:space="preserve">[245, 605],
[0.01,273]</t>
  </si>
  <si>
    <t xml:space="preserve">Zauner2000starvation,
Kratz2004Case</t>
  </si>
  <si>
    <t xml:space="preserve">
p1558</t>
  </si>
  <si>
    <t xml:space="preserve">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</si>
  <si>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 xml:space="preserve">Glucose-ExtracellularMolarity*</t>
  </si>
  <si>
    <t xml:space="preserve">Hemoglobin-ExtracellularMolarity*</t>
  </si>
  <si>
    <t xml:space="preserve">no reference - too large to diffuse</t>
  </si>
  <si>
    <t xml:space="preserve">Insulin-ExtracellularMolarity*</t>
  </si>
  <si>
    <t xml:space="preserve">[0.01,118.1],
59.75</t>
  </si>
  <si>
    <t xml:space="preserve">Leeuwen2015laboratory,
polonsky1987insulin</t>
  </si>
  <si>
    <t xml:space="preserve">p978</t>
  </si>
  <si>
    <t xml:space="preserve">Lactate-ExtracellularMolarity*</t>
  </si>
  <si>
    <t xml:space="preserve">[0.6,1.7]</t>
  </si>
  <si>
    <t xml:space="preserve">Kratz2004Case</t>
  </si>
  <si>
    <t xml:space="preserve">p1555</t>
  </si>
  <si>
    <t xml:space="preserve">Assumed same as plasma except in muscles, where it is produced. There is evidence that it is higher in the skin interstitium than in the blood, which suggests that it could be higher in all the extracellular space (petersen1999interstitial)</t>
  </si>
  <si>
    <t xml:space="preserve">Nitrogen-ExtracellularMolarity*</t>
  </si>
  <si>
    <t xml:space="preserve">Cannot find validation, but it dissolves freely and doesn't bind to anything, so it should be Henry's law.</t>
  </si>
  <si>
    <t xml:space="preserve">Norepinephrine-ExtracellularMolarity*</t>
  </si>
  <si>
    <t xml:space="preserve">[650,2423]</t>
  </si>
  <si>
    <t xml:space="preserve">p1559</t>
  </si>
  <si>
    <t xml:space="preserve">Oxygen-ExtracellularMolarity*</t>
  </si>
  <si>
    <t xml:space="preserve">[0.03,0.07]</t>
  </si>
  <si>
    <t xml:space="preserve">Potassium-ExtracellularMolarity*</t>
  </si>
  <si>
    <t xml:space="preserve">Sodium-ExtracellularMolarity*</t>
  </si>
  <si>
    <t xml:space="preserve">Tristearin-ExtracellularMolarity*</t>
  </si>
  <si>
    <t xml:space="preserve">This is a tough one</t>
  </si>
  <si>
    <t xml:space="preserve">Urea-ExtracellularMolarity*</t>
  </si>
  <si>
    <t xml:space="preserve">Assume same as plasma based on comment on pg. 289 of Valtin "urea diffuses freely into cells"</t>
  </si>
  <si>
    <t xml:space="preserve">Acetoacetate-IntracellularMolarity*</t>
  </si>
  <si>
    <t xml:space="preserve">Albumin-IntracellularMolarity*</t>
  </si>
  <si>
    <t xml:space="preserve">Assumed to be same as interstitium</t>
  </si>
  <si>
    <t xml:space="preserve">Bicarbonate-IntracellularMolarity*</t>
  </si>
  <si>
    <t xml:space="preserve">Calcium-IntracellularMolarity*</t>
  </si>
  <si>
    <t xml:space="preserve">CarbonDioxide-IntracellularMolarity*</t>
  </si>
  <si>
    <t xml:space="preserve">Chloride-IntracellularMolarity*</t>
  </si>
  <si>
    <t xml:space="preserve">Creatinine-IntracellularMolarity*</t>
  </si>
  <si>
    <t xml:space="preserve">Cannot find validation data. We know that it is produced in muscle cells and it diffuses into blood, so the concentration should be elevated in muscles.</t>
  </si>
  <si>
    <t xml:space="preserve">Epinephrine-IntracellularMolarity*</t>
  </si>
  <si>
    <t xml:space="preserve">Glucose-IntracellularMolarity*</t>
  </si>
  <si>
    <t xml:space="preserve">Hemoglobin-IntracellularMolarity*</t>
  </si>
  <si>
    <t xml:space="preserve">Insulin-IntracellularMolarity*</t>
  </si>
  <si>
    <t xml:space="preserve">Lactate-IntracellularMolarity*</t>
  </si>
  <si>
    <t xml:space="preserve">Nitrogen-IntracellularMolarity*</t>
  </si>
  <si>
    <t xml:space="preserve">Norepinephrine-IntracellularMolarity*</t>
  </si>
  <si>
    <t xml:space="preserve">Oxygen-IntracellularMolarity*</t>
  </si>
  <si>
    <t xml:space="preserve">Potassium-IntracellularMolarity*</t>
  </si>
  <si>
    <t xml:space="preserve">Sodium-IntracellularMolarity*</t>
  </si>
  <si>
    <t xml:space="preserve">Tristearin-IntracellularMolarity*</t>
  </si>
  <si>
    <t xml:space="preserve">Urea-IntracellularMolarity*</t>
  </si>
</sst>
</file>

<file path=xl/styles.xml><?xml version="1.0" encoding="utf-8"?>
<styleSheet xmlns="http://schemas.openxmlformats.org/spreadsheetml/2006/main">
  <numFmts count="11">
    <numFmt numFmtId="164" formatCode="General"/>
    <numFmt numFmtId="165" formatCode="0"/>
    <numFmt numFmtId="166" formatCode="0.00"/>
    <numFmt numFmtId="167" formatCode="0.00E+00"/>
    <numFmt numFmtId="168" formatCode="#,##0"/>
    <numFmt numFmtId="169" formatCode="@"/>
    <numFmt numFmtId="170" formatCode="D\-MMM"/>
    <numFmt numFmtId="171" formatCode="0.0"/>
    <numFmt numFmtId="172" formatCode="0.000"/>
    <numFmt numFmtId="173" formatCode="#,##0.00"/>
    <numFmt numFmtId="174" formatCode="0.00000"/>
  </numFmts>
  <fonts count="17">
    <font>
      <sz val="11"/>
      <color rgb="FF000000"/>
      <name val="Calibri"/>
      <family val="2"/>
      <charset val="1"/>
    </font>
    <font>
      <sz val="10"/>
      <name val="Arial"/>
      <family val="0"/>
    </font>
    <font>
      <sz val="10"/>
      <name val="Arial"/>
      <family val="0"/>
    </font>
    <font>
      <sz val="10"/>
      <name val="Arial"/>
      <family val="0"/>
    </font>
    <font>
      <sz val="9"/>
      <color rgb="FF000000"/>
      <name val="Calibri"/>
      <family val="2"/>
      <charset val="1"/>
    </font>
    <font>
      <b val="true"/>
      <sz val="9"/>
      <color rgb="FFFFFFFF"/>
      <name val="Calibri"/>
      <family val="2"/>
      <charset val="1"/>
    </font>
    <font>
      <sz val="9"/>
      <name val="Calibri"/>
      <family val="2"/>
      <charset val="1"/>
    </font>
    <font>
      <b val="true"/>
      <sz val="9"/>
      <name val="Calibri"/>
      <family val="2"/>
      <charset val="1"/>
    </font>
    <font>
      <u val="single"/>
      <sz val="11"/>
      <color rgb="FF0000FF"/>
      <name val="Calibri"/>
      <family val="2"/>
      <charset val="1"/>
    </font>
    <font>
      <u val="single"/>
      <sz val="9"/>
      <color rgb="FF0000FF"/>
      <name val="Calibri"/>
      <family val="2"/>
      <charset val="1"/>
    </font>
    <font>
      <b val="true"/>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val="single"/>
      <sz val="9"/>
      <color rgb="FF000000"/>
      <name val="Calibri"/>
      <family val="2"/>
      <charset val="1"/>
    </font>
    <font>
      <sz val="9"/>
      <color rgb="FF0000FF"/>
      <name val="Calibri"/>
      <family val="2"/>
      <charset val="1"/>
    </font>
    <font>
      <sz val="9"/>
      <color rgb="FFFF0000"/>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true" applyProtection="false">
      <alignment horizontal="general" vertical="center" textRotation="0" wrapText="true" indent="0" shrinkToFit="false"/>
      <protection locked="true" hidden="false"/>
    </xf>
    <xf numFmtId="164" fontId="6" fillId="3" borderId="3"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9" fillId="0" borderId="1" xfId="20" applyFont="true" applyBorder="true" applyAlignment="true" applyProtection="true">
      <alignment horizontal="general" vertical="bottom" textRotation="0" wrapText="true" indent="0" shrinkToFit="false"/>
      <protection locked="true" hidden="false"/>
    </xf>
    <xf numFmtId="165" fontId="6" fillId="3" borderId="1" xfId="0" applyFont="true" applyBorder="true" applyAlignment="true" applyProtection="false">
      <alignment horizontal="center" vertical="center" textRotation="0" wrapText="true" indent="0" shrinkToFit="false"/>
      <protection locked="true" hidden="false"/>
    </xf>
    <xf numFmtId="165" fontId="6" fillId="3" borderId="1" xfId="0" applyFont="true" applyBorder="true" applyAlignment="true" applyProtection="false">
      <alignment horizontal="center" vertical="center" textRotation="0" wrapText="false" indent="0" shrinkToFit="false"/>
      <protection locked="true" hidden="false"/>
    </xf>
    <xf numFmtId="167" fontId="6" fillId="3"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8" fontId="6" fillId="3" borderId="1" xfId="0" applyFont="true" applyBorder="tru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general" vertical="center" textRotation="0" wrapText="true" indent="0" shrinkToFit="false"/>
      <protection locked="true" hidden="false"/>
    </xf>
    <xf numFmtId="169" fontId="11" fillId="0" borderId="0" xfId="0" applyFont="true" applyBorder="fals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8" fillId="0" borderId="1" xfId="20" applyFont="true" applyBorder="true" applyAlignment="true" applyProtection="true">
      <alignment horizontal="general" vertical="center" textRotation="0" wrapText="false" indent="0" shrinkToFit="false"/>
      <protection locked="true" hidden="false"/>
    </xf>
    <xf numFmtId="164" fontId="7" fillId="7" borderId="1" xfId="0" applyFont="true" applyBorder="true" applyAlignment="true" applyProtection="false">
      <alignment horizontal="left" vertical="center" textRotation="0" wrapText="tru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8" fontId="4"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8" borderId="1" xfId="0" applyFont="true" applyBorder="true" applyAlignment="true" applyProtection="false">
      <alignment horizontal="general" vertical="center" textRotation="0" wrapText="tru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6" fontId="6" fillId="3"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6" fontId="6" fillId="3" borderId="1" xfId="0" applyFont="true" applyBorder="true" applyAlignment="true" applyProtection="false">
      <alignment horizontal="center" vertical="center" textRotation="0" wrapText="true" indent="0" shrinkToFit="false"/>
      <protection locked="true" hidden="false"/>
    </xf>
    <xf numFmtId="169" fontId="6" fillId="3"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center" vertical="center" textRotation="0" wrapText="tru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general" vertical="center" textRotation="0" wrapText="true" indent="0" shrinkToFit="false"/>
      <protection locked="true" hidden="false"/>
    </xf>
    <xf numFmtId="164" fontId="7" fillId="8"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4" fontId="6" fillId="3"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4" borderId="5" xfId="0" applyFont="true" applyBorder="true" applyAlignment="true" applyProtection="false">
      <alignment horizontal="general" vertical="center" textRotation="0" wrapText="true" indent="0" shrinkToFit="false"/>
      <protection locked="true" hidden="false"/>
    </xf>
    <xf numFmtId="164" fontId="4" fillId="3" borderId="7" xfId="0" applyFont="true" applyBorder="true" applyAlignment="true" applyProtection="false">
      <alignment horizontal="center" vertical="center" textRotation="0" wrapText="true" indent="0" shrinkToFit="false"/>
      <protection locked="true" hidden="false"/>
    </xf>
    <xf numFmtId="164" fontId="6" fillId="3" borderId="6" xfId="0" applyFont="true" applyBorder="true" applyAlignment="true" applyProtection="false">
      <alignment horizontal="center" vertical="center" textRotation="0" wrapText="true" indent="0" shrinkToFit="false"/>
      <protection locked="true" hidden="false"/>
    </xf>
    <xf numFmtId="164" fontId="7" fillId="4" borderId="7" xfId="0" applyFont="true" applyBorder="true" applyAlignment="true" applyProtection="false">
      <alignment horizontal="general" vertical="center" textRotation="0" wrapText="true" indent="0" shrinkToFit="false"/>
      <protection locked="true" hidden="false"/>
    </xf>
    <xf numFmtId="170" fontId="4"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4" fontId="13" fillId="0" borderId="5" xfId="0" applyFont="true" applyBorder="true" applyAlignment="true" applyProtection="false">
      <alignment horizontal="left" vertical="center" textRotation="0" wrapText="true" indent="13" shrinkToFit="false"/>
      <protection locked="true" hidden="false"/>
    </xf>
    <xf numFmtId="171" fontId="4" fillId="0"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left" vertical="center" textRotation="0" wrapText="true" indent="0" shrinkToFit="false"/>
      <protection locked="true" hidden="false"/>
    </xf>
    <xf numFmtId="166"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71" fontId="4" fillId="3" borderId="1" xfId="0" applyFont="true" applyBorder="true" applyAlignment="true" applyProtection="false">
      <alignment horizontal="center" vertical="center" textRotation="0" wrapText="false" indent="0" shrinkToFit="false"/>
      <protection locked="true" hidden="false"/>
    </xf>
    <xf numFmtId="170" fontId="6" fillId="0" borderId="1" xfId="0" applyFont="true" applyBorder="true" applyAlignment="true" applyProtection="false">
      <alignment horizontal="center" vertical="center" textRotation="0" wrapText="true" indent="0" shrinkToFit="false"/>
      <protection locked="true" hidden="false"/>
    </xf>
    <xf numFmtId="164" fontId="15" fillId="0" borderId="5" xfId="20" applyFont="true" applyBorder="true" applyAlignment="true" applyProtection="true">
      <alignment horizontal="general" vertical="bottom"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71" fontId="6" fillId="0" borderId="1" xfId="0" applyFont="true" applyBorder="true" applyAlignment="true" applyProtection="false">
      <alignment horizontal="center" vertical="center" textRotation="0" wrapText="true" indent="0" shrinkToFit="false"/>
      <protection locked="true" hidden="false"/>
    </xf>
    <xf numFmtId="171" fontId="6" fillId="0" borderId="1" xfId="0" applyFont="true" applyBorder="true" applyAlignment="true" applyProtection="false">
      <alignment horizontal="center" vertical="center" textRotation="0" wrapText="false" indent="0" shrinkToFit="false"/>
      <protection locked="true" hidden="false"/>
    </xf>
    <xf numFmtId="172" fontId="4" fillId="0" borderId="1" xfId="0" applyFont="true" applyBorder="true" applyAlignment="true" applyProtection="false">
      <alignment horizontal="center" vertical="center" textRotation="0" wrapText="false" indent="0" shrinkToFit="false"/>
      <protection locked="true" hidden="false"/>
    </xf>
    <xf numFmtId="172" fontId="4" fillId="0" borderId="5" xfId="0" applyFont="true" applyBorder="true" applyAlignment="true" applyProtection="false">
      <alignment horizontal="center" vertical="bottom" textRotation="0" wrapText="false" indent="0" shrinkToFit="false"/>
      <protection locked="true" hidden="false"/>
    </xf>
    <xf numFmtId="173" fontId="6" fillId="0" borderId="1" xfId="0" applyFont="true" applyBorder="true" applyAlignment="true" applyProtection="false">
      <alignment horizontal="center" vertical="center" textRotation="0" wrapText="true" indent="0" shrinkToFit="false"/>
      <protection locked="true" hidden="false"/>
    </xf>
    <xf numFmtId="174" fontId="4" fillId="3" borderId="1" xfId="0" applyFont="true" applyBorder="true" applyAlignment="true" applyProtection="false">
      <alignment horizontal="center" vertical="center" textRotation="0" wrapText="false" indent="0" shrinkToFit="false"/>
      <protection locked="true" hidden="false"/>
    </xf>
    <xf numFmtId="172" fontId="4" fillId="0" borderId="1" xfId="0" applyFont="true" applyBorder="true" applyAlignment="true" applyProtection="false">
      <alignment horizontal="center" vertical="bottom" textRotation="0" wrapText="false" indent="0" shrinkToFit="false"/>
      <protection locked="true" hidden="false"/>
    </xf>
    <xf numFmtId="164" fontId="16"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6" fontId="4" fillId="0"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true" applyProtection="false">
      <alignment horizontal="center" vertical="center" textRotation="0" wrapText="true" indent="0" shrinkToFit="false"/>
      <protection locked="true" hidden="false"/>
    </xf>
    <xf numFmtId="164" fontId="6" fillId="9" borderId="1" xfId="0" applyFont="true" applyBorder="true" applyAlignment="true" applyProtection="false">
      <alignment horizontal="center" vertical="center" textRotation="0" wrapText="true" indent="0" shrinkToFit="false"/>
      <protection locked="true" hidden="false"/>
    </xf>
    <xf numFmtId="164" fontId="4" fillId="9"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heart.org/HEARTORG/Conditions/HeartFailure/SymptomsDiagnosisofHeartFailure/Common-Tests-for-Heart-Failure_UCM_306334_Article.jsp" TargetMode="External"/><Relationship Id="rId2" Type="http://schemas.openxmlformats.org/officeDocument/2006/relationships/hyperlink" Target="http://www.nhlbi.nih.gov/health/health-topics/topics/arr/diagnosis.html" TargetMode="External"/><Relationship Id="rId3" Type="http://schemas.openxmlformats.org/officeDocument/2006/relationships/hyperlink" Target="http://acutecaretesting.org/en/articles/urea-and-the-clinical-value-of-measuring-blood-urea-concentration" TargetMode="External"/><Relationship Id="rId4" Type="http://schemas.openxmlformats.org/officeDocument/2006/relationships/hyperlink" Target="https://en.wikipedia.org/wiki/Mean_corpuscular_hemoglobi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4" activeCellId="0" sqref="A24"/>
    </sheetView>
  </sheetViews>
  <sheetFormatPr defaultRowHeight="15" zeroHeight="false" outlineLevelRow="0" outlineLevelCol="0"/>
  <cols>
    <col collapsed="false" customWidth="true" hidden="false" outlineLevel="0" max="1" min="1" style="1" width="31.29"/>
    <col collapsed="false" customWidth="true" hidden="false" outlineLevel="0" max="3" min="2" style="1" width="9.14"/>
    <col collapsed="false" customWidth="true" hidden="false" outlineLevel="0" max="4" min="4" style="1" width="11.57"/>
    <col collapsed="false" customWidth="true" hidden="false" outlineLevel="0" max="1025" min="5" style="1" width="9.14"/>
  </cols>
  <sheetData>
    <row r="1" customFormat="false" ht="15" hidden="false" customHeight="false" outlineLevel="0" collapsed="false">
      <c r="A1" s="2" t="s">
        <v>0</v>
      </c>
      <c r="B1" s="2" t="s">
        <v>1</v>
      </c>
      <c r="C1" s="2" t="s">
        <v>2</v>
      </c>
      <c r="D1" s="2" t="s">
        <v>3</v>
      </c>
    </row>
    <row r="2" customFormat="false" ht="15" hidden="false" customHeight="false" outlineLevel="0" collapsed="false">
      <c r="A2" s="3" t="s">
        <v>4</v>
      </c>
      <c r="B2" s="4"/>
      <c r="C2" s="4" t="s">
        <v>5</v>
      </c>
      <c r="D2" s="4"/>
    </row>
    <row r="3" customFormat="false" ht="15" hidden="false" customHeight="false" outlineLevel="0" collapsed="false">
      <c r="A3" s="3" t="s">
        <v>6</v>
      </c>
      <c r="B3" s="4" t="s">
        <v>7</v>
      </c>
      <c r="C3" s="5" t="n">
        <v>163</v>
      </c>
      <c r="D3" s="4"/>
    </row>
    <row r="4" customFormat="false" ht="15" hidden="false" customHeight="false" outlineLevel="0" collapsed="false">
      <c r="A4" s="3" t="s">
        <v>8</v>
      </c>
      <c r="B4" s="4" t="s">
        <v>9</v>
      </c>
      <c r="C4" s="4" t="n">
        <v>77</v>
      </c>
      <c r="D4" s="4"/>
    </row>
    <row r="5" customFormat="false" ht="15" hidden="false" customHeight="false" outlineLevel="0" collapsed="false">
      <c r="A5" s="3" t="s">
        <v>10</v>
      </c>
      <c r="B5" s="4" t="s">
        <v>11</v>
      </c>
      <c r="C5" s="6" t="n">
        <f aca="false">0.016667*SQRT(C4)*SQRT(C3)</f>
        <v>1.86722477110791</v>
      </c>
      <c r="D5" s="7" t="s">
        <v>12</v>
      </c>
    </row>
    <row r="6" customFormat="false" ht="24" hidden="false" customHeight="false" outlineLevel="0" collapsed="false">
      <c r="A6" s="3" t="s">
        <v>13</v>
      </c>
      <c r="B6" s="4" t="s">
        <v>14</v>
      </c>
      <c r="C6" s="5" t="n">
        <f aca="false">IF(C2="Male",5600,4900)</f>
        <v>5600</v>
      </c>
      <c r="D6" s="8" t="s">
        <v>15</v>
      </c>
    </row>
    <row r="7" customFormat="false" ht="24" hidden="false" customHeight="false" outlineLevel="0" collapsed="false">
      <c r="A7" s="3" t="s">
        <v>16</v>
      </c>
      <c r="B7" s="4" t="s">
        <v>17</v>
      </c>
      <c r="C7" s="5" t="n">
        <f aca="false">65.6*POWER(C4,1.02)</f>
        <v>5509.65466657922</v>
      </c>
      <c r="D7" s="8" t="s">
        <v>15</v>
      </c>
    </row>
    <row r="8" customFormat="false" ht="24" hidden="false" customHeight="false" outlineLevel="0" collapsed="false">
      <c r="A8" s="3" t="s">
        <v>18</v>
      </c>
      <c r="B8" s="4" t="s">
        <v>19</v>
      </c>
      <c r="C8" s="6" t="n">
        <f aca="false">0.001*C6/C5</f>
        <v>2.99910331452879</v>
      </c>
      <c r="D8" s="8" t="s">
        <v>15</v>
      </c>
    </row>
    <row r="9" customFormat="false" ht="15" hidden="false" customHeight="false" outlineLevel="0" collapsed="false">
      <c r="A9" s="3" t="s">
        <v>20</v>
      </c>
      <c r="B9" s="4"/>
      <c r="C9" s="6" t="n">
        <v>0.6</v>
      </c>
      <c r="D9" s="8"/>
    </row>
    <row r="10" customFormat="false" ht="15" hidden="false" customHeight="false" outlineLevel="0" collapsed="false">
      <c r="A10" s="3" t="s">
        <v>21</v>
      </c>
      <c r="B10" s="4"/>
      <c r="C10" s="6" t="n">
        <f aca="false">1-C9</f>
        <v>0.4</v>
      </c>
      <c r="D10" s="8"/>
    </row>
    <row r="11" customFormat="false" ht="15" hidden="false" customHeight="false" outlineLevel="0" collapsed="false">
      <c r="A11" s="3" t="s">
        <v>22</v>
      </c>
      <c r="B11" s="7" t="s">
        <v>23</v>
      </c>
      <c r="C11" s="7" t="n">
        <f aca="false">IF(C2="Male",15,14)</f>
        <v>15</v>
      </c>
      <c r="D11" s="7"/>
    </row>
    <row r="12" customFormat="false" ht="15" hidden="false" customHeight="false" outlineLevel="0" collapsed="false">
      <c r="A12" s="3" t="s">
        <v>24</v>
      </c>
      <c r="B12" s="3"/>
      <c r="C12" s="3" t="n">
        <v>0.21</v>
      </c>
      <c r="D12" s="3"/>
    </row>
    <row r="13" customFormat="false" ht="15" hidden="false" customHeight="false" outlineLevel="0" collapsed="false">
      <c r="A13" s="3" t="s">
        <v>25</v>
      </c>
      <c r="B13" s="3" t="s">
        <v>9</v>
      </c>
      <c r="C13" s="3" t="n">
        <f aca="false">C4*(1-C12)</f>
        <v>60.83</v>
      </c>
      <c r="D13" s="3"/>
    </row>
    <row r="14" customFormat="false" ht="15" hidden="false" customHeight="false" outlineLevel="0" collapsed="false">
      <c r="A14" s="3" t="s">
        <v>26</v>
      </c>
      <c r="B14" s="3" t="s">
        <v>9</v>
      </c>
      <c r="C14" s="3" t="n">
        <f aca="false">IF(C2="Male",77,60)</f>
        <v>77</v>
      </c>
    </row>
    <row r="15" customFormat="false" ht="15" hidden="false" customHeight="false" outlineLevel="0" collapsed="false">
      <c r="A15" s="3" t="s">
        <v>27</v>
      </c>
      <c r="B15" s="3" t="s">
        <v>11</v>
      </c>
      <c r="C15" s="3" t="n">
        <f aca="false">IF(C2="Male",1.96,1.65)</f>
        <v>1.96</v>
      </c>
    </row>
    <row r="16" customFormat="false" ht="15" hidden="false" customHeight="false" outlineLevel="0" collapsed="false">
      <c r="A16" s="3" t="s">
        <v>28</v>
      </c>
      <c r="B16" s="3"/>
      <c r="C16" s="3" t="n">
        <f aca="false">IF(C2="Male",0.21,0.28)</f>
        <v>0.21</v>
      </c>
    </row>
    <row r="17" customFormat="false" ht="15" hidden="false" customHeight="false" outlineLevel="0" collapsed="false">
      <c r="A17" s="3" t="s">
        <v>29</v>
      </c>
      <c r="B17" s="3" t="s">
        <v>9</v>
      </c>
      <c r="C17" s="3" t="n">
        <f aca="false">C14*(1-C16)</f>
        <v>60.83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N9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pane xSplit="6" ySplit="0" topLeftCell="N16" activePane="topRight" state="frozen"/>
      <selection pane="topLeft" activeCell="A16" activeCellId="0" sqref="A16"/>
      <selection pane="topRight" activeCell="N53" activeCellId="0" sqref="N53"/>
    </sheetView>
  </sheetViews>
  <sheetFormatPr defaultRowHeight="15" zeroHeight="false" outlineLevelRow="0" outlineLevelCol="0"/>
  <cols>
    <col collapsed="false" customWidth="true" hidden="false" outlineLevel="0" max="1" min="1" style="0" width="31.14"/>
    <col collapsed="false" customWidth="true" hidden="false" outlineLevel="0" max="3" min="2" style="0" width="9.14"/>
    <col collapsed="false" customWidth="true" hidden="false" outlineLevel="0" max="5" min="4" style="54" width="18.57"/>
    <col collapsed="false" customWidth="true" hidden="false" outlineLevel="0" max="6" min="6" style="0" width="14.85"/>
    <col collapsed="false" customWidth="true" hidden="false" outlineLevel="0" max="7" min="7" style="57" width="26.42"/>
    <col collapsed="false" customWidth="true" hidden="false" outlineLevel="0" max="8" min="8" style="0" width="30.71"/>
    <col collapsed="false" customWidth="true" hidden="false" outlineLevel="0" max="9" min="9" style="0" width="26.15"/>
    <col collapsed="false" customWidth="true" hidden="false" outlineLevel="0" max="10" min="10" style="100" width="61.42"/>
    <col collapsed="false" customWidth="true" hidden="false" outlineLevel="0" max="11" min="11" style="0" width="52.43"/>
    <col collapsed="false" customWidth="true" hidden="false" outlineLevel="0" max="12" min="12" style="0" width="24.85"/>
    <col collapsed="false" customWidth="true" hidden="false" outlineLevel="0" max="13" min="13" style="0" width="9.14"/>
    <col collapsed="false" customWidth="true" hidden="false" outlineLevel="0" max="14" min="14" style="0" width="12.57"/>
    <col collapsed="false" customWidth="true" hidden="false" outlineLevel="0" max="1025" min="15" style="0" width="9.14"/>
  </cols>
  <sheetData>
    <row r="1" s="1" customFormat="true" ht="26.25" hidden="false" customHeight="true" outlineLevel="0" collapsed="false">
      <c r="A1" s="2" t="s">
        <v>30</v>
      </c>
      <c r="B1" s="10" t="s">
        <v>1</v>
      </c>
      <c r="C1" s="10" t="s">
        <v>31</v>
      </c>
      <c r="D1" s="10" t="s">
        <v>32</v>
      </c>
      <c r="E1" s="10" t="s">
        <v>33</v>
      </c>
      <c r="F1" s="10" t="s">
        <v>34</v>
      </c>
      <c r="G1" s="10" t="s">
        <v>3</v>
      </c>
      <c r="H1" s="2" t="s">
        <v>35</v>
      </c>
      <c r="I1" s="2" t="s">
        <v>36</v>
      </c>
      <c r="J1" s="2" t="s">
        <v>37</v>
      </c>
      <c r="K1" s="2" t="s">
        <v>985</v>
      </c>
      <c r="L1" s="10" t="s">
        <v>39</v>
      </c>
      <c r="M1" s="10" t="s">
        <v>40</v>
      </c>
      <c r="N1" s="10" t="s">
        <v>41</v>
      </c>
    </row>
    <row r="2" customFormat="false" ht="15" hidden="false" customHeight="false" outlineLevel="0" collapsed="false">
      <c r="A2" s="61" t="s">
        <v>986</v>
      </c>
      <c r="B2" s="7" t="s">
        <v>14</v>
      </c>
      <c r="C2" s="8" t="s">
        <v>44</v>
      </c>
      <c r="D2" s="7"/>
      <c r="E2" s="7"/>
      <c r="F2" s="7" t="n">
        <v>200</v>
      </c>
      <c r="G2" s="7" t="s">
        <v>987</v>
      </c>
      <c r="H2" s="7"/>
      <c r="I2" s="7"/>
      <c r="J2" s="7"/>
      <c r="K2" s="7" t="n">
        <v>200</v>
      </c>
      <c r="L2" s="60" t="s">
        <v>988</v>
      </c>
      <c r="M2" s="4"/>
      <c r="N2" s="4" t="s">
        <v>63</v>
      </c>
    </row>
    <row r="3" s="1" customFormat="true" ht="23.25" hidden="false" customHeight="true" outlineLevel="0" collapsed="false">
      <c r="A3" s="11" t="s">
        <v>989</v>
      </c>
      <c r="B3" s="8" t="s">
        <v>17</v>
      </c>
      <c r="C3" s="8" t="s">
        <v>44</v>
      </c>
      <c r="D3" s="7"/>
      <c r="E3" s="7"/>
      <c r="F3" s="8" t="n">
        <f aca="false">SUM(F13,F17,F20,F23,F26,F29,F32,F35,F38,F41,F46,F49,F52)</f>
        <v>6647.94171766476</v>
      </c>
      <c r="G3" s="8" t="s">
        <v>266</v>
      </c>
      <c r="H3" s="8"/>
      <c r="I3" s="9" t="s">
        <v>990</v>
      </c>
      <c r="J3" s="33" t="s">
        <v>991</v>
      </c>
      <c r="K3" s="8" t="n">
        <v>7363</v>
      </c>
      <c r="L3" s="60" t="s">
        <v>988</v>
      </c>
      <c r="M3" s="4"/>
      <c r="N3" s="4" t="s">
        <v>48</v>
      </c>
    </row>
    <row r="4" s="1" customFormat="true" ht="15" hidden="false" customHeight="false" outlineLevel="0" collapsed="false">
      <c r="A4" s="11" t="s">
        <v>992</v>
      </c>
      <c r="B4" s="8" t="s">
        <v>17</v>
      </c>
      <c r="C4" s="8" t="s">
        <v>44</v>
      </c>
      <c r="D4" s="7"/>
      <c r="E4" s="7"/>
      <c r="F4" s="8" t="n">
        <f aca="false">SUM(F13:F42,F46:F53)</f>
        <v>34081.065120623</v>
      </c>
      <c r="G4" s="8" t="s">
        <v>266</v>
      </c>
      <c r="H4" s="8"/>
      <c r="I4" s="8"/>
      <c r="J4" s="13" t="s">
        <v>993</v>
      </c>
      <c r="K4" s="8" t="s">
        <v>994</v>
      </c>
      <c r="L4" s="60" t="s">
        <v>988</v>
      </c>
      <c r="M4" s="4"/>
      <c r="N4" s="4" t="s">
        <v>48</v>
      </c>
    </row>
    <row r="5" s="1" customFormat="true" ht="24" hidden="false" customHeight="false" outlineLevel="0" collapsed="false">
      <c r="A5" s="11" t="s">
        <v>995</v>
      </c>
      <c r="B5" s="13"/>
      <c r="C5" s="8" t="s">
        <v>44</v>
      </c>
      <c r="D5" s="7"/>
      <c r="E5" s="7"/>
      <c r="F5" s="8" t="s">
        <v>996</v>
      </c>
      <c r="G5" s="8" t="s">
        <v>997</v>
      </c>
      <c r="H5" s="8" t="s">
        <v>998</v>
      </c>
      <c r="I5" s="13"/>
      <c r="J5" s="8" t="s">
        <v>999</v>
      </c>
      <c r="K5" s="8" t="s">
        <v>996</v>
      </c>
      <c r="L5" s="60" t="s">
        <v>988</v>
      </c>
      <c r="M5" s="4"/>
      <c r="N5" s="4" t="s">
        <v>63</v>
      </c>
    </row>
    <row r="6" s="1" customFormat="true" ht="15" hidden="false" customHeight="false" outlineLevel="0" collapsed="false">
      <c r="A6" s="11" t="s">
        <v>1000</v>
      </c>
      <c r="B6" s="8" t="s">
        <v>17</v>
      </c>
      <c r="C6" s="8" t="s">
        <v>44</v>
      </c>
      <c r="D6" s="7"/>
      <c r="E6" s="7"/>
      <c r="F6" s="8" t="n">
        <v>25320</v>
      </c>
      <c r="G6" s="8" t="s">
        <v>266</v>
      </c>
      <c r="H6" s="13"/>
      <c r="I6" s="9" t="s">
        <v>990</v>
      </c>
      <c r="J6" s="8"/>
      <c r="K6" s="8" t="n">
        <v>16700</v>
      </c>
      <c r="L6" s="60" t="s">
        <v>988</v>
      </c>
      <c r="M6" s="4"/>
      <c r="N6" s="4" t="s">
        <v>48</v>
      </c>
    </row>
    <row r="7" customFormat="false" ht="15" hidden="false" customHeight="false" outlineLevel="0" collapsed="false">
      <c r="A7" s="61" t="s">
        <v>1001</v>
      </c>
      <c r="B7" s="7" t="s">
        <v>14</v>
      </c>
      <c r="C7" s="8" t="s">
        <v>44</v>
      </c>
      <c r="D7" s="7"/>
      <c r="E7" s="7"/>
      <c r="F7" s="7" t="n">
        <v>250</v>
      </c>
      <c r="G7" s="7" t="s">
        <v>987</v>
      </c>
      <c r="H7" s="59"/>
      <c r="I7" s="7"/>
      <c r="J7" s="7"/>
      <c r="K7" s="7" t="n">
        <v>250</v>
      </c>
      <c r="L7" s="60" t="s">
        <v>988</v>
      </c>
      <c r="M7" s="4"/>
      <c r="N7" s="4" t="s">
        <v>48</v>
      </c>
    </row>
    <row r="8" customFormat="false" ht="15" hidden="false" customHeight="false" outlineLevel="0" collapsed="false">
      <c r="A8" s="61" t="s">
        <v>1002</v>
      </c>
      <c r="B8" s="16" t="s">
        <v>1003</v>
      </c>
      <c r="C8" s="8" t="s">
        <v>44</v>
      </c>
      <c r="D8" s="7"/>
      <c r="E8" s="7"/>
      <c r="F8" s="101" t="n">
        <v>0.85</v>
      </c>
      <c r="G8" s="102" t="s">
        <v>1004</v>
      </c>
      <c r="H8" s="102" t="s">
        <v>1005</v>
      </c>
      <c r="I8" s="102"/>
      <c r="J8" s="101"/>
      <c r="K8" s="101" t="n">
        <v>0.85</v>
      </c>
      <c r="L8" s="60" t="s">
        <v>988</v>
      </c>
      <c r="M8" s="4"/>
      <c r="N8" s="4" t="s">
        <v>53</v>
      </c>
    </row>
    <row r="9" s="1" customFormat="true" ht="26.25" hidden="false" customHeight="true" outlineLevel="0" collapsed="false">
      <c r="A9" s="27" t="s">
        <v>1006</v>
      </c>
      <c r="B9" s="2" t="s">
        <v>1</v>
      </c>
      <c r="C9" s="2" t="s">
        <v>31</v>
      </c>
      <c r="D9" s="10" t="s">
        <v>32</v>
      </c>
      <c r="E9" s="10" t="s">
        <v>33</v>
      </c>
      <c r="F9" s="2" t="s">
        <v>34</v>
      </c>
      <c r="G9" s="2" t="s">
        <v>3</v>
      </c>
      <c r="H9" s="2" t="s">
        <v>35</v>
      </c>
      <c r="I9" s="2" t="s">
        <v>36</v>
      </c>
      <c r="J9" s="2" t="s">
        <v>37</v>
      </c>
      <c r="K9" s="2" t="s">
        <v>985</v>
      </c>
      <c r="L9" s="2" t="s">
        <v>39</v>
      </c>
      <c r="M9" s="2" t="s">
        <v>40</v>
      </c>
      <c r="N9" s="2" t="s">
        <v>41</v>
      </c>
    </row>
    <row r="10" customFormat="false" ht="15" hidden="false" customHeight="false" outlineLevel="0" collapsed="false">
      <c r="A10" s="61" t="s">
        <v>1007</v>
      </c>
      <c r="B10" s="7" t="s">
        <v>14</v>
      </c>
      <c r="C10" s="16" t="s">
        <v>44</v>
      </c>
      <c r="D10" s="7"/>
      <c r="E10" s="7"/>
      <c r="F10" s="7" t="n">
        <v>-250</v>
      </c>
      <c r="G10" s="16" t="s">
        <v>96</v>
      </c>
      <c r="H10" s="7" t="s">
        <v>1008</v>
      </c>
      <c r="I10" s="103"/>
      <c r="J10" s="7"/>
      <c r="K10" s="7" t="n">
        <v>250</v>
      </c>
      <c r="L10" s="60" t="s">
        <v>988</v>
      </c>
      <c r="M10" s="4"/>
      <c r="N10" s="4" t="s">
        <v>48</v>
      </c>
    </row>
    <row r="11" s="1" customFormat="true" ht="15" hidden="false" customHeight="false" outlineLevel="0" collapsed="false">
      <c r="A11" s="61" t="s">
        <v>1009</v>
      </c>
      <c r="B11" s="7" t="s">
        <v>14</v>
      </c>
      <c r="C11" s="16" t="s">
        <v>44</v>
      </c>
      <c r="D11" s="7"/>
      <c r="E11" s="7"/>
      <c r="F11" s="16" t="n">
        <v>300</v>
      </c>
      <c r="G11" s="16" t="s">
        <v>96</v>
      </c>
      <c r="H11" s="7" t="s">
        <v>1008</v>
      </c>
      <c r="I11" s="9"/>
      <c r="J11" s="16"/>
      <c r="K11" s="16" t="n">
        <v>300</v>
      </c>
      <c r="L11" s="60" t="s">
        <v>988</v>
      </c>
      <c r="M11" s="4"/>
      <c r="N11" s="4" t="s">
        <v>48</v>
      </c>
    </row>
    <row r="12" s="1" customFormat="true" ht="26.25" hidden="false" customHeight="true" outlineLevel="0" collapsed="false">
      <c r="A12" s="27" t="s">
        <v>1010</v>
      </c>
      <c r="B12" s="2" t="s">
        <v>1</v>
      </c>
      <c r="C12" s="2" t="s">
        <v>31</v>
      </c>
      <c r="D12" s="10" t="s">
        <v>32</v>
      </c>
      <c r="E12" s="10" t="s">
        <v>33</v>
      </c>
      <c r="F12" s="2" t="s">
        <v>34</v>
      </c>
      <c r="G12" s="2" t="s">
        <v>3</v>
      </c>
      <c r="H12" s="2" t="s">
        <v>35</v>
      </c>
      <c r="I12" s="2" t="s">
        <v>36</v>
      </c>
      <c r="J12" s="2" t="s">
        <v>37</v>
      </c>
      <c r="K12" s="2" t="s">
        <v>985</v>
      </c>
      <c r="L12" s="2" t="s">
        <v>39</v>
      </c>
      <c r="M12" s="2" t="s">
        <v>40</v>
      </c>
      <c r="N12" s="2" t="s">
        <v>41</v>
      </c>
    </row>
    <row r="13" s="1" customFormat="true" ht="12" hidden="false" customHeight="false" outlineLevel="0" collapsed="false">
      <c r="A13" s="29" t="s">
        <v>1011</v>
      </c>
      <c r="B13" s="4" t="s">
        <v>854</v>
      </c>
      <c r="C13" s="16" t="s">
        <v>44</v>
      </c>
      <c r="D13" s="7" t="n">
        <v>14.5</v>
      </c>
      <c r="E13" s="7" t="n">
        <v>19</v>
      </c>
      <c r="F13" s="6" t="n">
        <f aca="false">Patient!C12*Patient!C4/1.03</f>
        <v>15.6990291262136</v>
      </c>
      <c r="G13" s="16" t="s">
        <v>266</v>
      </c>
      <c r="H13" s="25" t="s">
        <v>1012</v>
      </c>
      <c r="I13" s="16"/>
      <c r="J13" s="31" t="s">
        <v>1013</v>
      </c>
      <c r="K13" s="4" t="n">
        <v>3140</v>
      </c>
      <c r="L13" s="4" t="s">
        <v>1014</v>
      </c>
      <c r="M13" s="4"/>
      <c r="N13" s="4" t="s">
        <v>53</v>
      </c>
    </row>
    <row r="14" s="1" customFormat="true" ht="12" hidden="false" customHeight="false" outlineLevel="0" collapsed="false">
      <c r="A14" s="29" t="s">
        <v>1015</v>
      </c>
      <c r="B14" s="4" t="s">
        <v>17</v>
      </c>
      <c r="C14" s="16" t="s">
        <v>44</v>
      </c>
      <c r="D14" s="7"/>
      <c r="E14" s="7"/>
      <c r="F14" s="6" t="n">
        <f aca="false">F13*0.135*1000</f>
        <v>2119.36893203883</v>
      </c>
      <c r="G14" s="16" t="s">
        <v>1016</v>
      </c>
      <c r="H14" s="25" t="s">
        <v>1012</v>
      </c>
      <c r="I14" s="16"/>
      <c r="J14" s="31" t="s">
        <v>1013</v>
      </c>
      <c r="K14" s="4" t="n">
        <v>3140</v>
      </c>
      <c r="L14" s="4" t="s">
        <v>1014</v>
      </c>
      <c r="M14" s="4"/>
      <c r="N14" s="4" t="s">
        <v>63</v>
      </c>
    </row>
    <row r="15" s="1" customFormat="true" ht="12" hidden="false" customHeight="false" outlineLevel="0" collapsed="false">
      <c r="A15" s="29" t="s">
        <v>1017</v>
      </c>
      <c r="B15" s="4" t="s">
        <v>17</v>
      </c>
      <c r="C15" s="16" t="s">
        <v>44</v>
      </c>
      <c r="D15" s="7"/>
      <c r="E15" s="7"/>
      <c r="F15" s="6" t="n">
        <f aca="false">F13*0.017*1000</f>
        <v>266.883495145631</v>
      </c>
      <c r="G15" s="16" t="s">
        <v>1016</v>
      </c>
      <c r="H15" s="25" t="s">
        <v>1012</v>
      </c>
      <c r="I15" s="16"/>
      <c r="J15" s="31" t="s">
        <v>1013</v>
      </c>
      <c r="K15" s="4" t="n">
        <v>3140</v>
      </c>
      <c r="L15" s="4" t="s">
        <v>1014</v>
      </c>
      <c r="M15" s="4"/>
      <c r="N15" s="4" t="s">
        <v>63</v>
      </c>
    </row>
    <row r="16" s="1" customFormat="true" ht="12" hidden="false" customHeight="false" outlineLevel="0" collapsed="false">
      <c r="A16" s="29" t="s">
        <v>1018</v>
      </c>
      <c r="B16" s="4" t="s">
        <v>854</v>
      </c>
      <c r="C16" s="16" t="s">
        <v>44</v>
      </c>
      <c r="D16" s="7" t="n">
        <v>10.5</v>
      </c>
      <c r="E16" s="7" t="n">
        <v>7.8</v>
      </c>
      <c r="F16" s="6" t="n">
        <f aca="false">(IF(Patient!C2="Male",D16,E16)/1.3)*(Patient!C13/Patient!C17)</f>
        <v>8.07692307692308</v>
      </c>
      <c r="G16" s="16" t="s">
        <v>266</v>
      </c>
      <c r="H16" s="25" t="s">
        <v>1012</v>
      </c>
      <c r="I16" s="16"/>
      <c r="J16" s="31" t="s">
        <v>1019</v>
      </c>
      <c r="K16" s="4" t="n">
        <v>2680</v>
      </c>
      <c r="L16" s="4" t="s">
        <v>1014</v>
      </c>
      <c r="M16" s="4"/>
      <c r="N16" s="4" t="s">
        <v>53</v>
      </c>
    </row>
    <row r="17" s="1" customFormat="true" ht="12" hidden="false" customHeight="false" outlineLevel="0" collapsed="false">
      <c r="A17" s="29" t="s">
        <v>1020</v>
      </c>
      <c r="B17" s="4" t="s">
        <v>17</v>
      </c>
      <c r="C17" s="16" t="s">
        <v>44</v>
      </c>
      <c r="D17" s="7"/>
      <c r="E17" s="7"/>
      <c r="F17" s="6" t="n">
        <f aca="false">F16*0.1*1000</f>
        <v>807.692307692308</v>
      </c>
      <c r="G17" s="16" t="s">
        <v>1016</v>
      </c>
      <c r="H17" s="25" t="s">
        <v>1012</v>
      </c>
      <c r="I17" s="16"/>
      <c r="J17" s="31" t="s">
        <v>1019</v>
      </c>
      <c r="K17" s="4" t="n">
        <v>2680</v>
      </c>
      <c r="L17" s="4" t="s">
        <v>1014</v>
      </c>
      <c r="M17" s="4"/>
      <c r="N17" s="4" t="s">
        <v>63</v>
      </c>
    </row>
    <row r="18" s="1" customFormat="true" ht="12" hidden="false" customHeight="false" outlineLevel="0" collapsed="false">
      <c r="A18" s="29" t="s">
        <v>1021</v>
      </c>
      <c r="B18" s="4" t="s">
        <v>17</v>
      </c>
      <c r="C18" s="16" t="s">
        <v>44</v>
      </c>
      <c r="D18" s="7"/>
      <c r="E18" s="7"/>
      <c r="F18" s="6" t="n">
        <f aca="false">F16*0.346*1000</f>
        <v>2794.61538461538</v>
      </c>
      <c r="G18" s="16" t="s">
        <v>1016</v>
      </c>
      <c r="H18" s="25" t="s">
        <v>1012</v>
      </c>
      <c r="I18" s="16"/>
      <c r="J18" s="31" t="s">
        <v>1019</v>
      </c>
      <c r="K18" s="4" t="n">
        <v>2680</v>
      </c>
      <c r="L18" s="4" t="s">
        <v>1014</v>
      </c>
      <c r="M18" s="4"/>
      <c r="N18" s="4" t="s">
        <v>63</v>
      </c>
    </row>
    <row r="19" s="1" customFormat="true" ht="12" hidden="false" customHeight="false" outlineLevel="0" collapsed="false">
      <c r="A19" s="29" t="s">
        <v>1022</v>
      </c>
      <c r="B19" s="4" t="s">
        <v>854</v>
      </c>
      <c r="C19" s="16" t="s">
        <v>44</v>
      </c>
      <c r="D19" s="7" t="n">
        <v>1.45</v>
      </c>
      <c r="E19" s="7" t="n">
        <v>1.3</v>
      </c>
      <c r="F19" s="6" t="n">
        <f aca="false">(IF(Patient!C2="Male",D19,E19)/1)*(Patient!C13/Patient!C17)</f>
        <v>1.45</v>
      </c>
      <c r="G19" s="16" t="s">
        <v>266</v>
      </c>
      <c r="H19" s="25" t="s">
        <v>1012</v>
      </c>
      <c r="I19" s="16"/>
      <c r="J19" s="31" t="s">
        <v>1023</v>
      </c>
      <c r="K19" s="4" t="n">
        <v>1020</v>
      </c>
      <c r="L19" s="4" t="s">
        <v>1014</v>
      </c>
      <c r="M19" s="4"/>
      <c r="N19" s="4" t="s">
        <v>53</v>
      </c>
    </row>
    <row r="20" s="1" customFormat="true" ht="12" hidden="false" customHeight="false" outlineLevel="0" collapsed="false">
      <c r="A20" s="29" t="s">
        <v>1024</v>
      </c>
      <c r="B20" s="4" t="s">
        <v>17</v>
      </c>
      <c r="C20" s="16" t="s">
        <v>44</v>
      </c>
      <c r="D20" s="7"/>
      <c r="E20" s="7"/>
      <c r="F20" s="6" t="n">
        <f aca="false">F19*0.162*1000</f>
        <v>234.9</v>
      </c>
      <c r="G20" s="16" t="s">
        <v>1016</v>
      </c>
      <c r="H20" s="25" t="s">
        <v>1012</v>
      </c>
      <c r="I20" s="16"/>
      <c r="J20" s="31" t="s">
        <v>1023</v>
      </c>
      <c r="K20" s="4" t="n">
        <v>1020</v>
      </c>
      <c r="L20" s="4" t="s">
        <v>1014</v>
      </c>
      <c r="M20" s="4"/>
      <c r="N20" s="4" t="s">
        <v>63</v>
      </c>
    </row>
    <row r="21" s="1" customFormat="true" ht="12" hidden="false" customHeight="false" outlineLevel="0" collapsed="false">
      <c r="A21" s="29" t="s">
        <v>1025</v>
      </c>
      <c r="B21" s="4" t="s">
        <v>17</v>
      </c>
      <c r="C21" s="16" t="s">
        <v>44</v>
      </c>
      <c r="D21" s="7"/>
      <c r="E21" s="7"/>
      <c r="F21" s="6" t="n">
        <f aca="false">F19*0.62*1000</f>
        <v>899</v>
      </c>
      <c r="G21" s="16" t="s">
        <v>1016</v>
      </c>
      <c r="H21" s="25" t="s">
        <v>1012</v>
      </c>
      <c r="I21" s="16"/>
      <c r="J21" s="31" t="s">
        <v>1023</v>
      </c>
      <c r="K21" s="4" t="n">
        <v>1020</v>
      </c>
      <c r="L21" s="4" t="s">
        <v>1014</v>
      </c>
      <c r="M21" s="4"/>
      <c r="N21" s="4" t="s">
        <v>63</v>
      </c>
    </row>
    <row r="22" s="1" customFormat="true" ht="12" hidden="false" customHeight="false" outlineLevel="0" collapsed="false">
      <c r="A22" s="29" t="s">
        <v>1026</v>
      </c>
      <c r="B22" s="4" t="s">
        <v>854</v>
      </c>
      <c r="C22" s="16" t="s">
        <v>44</v>
      </c>
      <c r="D22" s="7" t="n">
        <v>1.02</v>
      </c>
      <c r="E22" s="7" t="n">
        <v>0.96</v>
      </c>
      <c r="F22" s="6" t="n">
        <f aca="false">(IF(Patient!C2="Male",D22,E22)/1)*(Patient!C13/Patient!C17)</f>
        <v>1.02</v>
      </c>
      <c r="G22" s="16" t="s">
        <v>266</v>
      </c>
      <c r="H22" s="25" t="s">
        <v>1012</v>
      </c>
      <c r="I22" s="16"/>
      <c r="J22" s="31" t="s">
        <v>1023</v>
      </c>
      <c r="K22" s="4" t="n">
        <v>730</v>
      </c>
      <c r="L22" s="4" t="s">
        <v>1014</v>
      </c>
      <c r="M22" s="4"/>
      <c r="N22" s="4" t="s">
        <v>53</v>
      </c>
    </row>
    <row r="23" s="1" customFormat="true" ht="12" hidden="false" customHeight="false" outlineLevel="0" collapsed="false">
      <c r="A23" s="29" t="s">
        <v>1027</v>
      </c>
      <c r="B23" s="4" t="s">
        <v>17</v>
      </c>
      <c r="C23" s="16" t="s">
        <v>44</v>
      </c>
      <c r="D23" s="7"/>
      <c r="E23" s="7"/>
      <c r="F23" s="6" t="n">
        <f aca="false">F22*0.282*1000</f>
        <v>287.64</v>
      </c>
      <c r="G23" s="16" t="s">
        <v>1016</v>
      </c>
      <c r="H23" s="25" t="s">
        <v>1012</v>
      </c>
      <c r="I23" s="16"/>
      <c r="J23" s="31" t="s">
        <v>1023</v>
      </c>
      <c r="K23" s="4" t="n">
        <v>730</v>
      </c>
      <c r="L23" s="4" t="s">
        <v>1014</v>
      </c>
      <c r="M23" s="4"/>
      <c r="N23" s="4" t="s">
        <v>63</v>
      </c>
    </row>
    <row r="24" s="1" customFormat="true" ht="12" hidden="false" customHeight="false" outlineLevel="0" collapsed="false">
      <c r="A24" s="29" t="s">
        <v>1028</v>
      </c>
      <c r="B24" s="4" t="s">
        <v>17</v>
      </c>
      <c r="C24" s="16" t="s">
        <v>44</v>
      </c>
      <c r="D24" s="7"/>
      <c r="E24" s="7"/>
      <c r="F24" s="6" t="n">
        <f aca="false">F22*0.475*1000</f>
        <v>484.5</v>
      </c>
      <c r="G24" s="16" t="s">
        <v>1016</v>
      </c>
      <c r="H24" s="25" t="s">
        <v>1012</v>
      </c>
      <c r="I24" s="16"/>
      <c r="J24" s="31" t="s">
        <v>1023</v>
      </c>
      <c r="K24" s="4" t="n">
        <v>730</v>
      </c>
      <c r="L24" s="4" t="s">
        <v>1014</v>
      </c>
      <c r="M24" s="4"/>
      <c r="N24" s="4" t="s">
        <v>63</v>
      </c>
    </row>
    <row r="25" s="1" customFormat="true" ht="12" hidden="false" customHeight="false" outlineLevel="0" collapsed="false">
      <c r="A25" s="29" t="s">
        <v>1029</v>
      </c>
      <c r="B25" s="4" t="s">
        <v>854</v>
      </c>
      <c r="C25" s="16" t="s">
        <v>44</v>
      </c>
      <c r="D25" s="7" t="n">
        <v>0.155</v>
      </c>
      <c r="E25" s="7" t="n">
        <v>0.1375</v>
      </c>
      <c r="F25" s="6" t="n">
        <f aca="false">(IF(Patient!C2="Male",D25,E25)/1)*(Patient!C13/Patient!C17)</f>
        <v>0.155</v>
      </c>
      <c r="G25" s="16" t="s">
        <v>266</v>
      </c>
      <c r="H25" s="25" t="s">
        <v>1012</v>
      </c>
      <c r="I25" s="16"/>
      <c r="J25" s="31" t="s">
        <v>1023</v>
      </c>
      <c r="K25" s="4" t="n">
        <v>110</v>
      </c>
      <c r="L25" s="4" t="s">
        <v>1014</v>
      </c>
      <c r="M25" s="4"/>
      <c r="N25" s="4" t="s">
        <v>53</v>
      </c>
    </row>
    <row r="26" s="1" customFormat="true" ht="12" hidden="false" customHeight="false" outlineLevel="0" collapsed="false">
      <c r="A26" s="29" t="s">
        <v>1030</v>
      </c>
      <c r="B26" s="4" t="s">
        <v>17</v>
      </c>
      <c r="C26" s="16" t="s">
        <v>44</v>
      </c>
      <c r="D26" s="7"/>
      <c r="E26" s="7"/>
      <c r="F26" s="6" t="n">
        <f aca="false">F25*0.273*1000</f>
        <v>42.315</v>
      </c>
      <c r="G26" s="16" t="s">
        <v>1016</v>
      </c>
      <c r="H26" s="25" t="s">
        <v>1012</v>
      </c>
      <c r="I26" s="16"/>
      <c r="J26" s="31" t="s">
        <v>1023</v>
      </c>
      <c r="K26" s="4" t="n">
        <v>110</v>
      </c>
      <c r="L26" s="4" t="s">
        <v>1014</v>
      </c>
      <c r="M26" s="4"/>
      <c r="N26" s="4" t="s">
        <v>63</v>
      </c>
    </row>
    <row r="27" s="1" customFormat="true" ht="12" hidden="false" customHeight="false" outlineLevel="0" collapsed="false">
      <c r="A27" s="29" t="s">
        <v>1031</v>
      </c>
      <c r="B27" s="4" t="s">
        <v>17</v>
      </c>
      <c r="C27" s="16" t="s">
        <v>44</v>
      </c>
      <c r="D27" s="7"/>
      <c r="E27" s="7"/>
      <c r="F27" s="6" t="n">
        <f aca="false">F25*0.483*1000</f>
        <v>74.865</v>
      </c>
      <c r="G27" s="16" t="s">
        <v>1016</v>
      </c>
      <c r="H27" s="25" t="s">
        <v>1012</v>
      </c>
      <c r="I27" s="16"/>
      <c r="J27" s="31" t="s">
        <v>1023</v>
      </c>
      <c r="K27" s="4" t="n">
        <v>110</v>
      </c>
      <c r="L27" s="4" t="s">
        <v>1014</v>
      </c>
      <c r="M27" s="4"/>
      <c r="N27" s="4" t="s">
        <v>63</v>
      </c>
    </row>
    <row r="28" s="1" customFormat="true" ht="12" hidden="false" customHeight="false" outlineLevel="0" collapsed="false">
      <c r="A28" s="29" t="s">
        <v>1032</v>
      </c>
      <c r="B28" s="4" t="s">
        <v>854</v>
      </c>
      <c r="C28" s="16" t="s">
        <v>44</v>
      </c>
      <c r="D28" s="7" t="n">
        <v>0.155</v>
      </c>
      <c r="E28" s="7" t="n">
        <v>0.1375</v>
      </c>
      <c r="F28" s="6" t="n">
        <f aca="false">(IF(Patient!C2="Male",D28,E28)/1)*(Patient!C13/Patient!C17)</f>
        <v>0.155</v>
      </c>
      <c r="G28" s="16" t="s">
        <v>266</v>
      </c>
      <c r="H28" s="25" t="s">
        <v>1012</v>
      </c>
      <c r="I28" s="16"/>
      <c r="J28" s="31" t="s">
        <v>1023</v>
      </c>
      <c r="K28" s="4" t="n">
        <v>110</v>
      </c>
      <c r="L28" s="4" t="s">
        <v>1014</v>
      </c>
      <c r="M28" s="4"/>
      <c r="N28" s="4" t="s">
        <v>53</v>
      </c>
    </row>
    <row r="29" s="1" customFormat="true" ht="12" hidden="false" customHeight="false" outlineLevel="0" collapsed="false">
      <c r="A29" s="29" t="s">
        <v>1033</v>
      </c>
      <c r="B29" s="4" t="s">
        <v>17</v>
      </c>
      <c r="C29" s="16" t="s">
        <v>44</v>
      </c>
      <c r="D29" s="7"/>
      <c r="E29" s="7"/>
      <c r="F29" s="6" t="n">
        <f aca="false">F25*0.273*1000</f>
        <v>42.315</v>
      </c>
      <c r="G29" s="16" t="s">
        <v>1016</v>
      </c>
      <c r="H29" s="25" t="s">
        <v>1012</v>
      </c>
      <c r="I29" s="16"/>
      <c r="J29" s="31" t="s">
        <v>1023</v>
      </c>
      <c r="K29" s="4" t="n">
        <v>110</v>
      </c>
      <c r="L29" s="4" t="s">
        <v>1014</v>
      </c>
      <c r="M29" s="4"/>
      <c r="N29" s="4" t="s">
        <v>63</v>
      </c>
    </row>
    <row r="30" s="1" customFormat="true" ht="12" hidden="false" customHeight="false" outlineLevel="0" collapsed="false">
      <c r="A30" s="29" t="s">
        <v>1034</v>
      </c>
      <c r="B30" s="4" t="s">
        <v>17</v>
      </c>
      <c r="C30" s="16" t="s">
        <v>44</v>
      </c>
      <c r="D30" s="7"/>
      <c r="E30" s="7"/>
      <c r="F30" s="6" t="n">
        <f aca="false">F25*0.483*1000</f>
        <v>74.865</v>
      </c>
      <c r="G30" s="16" t="s">
        <v>1016</v>
      </c>
      <c r="H30" s="25" t="s">
        <v>1012</v>
      </c>
      <c r="I30" s="16"/>
      <c r="J30" s="31" t="s">
        <v>1023</v>
      </c>
      <c r="K30" s="4" t="n">
        <v>110</v>
      </c>
      <c r="L30" s="4" t="s">
        <v>1014</v>
      </c>
      <c r="M30" s="4"/>
      <c r="N30" s="4" t="s">
        <v>63</v>
      </c>
    </row>
    <row r="31" s="1" customFormat="true" ht="12" hidden="false" customHeight="false" outlineLevel="0" collapsed="false">
      <c r="A31" s="29" t="s">
        <v>1035</v>
      </c>
      <c r="B31" s="4" t="s">
        <v>854</v>
      </c>
      <c r="C31" s="16" t="s">
        <v>44</v>
      </c>
      <c r="D31" s="7" t="n">
        <v>1.8</v>
      </c>
      <c r="E31" s="7" t="n">
        <v>1.4</v>
      </c>
      <c r="F31" s="6" t="n">
        <f aca="false">(IF(Patient!C2="Male",D31,E31)/1)*(Patient!C13/Patient!C17)</f>
        <v>1.8</v>
      </c>
      <c r="G31" s="16" t="s">
        <v>266</v>
      </c>
      <c r="H31" s="25" t="s">
        <v>1012</v>
      </c>
      <c r="I31" s="16"/>
      <c r="J31" s="31" t="s">
        <v>1023</v>
      </c>
      <c r="K31" s="4" t="n">
        <v>1030</v>
      </c>
      <c r="L31" s="4" t="s">
        <v>1014</v>
      </c>
      <c r="M31" s="4"/>
      <c r="N31" s="4" t="s">
        <v>53</v>
      </c>
    </row>
    <row r="32" s="1" customFormat="true" ht="12" hidden="false" customHeight="false" outlineLevel="0" collapsed="false">
      <c r="A32" s="29" t="s">
        <v>1036</v>
      </c>
      <c r="B32" s="4" t="s">
        <v>17</v>
      </c>
      <c r="C32" s="16" t="s">
        <v>44</v>
      </c>
      <c r="D32" s="7"/>
      <c r="E32" s="7"/>
      <c r="F32" s="6" t="n">
        <f aca="false">F31*0.161*1000</f>
        <v>289.8</v>
      </c>
      <c r="G32" s="16" t="s">
        <v>1016</v>
      </c>
      <c r="H32" s="25" t="s">
        <v>1012</v>
      </c>
      <c r="I32" s="16"/>
      <c r="J32" s="31" t="s">
        <v>1023</v>
      </c>
      <c r="K32" s="4" t="n">
        <v>1030</v>
      </c>
      <c r="L32" s="4" t="s">
        <v>1014</v>
      </c>
      <c r="M32" s="4"/>
      <c r="N32" s="4" t="s">
        <v>63</v>
      </c>
    </row>
    <row r="33" s="1" customFormat="true" ht="12" hidden="false" customHeight="false" outlineLevel="0" collapsed="false">
      <c r="A33" s="29" t="s">
        <v>1037</v>
      </c>
      <c r="B33" s="4" t="s">
        <v>17</v>
      </c>
      <c r="C33" s="16" t="s">
        <v>44</v>
      </c>
      <c r="D33" s="7"/>
      <c r="E33" s="7"/>
      <c r="F33" s="6" t="n">
        <f aca="false">F31*0.573*1000</f>
        <v>1031.4</v>
      </c>
      <c r="G33" s="16" t="s">
        <v>1016</v>
      </c>
      <c r="H33" s="25" t="s">
        <v>1012</v>
      </c>
      <c r="I33" s="16"/>
      <c r="J33" s="31" t="s">
        <v>1023</v>
      </c>
      <c r="K33" s="4" t="n">
        <v>1030</v>
      </c>
      <c r="L33" s="4" t="s">
        <v>1014</v>
      </c>
      <c r="M33" s="4"/>
      <c r="N33" s="4" t="s">
        <v>63</v>
      </c>
    </row>
    <row r="34" s="1" customFormat="true" ht="12" hidden="false" customHeight="false" outlineLevel="0" collapsed="false">
      <c r="A34" s="29" t="s">
        <v>1038</v>
      </c>
      <c r="B34" s="4" t="s">
        <v>854</v>
      </c>
      <c r="C34" s="16" t="s">
        <v>44</v>
      </c>
      <c r="D34" s="7" t="n">
        <f aca="false">0.5*Patient!C9</f>
        <v>0.3</v>
      </c>
      <c r="E34" s="7" t="n">
        <f aca="false">0.5*Patient!C9</f>
        <v>0.3</v>
      </c>
      <c r="F34" s="6" t="n">
        <f aca="false">(IF(Patient!C2="Male",D34,E34)/1)*(Patient!C13/Patient!C17)</f>
        <v>0.3</v>
      </c>
      <c r="G34" s="16" t="s">
        <v>266</v>
      </c>
      <c r="H34" s="25" t="s">
        <v>1012</v>
      </c>
      <c r="I34" s="16"/>
      <c r="J34" s="31" t="s">
        <v>1023</v>
      </c>
      <c r="K34" s="4" t="n">
        <v>160</v>
      </c>
      <c r="L34" s="4" t="s">
        <v>1014</v>
      </c>
      <c r="M34" s="4"/>
      <c r="N34" s="4" t="s">
        <v>53</v>
      </c>
    </row>
    <row r="35" s="1" customFormat="true" ht="12" hidden="false" customHeight="false" outlineLevel="0" collapsed="false">
      <c r="A35" s="29" t="s">
        <v>1039</v>
      </c>
      <c r="B35" s="4" t="s">
        <v>17</v>
      </c>
      <c r="C35" s="16" t="s">
        <v>44</v>
      </c>
      <c r="D35" s="7"/>
      <c r="E35" s="7"/>
      <c r="F35" s="6" t="n">
        <f aca="false">F34*0.336*1000</f>
        <v>100.8</v>
      </c>
      <c r="G35" s="16" t="s">
        <v>1016</v>
      </c>
      <c r="H35" s="25" t="s">
        <v>1012</v>
      </c>
      <c r="I35" s="16"/>
      <c r="J35" s="31" t="s">
        <v>1023</v>
      </c>
      <c r="K35" s="4" t="n">
        <v>160</v>
      </c>
      <c r="L35" s="4" t="s">
        <v>1014</v>
      </c>
      <c r="M35" s="4"/>
      <c r="N35" s="4" t="s">
        <v>63</v>
      </c>
    </row>
    <row r="36" s="1" customFormat="true" ht="12" hidden="false" customHeight="false" outlineLevel="0" collapsed="false">
      <c r="A36" s="29" t="s">
        <v>1040</v>
      </c>
      <c r="B36" s="4" t="s">
        <v>17</v>
      </c>
      <c r="C36" s="16" t="s">
        <v>44</v>
      </c>
      <c r="D36" s="7"/>
      <c r="E36" s="7"/>
      <c r="F36" s="6" t="n">
        <f aca="false">F34*0.44*1000</f>
        <v>132</v>
      </c>
      <c r="G36" s="16" t="s">
        <v>1016</v>
      </c>
      <c r="H36" s="25" t="s">
        <v>1012</v>
      </c>
      <c r="I36" s="16"/>
      <c r="J36" s="31" t="s">
        <v>1023</v>
      </c>
      <c r="K36" s="4" t="n">
        <v>160</v>
      </c>
      <c r="L36" s="4" t="s">
        <v>1014</v>
      </c>
      <c r="M36" s="4"/>
      <c r="N36" s="4" t="s">
        <v>63</v>
      </c>
    </row>
    <row r="37" s="1" customFormat="true" ht="12" hidden="false" customHeight="false" outlineLevel="0" collapsed="false">
      <c r="A37" s="29" t="s">
        <v>1041</v>
      </c>
      <c r="B37" s="4" t="s">
        <v>854</v>
      </c>
      <c r="C37" s="16" t="s">
        <v>44</v>
      </c>
      <c r="D37" s="7" t="n">
        <f aca="false">0.5*Patient!C10</f>
        <v>0.2</v>
      </c>
      <c r="E37" s="7" t="n">
        <f aca="false">0.42*Patient!C10</f>
        <v>0.168</v>
      </c>
      <c r="F37" s="6" t="n">
        <f aca="false">(IF(Patient!C2="Male",D37,E37)/1)*(Patient!C13/Patient!C17)</f>
        <v>0.2</v>
      </c>
      <c r="G37" s="16" t="s">
        <v>266</v>
      </c>
      <c r="H37" s="25" t="s">
        <v>1012</v>
      </c>
      <c r="I37" s="16"/>
      <c r="J37" s="31" t="s">
        <v>1023</v>
      </c>
      <c r="K37" s="4" t="n">
        <v>160</v>
      </c>
      <c r="L37" s="4" t="s">
        <v>1014</v>
      </c>
      <c r="M37" s="4"/>
      <c r="N37" s="4" t="s">
        <v>53</v>
      </c>
    </row>
    <row r="38" s="1" customFormat="true" ht="12" hidden="false" customHeight="false" outlineLevel="0" collapsed="false">
      <c r="A38" s="29" t="s">
        <v>1042</v>
      </c>
      <c r="B38" s="4" t="s">
        <v>17</v>
      </c>
      <c r="C38" s="16" t="s">
        <v>44</v>
      </c>
      <c r="D38" s="7"/>
      <c r="E38" s="7"/>
      <c r="F38" s="6" t="n">
        <f aca="false">F37*0.336*1000</f>
        <v>67.2</v>
      </c>
      <c r="G38" s="16" t="s">
        <v>1016</v>
      </c>
      <c r="H38" s="25" t="s">
        <v>1012</v>
      </c>
      <c r="I38" s="16"/>
      <c r="J38" s="31" t="s">
        <v>1023</v>
      </c>
      <c r="K38" s="4" t="n">
        <v>160</v>
      </c>
      <c r="L38" s="4" t="s">
        <v>1014</v>
      </c>
      <c r="M38" s="4"/>
      <c r="N38" s="4" t="s">
        <v>63</v>
      </c>
    </row>
    <row r="39" s="1" customFormat="true" ht="12" hidden="false" customHeight="false" outlineLevel="0" collapsed="false">
      <c r="A39" s="29" t="s">
        <v>1043</v>
      </c>
      <c r="B39" s="4" t="s">
        <v>17</v>
      </c>
      <c r="C39" s="16" t="s">
        <v>44</v>
      </c>
      <c r="D39" s="7"/>
      <c r="E39" s="7"/>
      <c r="F39" s="6" t="n">
        <f aca="false">F37*0.44*1000</f>
        <v>88</v>
      </c>
      <c r="G39" s="16" t="s">
        <v>1016</v>
      </c>
      <c r="H39" s="25" t="s">
        <v>1012</v>
      </c>
      <c r="I39" s="16"/>
      <c r="J39" s="31" t="s">
        <v>1023</v>
      </c>
      <c r="K39" s="4" t="n">
        <v>160</v>
      </c>
      <c r="L39" s="4" t="s">
        <v>1014</v>
      </c>
      <c r="M39" s="4"/>
      <c r="N39" s="4" t="s">
        <v>63</v>
      </c>
    </row>
    <row r="40" s="1" customFormat="true" ht="12" hidden="false" customHeight="false" outlineLevel="0" collapsed="false">
      <c r="A40" s="29" t="s">
        <v>1044</v>
      </c>
      <c r="B40" s="4" t="s">
        <v>854</v>
      </c>
      <c r="C40" s="16" t="s">
        <v>44</v>
      </c>
      <c r="D40" s="7" t="n">
        <v>29</v>
      </c>
      <c r="E40" s="7" t="n">
        <v>17.5</v>
      </c>
      <c r="F40" s="6" t="n">
        <f aca="false">(IF(Patient!C2="Male",D40,E40)/1)*(Patient!C13/Patient!C17)</f>
        <v>29</v>
      </c>
      <c r="G40" s="16" t="s">
        <v>266</v>
      </c>
      <c r="H40" s="25" t="s">
        <v>1012</v>
      </c>
      <c r="I40" s="16"/>
      <c r="J40" s="31" t="s">
        <v>1023</v>
      </c>
      <c r="K40" s="4" t="n">
        <v>13090</v>
      </c>
      <c r="L40" s="4" t="s">
        <v>1014</v>
      </c>
      <c r="M40" s="4"/>
      <c r="N40" s="4" t="s">
        <v>53</v>
      </c>
    </row>
    <row r="41" s="1" customFormat="true" ht="12" hidden="false" customHeight="false" outlineLevel="0" collapsed="false">
      <c r="A41" s="29" t="s">
        <v>1045</v>
      </c>
      <c r="B41" s="4" t="s">
        <v>17</v>
      </c>
      <c r="C41" s="16" t="s">
        <v>44</v>
      </c>
      <c r="D41" s="7"/>
      <c r="E41" s="7"/>
      <c r="F41" s="6" t="n">
        <f aca="false">F40*0.118*1000</f>
        <v>3422</v>
      </c>
      <c r="G41" s="16" t="s">
        <v>1016</v>
      </c>
      <c r="H41" s="25" t="s">
        <v>1012</v>
      </c>
      <c r="I41" s="16"/>
      <c r="J41" s="31" t="s">
        <v>1023</v>
      </c>
      <c r="K41" s="4" t="n">
        <v>13090</v>
      </c>
      <c r="L41" s="4" t="s">
        <v>1014</v>
      </c>
      <c r="M41" s="4"/>
      <c r="N41" s="4" t="s">
        <v>63</v>
      </c>
    </row>
    <row r="42" s="1" customFormat="true" ht="12" hidden="false" customHeight="false" outlineLevel="0" collapsed="false">
      <c r="A42" s="29" t="s">
        <v>1046</v>
      </c>
      <c r="B42" s="4" t="s">
        <v>17</v>
      </c>
      <c r="C42" s="16" t="s">
        <v>44</v>
      </c>
      <c r="D42" s="7"/>
      <c r="E42" s="7"/>
      <c r="F42" s="6" t="n">
        <f aca="false">F40*0.63*1000</f>
        <v>18270</v>
      </c>
      <c r="G42" s="16" t="s">
        <v>1016</v>
      </c>
      <c r="H42" s="25" t="s">
        <v>1012</v>
      </c>
      <c r="I42" s="16"/>
      <c r="J42" s="31" t="s">
        <v>1023</v>
      </c>
      <c r="K42" s="4" t="n">
        <v>13090</v>
      </c>
      <c r="L42" s="4" t="s">
        <v>1014</v>
      </c>
      <c r="M42" s="4"/>
      <c r="N42" s="4" t="s">
        <v>63</v>
      </c>
    </row>
    <row r="43" customFormat="false" ht="15" hidden="false" customHeight="false" outlineLevel="0" collapsed="false">
      <c r="A43" s="29" t="s">
        <v>1047</v>
      </c>
      <c r="B43" s="17" t="s">
        <v>81</v>
      </c>
      <c r="C43" s="8" t="s">
        <v>44</v>
      </c>
      <c r="D43" s="7"/>
      <c r="E43" s="7"/>
      <c r="F43" s="49" t="s">
        <v>1048</v>
      </c>
      <c r="G43" s="16" t="s">
        <v>1049</v>
      </c>
      <c r="H43" s="16"/>
      <c r="I43" s="16"/>
      <c r="J43" s="31"/>
      <c r="K43" s="20"/>
      <c r="L43" s="4" t="s">
        <v>1014</v>
      </c>
      <c r="M43" s="4"/>
      <c r="N43" s="4" t="s">
        <v>63</v>
      </c>
    </row>
    <row r="44" customFormat="false" ht="15" hidden="false" customHeight="false" outlineLevel="0" collapsed="false">
      <c r="A44" s="29" t="s">
        <v>1050</v>
      </c>
      <c r="B44" s="17" t="s">
        <v>81</v>
      </c>
      <c r="C44" s="8" t="s">
        <v>44</v>
      </c>
      <c r="D44" s="7"/>
      <c r="E44" s="7"/>
      <c r="F44" s="104" t="s">
        <v>1051</v>
      </c>
      <c r="G44" s="16" t="s">
        <v>466</v>
      </c>
      <c r="H44" s="25"/>
      <c r="I44" s="4"/>
      <c r="J44" s="31" t="s">
        <v>1052</v>
      </c>
      <c r="K44" s="3"/>
      <c r="L44" s="4" t="s">
        <v>1014</v>
      </c>
      <c r="M44" s="4"/>
      <c r="N44" s="4" t="s">
        <v>63</v>
      </c>
    </row>
    <row r="45" s="1" customFormat="true" ht="12" hidden="false" customHeight="false" outlineLevel="0" collapsed="false">
      <c r="A45" s="29" t="s">
        <v>1053</v>
      </c>
      <c r="B45" s="4" t="s">
        <v>854</v>
      </c>
      <c r="C45" s="16" t="s">
        <v>44</v>
      </c>
      <c r="D45" s="7" t="n">
        <v>0.33</v>
      </c>
      <c r="E45" s="7" t="n">
        <v>0.25</v>
      </c>
      <c r="F45" s="6" t="n">
        <f aca="false">(IF(Patient!C2="Male",D45,E45)/1)*(Patient!C13/Patient!C17)</f>
        <v>0.33</v>
      </c>
      <c r="G45" s="16" t="s">
        <v>266</v>
      </c>
      <c r="H45" s="25" t="s">
        <v>1012</v>
      </c>
      <c r="I45" s="16"/>
      <c r="J45" s="31" t="s">
        <v>1023</v>
      </c>
      <c r="K45" s="4" t="n">
        <v>190</v>
      </c>
      <c r="L45" s="4" t="s">
        <v>1014</v>
      </c>
      <c r="M45" s="4"/>
      <c r="N45" s="4" t="s">
        <v>53</v>
      </c>
    </row>
    <row r="46" s="1" customFormat="true" ht="12" hidden="false" customHeight="false" outlineLevel="0" collapsed="false">
      <c r="A46" s="29" t="s">
        <v>1054</v>
      </c>
      <c r="B46" s="4" t="s">
        <v>17</v>
      </c>
      <c r="C46" s="16" t="s">
        <v>44</v>
      </c>
      <c r="D46" s="7"/>
      <c r="E46" s="7"/>
      <c r="F46" s="6" t="n">
        <f aca="false">F45*0.32*1000</f>
        <v>105.6</v>
      </c>
      <c r="G46" s="16" t="s">
        <v>1016</v>
      </c>
      <c r="H46" s="25" t="s">
        <v>1012</v>
      </c>
      <c r="I46" s="16"/>
      <c r="J46" s="31" t="s">
        <v>1023</v>
      </c>
      <c r="K46" s="4" t="n">
        <v>190</v>
      </c>
      <c r="L46" s="4" t="s">
        <v>1014</v>
      </c>
      <c r="M46" s="4"/>
      <c r="N46" s="4" t="s">
        <v>63</v>
      </c>
    </row>
    <row r="47" s="1" customFormat="true" ht="12" hidden="false" customHeight="false" outlineLevel="0" collapsed="false">
      <c r="A47" s="29" t="s">
        <v>1055</v>
      </c>
      <c r="B47" s="4" t="s">
        <v>17</v>
      </c>
      <c r="C47" s="16" t="s">
        <v>44</v>
      </c>
      <c r="D47" s="7"/>
      <c r="E47" s="7"/>
      <c r="F47" s="6" t="n">
        <f aca="false">F45*0.456*1000</f>
        <v>150.48</v>
      </c>
      <c r="G47" s="16" t="s">
        <v>1016</v>
      </c>
      <c r="H47" s="25" t="s">
        <v>1012</v>
      </c>
      <c r="I47" s="16"/>
      <c r="J47" s="31" t="s">
        <v>1023</v>
      </c>
      <c r="K47" s="4" t="n">
        <v>190</v>
      </c>
      <c r="L47" s="4" t="s">
        <v>1014</v>
      </c>
      <c r="M47" s="4"/>
      <c r="N47" s="4" t="s">
        <v>63</v>
      </c>
    </row>
    <row r="48" s="1" customFormat="true" ht="12" hidden="false" customHeight="false" outlineLevel="0" collapsed="false">
      <c r="A48" s="29" t="s">
        <v>1056</v>
      </c>
      <c r="B48" s="4" t="s">
        <v>854</v>
      </c>
      <c r="C48" s="16" t="s">
        <v>44</v>
      </c>
      <c r="D48" s="7" t="n">
        <v>3.3</v>
      </c>
      <c r="E48" s="7" t="n">
        <v>2.3</v>
      </c>
      <c r="F48" s="6" t="n">
        <f aca="false">(IF(Patient!C2="Male",D48,E48)/1)*(Patient!C5/Patient!C15)</f>
        <v>3.14379680849802</v>
      </c>
      <c r="G48" s="16" t="s">
        <v>266</v>
      </c>
      <c r="H48" s="25" t="s">
        <v>1012</v>
      </c>
      <c r="I48" s="16"/>
      <c r="J48" s="31" t="s">
        <v>1023</v>
      </c>
      <c r="K48" s="4" t="n">
        <v>1550</v>
      </c>
      <c r="L48" s="4" t="s">
        <v>1014</v>
      </c>
      <c r="M48" s="4"/>
      <c r="N48" s="4" t="s">
        <v>53</v>
      </c>
    </row>
    <row r="49" s="1" customFormat="true" ht="12" hidden="false" customHeight="false" outlineLevel="0" collapsed="false">
      <c r="A49" s="29" t="s">
        <v>1057</v>
      </c>
      <c r="B49" s="4" t="s">
        <v>17</v>
      </c>
      <c r="C49" s="16" t="s">
        <v>44</v>
      </c>
      <c r="D49" s="7"/>
      <c r="E49" s="7"/>
      <c r="F49" s="6" t="n">
        <f aca="false">F48*0.382*1000</f>
        <v>1200.93038084624</v>
      </c>
      <c r="G49" s="16" t="s">
        <v>1016</v>
      </c>
      <c r="H49" s="25" t="s">
        <v>1012</v>
      </c>
      <c r="I49" s="16"/>
      <c r="J49" s="31" t="s">
        <v>1023</v>
      </c>
      <c r="K49" s="4" t="n">
        <v>1550</v>
      </c>
      <c r="L49" s="4" t="s">
        <v>1014</v>
      </c>
      <c r="M49" s="4"/>
      <c r="N49" s="4" t="s">
        <v>63</v>
      </c>
    </row>
    <row r="50" s="1" customFormat="true" ht="12" hidden="false" customHeight="false" outlineLevel="0" collapsed="false">
      <c r="A50" s="29" t="s">
        <v>1058</v>
      </c>
      <c r="B50" s="4" t="s">
        <v>17</v>
      </c>
      <c r="C50" s="16" t="s">
        <v>44</v>
      </c>
      <c r="D50" s="7"/>
      <c r="E50" s="7"/>
      <c r="F50" s="6" t="n">
        <f aca="false">F48*0.291*1000</f>
        <v>914.844871272923</v>
      </c>
      <c r="G50" s="16" t="s">
        <v>1016</v>
      </c>
      <c r="H50" s="25" t="s">
        <v>1012</v>
      </c>
      <c r="I50" s="16"/>
      <c r="J50" s="31" t="s">
        <v>1023</v>
      </c>
      <c r="K50" s="4" t="n">
        <v>1550</v>
      </c>
      <c r="L50" s="4" t="s">
        <v>1014</v>
      </c>
      <c r="M50" s="4"/>
      <c r="N50" s="4" t="s">
        <v>63</v>
      </c>
    </row>
    <row r="51" s="1" customFormat="true" ht="12" hidden="false" customHeight="false" outlineLevel="0" collapsed="false">
      <c r="A51" s="29" t="s">
        <v>1059</v>
      </c>
      <c r="B51" s="4" t="s">
        <v>854</v>
      </c>
      <c r="C51" s="16" t="s">
        <v>44</v>
      </c>
      <c r="D51" s="7" t="n">
        <v>0.15</v>
      </c>
      <c r="E51" s="7" t="n">
        <v>0.13</v>
      </c>
      <c r="F51" s="6" t="n">
        <f aca="false">(IF(Patient!C2="Male",D51,E51)/1)*(Patient!C13/Patient!C17)</f>
        <v>0.15</v>
      </c>
      <c r="G51" s="16" t="s">
        <v>266</v>
      </c>
      <c r="H51" s="25" t="s">
        <v>1012</v>
      </c>
      <c r="I51" s="16"/>
      <c r="J51" s="31" t="s">
        <v>1023</v>
      </c>
      <c r="K51" s="4" t="n">
        <v>100</v>
      </c>
      <c r="L51" s="4" t="s">
        <v>1014</v>
      </c>
      <c r="M51" s="4"/>
      <c r="N51" s="4" t="s">
        <v>53</v>
      </c>
    </row>
    <row r="52" s="1" customFormat="true" ht="12" hidden="false" customHeight="false" outlineLevel="0" collapsed="false">
      <c r="A52" s="29" t="s">
        <v>1060</v>
      </c>
      <c r="B52" s="4" t="s">
        <v>17</v>
      </c>
      <c r="C52" s="16" t="s">
        <v>44</v>
      </c>
      <c r="D52" s="7"/>
      <c r="E52" s="7"/>
      <c r="F52" s="6" t="n">
        <f aca="false">F51*0.207*1000</f>
        <v>31.05</v>
      </c>
      <c r="G52" s="16" t="s">
        <v>1016</v>
      </c>
      <c r="H52" s="25" t="s">
        <v>1012</v>
      </c>
      <c r="I52" s="16"/>
      <c r="J52" s="31" t="s">
        <v>1023</v>
      </c>
      <c r="K52" s="4" t="n">
        <v>100</v>
      </c>
      <c r="L52" s="4" t="s">
        <v>1014</v>
      </c>
      <c r="M52" s="4"/>
      <c r="N52" s="4" t="s">
        <v>63</v>
      </c>
    </row>
    <row r="53" s="1" customFormat="true" ht="12" hidden="false" customHeight="false" outlineLevel="0" collapsed="false">
      <c r="A53" s="29" t="s">
        <v>1061</v>
      </c>
      <c r="B53" s="4" t="s">
        <v>17</v>
      </c>
      <c r="C53" s="16" t="s">
        <v>44</v>
      </c>
      <c r="D53" s="7"/>
      <c r="E53" s="7"/>
      <c r="F53" s="6" t="n">
        <f aca="false">F51*0.579*1000</f>
        <v>86.85</v>
      </c>
      <c r="G53" s="16" t="s">
        <v>1016</v>
      </c>
      <c r="H53" s="25" t="s">
        <v>1012</v>
      </c>
      <c r="I53" s="16"/>
      <c r="J53" s="31" t="s">
        <v>1023</v>
      </c>
      <c r="K53" s="4" t="n">
        <v>100</v>
      </c>
      <c r="L53" s="4" t="s">
        <v>1014</v>
      </c>
      <c r="M53" s="4"/>
      <c r="N53" s="4" t="s">
        <v>63</v>
      </c>
    </row>
    <row r="54" customFormat="false" ht="15" hidden="false" customHeight="false" outlineLevel="0" collapsed="false">
      <c r="A54" s="27" t="s">
        <v>1062</v>
      </c>
      <c r="B54" s="2" t="s">
        <v>1</v>
      </c>
      <c r="C54" s="10" t="s">
        <v>31</v>
      </c>
      <c r="D54" s="10" t="s">
        <v>32</v>
      </c>
      <c r="E54" s="10" t="s">
        <v>33</v>
      </c>
      <c r="F54" s="10" t="s">
        <v>116</v>
      </c>
      <c r="G54" s="28" t="s">
        <v>117</v>
      </c>
      <c r="H54" s="28" t="s">
        <v>118</v>
      </c>
      <c r="I54" s="2" t="s">
        <v>36</v>
      </c>
      <c r="J54" s="2" t="s">
        <v>37</v>
      </c>
      <c r="K54" s="28" t="s">
        <v>38</v>
      </c>
      <c r="L54" s="10" t="s">
        <v>39</v>
      </c>
      <c r="M54" s="10" t="s">
        <v>40</v>
      </c>
      <c r="N54" s="10" t="s">
        <v>41</v>
      </c>
    </row>
    <row r="55" customFormat="false" ht="24.75" hidden="false" customHeight="false" outlineLevel="0" collapsed="false">
      <c r="A55" s="29" t="s">
        <v>1063</v>
      </c>
      <c r="B55" s="17" t="s">
        <v>81</v>
      </c>
      <c r="C55" s="8" t="s">
        <v>44</v>
      </c>
      <c r="D55" s="7"/>
      <c r="E55" s="7"/>
      <c r="F55" s="17" t="s">
        <v>1064</v>
      </c>
      <c r="G55" s="17" t="s">
        <v>134</v>
      </c>
      <c r="H55" s="17"/>
      <c r="I55" s="17"/>
      <c r="J55" s="105" t="s">
        <v>1065</v>
      </c>
      <c r="K55" s="7"/>
      <c r="L55" s="4" t="s">
        <v>1066</v>
      </c>
      <c r="M55" s="4"/>
      <c r="N55" s="4" t="s">
        <v>63</v>
      </c>
    </row>
    <row r="56" customFormat="false" ht="15" hidden="false" customHeight="false" outlineLevel="0" collapsed="false">
      <c r="A56" s="29" t="s">
        <v>1067</v>
      </c>
      <c r="B56" s="17" t="s">
        <v>81</v>
      </c>
      <c r="C56" s="8" t="s">
        <v>44</v>
      </c>
      <c r="D56" s="7"/>
      <c r="E56" s="7"/>
      <c r="F56" s="8" t="n">
        <v>0</v>
      </c>
      <c r="G56" s="17"/>
      <c r="H56" s="8"/>
      <c r="I56" s="8"/>
      <c r="J56" s="8"/>
      <c r="K56" s="33" t="s">
        <v>991</v>
      </c>
      <c r="L56" s="4" t="s">
        <v>1066</v>
      </c>
      <c r="M56" s="4"/>
      <c r="N56" s="4" t="s">
        <v>63</v>
      </c>
    </row>
    <row r="57" customFormat="false" ht="15" hidden="false" customHeight="false" outlineLevel="0" collapsed="false">
      <c r="A57" s="29" t="s">
        <v>1068</v>
      </c>
      <c r="B57" s="17" t="s">
        <v>81</v>
      </c>
      <c r="C57" s="8" t="s">
        <v>44</v>
      </c>
      <c r="D57" s="7"/>
      <c r="E57" s="7"/>
      <c r="F57" s="16" t="n">
        <v>25</v>
      </c>
      <c r="G57" s="17" t="s">
        <v>1069</v>
      </c>
      <c r="H57" s="16" t="s">
        <v>1070</v>
      </c>
      <c r="I57" s="16"/>
      <c r="J57" s="18"/>
      <c r="K57" s="13" t="s">
        <v>993</v>
      </c>
      <c r="L57" s="4" t="s">
        <v>1066</v>
      </c>
      <c r="M57" s="4"/>
      <c r="N57" s="4" t="s">
        <v>63</v>
      </c>
    </row>
    <row r="58" customFormat="false" ht="15" hidden="false" customHeight="false" outlineLevel="0" collapsed="false">
      <c r="A58" s="29" t="s">
        <v>1071</v>
      </c>
      <c r="B58" s="17" t="s">
        <v>81</v>
      </c>
      <c r="C58" s="8" t="s">
        <v>44</v>
      </c>
      <c r="D58" s="7"/>
      <c r="E58" s="7"/>
      <c r="F58" s="16" t="n">
        <v>1.2</v>
      </c>
      <c r="G58" s="17" t="s">
        <v>1069</v>
      </c>
      <c r="H58" s="16" t="s">
        <v>1070</v>
      </c>
      <c r="I58" s="16"/>
      <c r="J58" s="18"/>
      <c r="K58" s="8" t="s">
        <v>999</v>
      </c>
      <c r="L58" s="4" t="s">
        <v>1066</v>
      </c>
      <c r="M58" s="4"/>
      <c r="N58" s="4" t="s">
        <v>63</v>
      </c>
    </row>
    <row r="59" customFormat="false" ht="24" hidden="false" customHeight="false" outlineLevel="0" collapsed="false">
      <c r="A59" s="29" t="s">
        <v>1072</v>
      </c>
      <c r="B59" s="106" t="s">
        <v>81</v>
      </c>
      <c r="C59" s="107" t="s">
        <v>44</v>
      </c>
      <c r="D59" s="106"/>
      <c r="E59" s="106"/>
      <c r="F59" s="107" t="s">
        <v>1073</v>
      </c>
      <c r="G59" s="106"/>
      <c r="H59" s="107"/>
      <c r="I59" s="107"/>
      <c r="J59" s="107" t="s">
        <v>1074</v>
      </c>
      <c r="K59" s="8"/>
      <c r="L59" s="4" t="s">
        <v>1066</v>
      </c>
      <c r="M59" s="4"/>
      <c r="N59" s="4" t="s">
        <v>63</v>
      </c>
    </row>
    <row r="60" customFormat="false" ht="15" hidden="false" customHeight="false" outlineLevel="0" collapsed="false">
      <c r="A60" s="29" t="s">
        <v>1075</v>
      </c>
      <c r="B60" s="17" t="s">
        <v>81</v>
      </c>
      <c r="C60" s="8" t="s">
        <v>44</v>
      </c>
      <c r="D60" s="7"/>
      <c r="E60" s="7"/>
      <c r="F60" s="19" t="n">
        <v>116</v>
      </c>
      <c r="G60" s="17" t="s">
        <v>1069</v>
      </c>
      <c r="H60" s="16" t="s">
        <v>1070</v>
      </c>
      <c r="I60" s="16"/>
      <c r="J60" s="31"/>
      <c r="K60" s="7"/>
      <c r="L60" s="4" t="s">
        <v>1066</v>
      </c>
      <c r="M60" s="4"/>
      <c r="N60" s="4" t="s">
        <v>63</v>
      </c>
    </row>
    <row r="61" customFormat="false" ht="36.75" hidden="false" customHeight="false" outlineLevel="0" collapsed="false">
      <c r="A61" s="29" t="s">
        <v>1076</v>
      </c>
      <c r="B61" s="106"/>
      <c r="C61" s="107"/>
      <c r="D61" s="106"/>
      <c r="E61" s="106"/>
      <c r="F61" s="106"/>
      <c r="G61" s="106"/>
      <c r="H61" s="106"/>
      <c r="I61" s="107"/>
      <c r="J61" s="108" t="s">
        <v>1077</v>
      </c>
      <c r="K61" s="7"/>
      <c r="L61" s="4" t="s">
        <v>1066</v>
      </c>
      <c r="M61" s="4"/>
      <c r="N61" s="4" t="s">
        <v>63</v>
      </c>
    </row>
    <row r="62" customFormat="false" ht="72.75" hidden="false" customHeight="false" outlineLevel="0" collapsed="false">
      <c r="A62" s="29" t="s">
        <v>1078</v>
      </c>
      <c r="B62" s="16" t="s">
        <v>1079</v>
      </c>
      <c r="C62" s="8" t="s">
        <v>44</v>
      </c>
      <c r="D62" s="7"/>
      <c r="E62" s="7"/>
      <c r="F62" s="8" t="s">
        <v>1080</v>
      </c>
      <c r="G62" s="16" t="s">
        <v>1081</v>
      </c>
      <c r="H62" s="16" t="s">
        <v>1082</v>
      </c>
      <c r="I62" s="16"/>
      <c r="J62" s="105" t="s">
        <v>1083</v>
      </c>
      <c r="K62" s="3"/>
      <c r="L62" s="4" t="s">
        <v>1066</v>
      </c>
      <c r="M62" s="4"/>
      <c r="N62" s="4" t="s">
        <v>63</v>
      </c>
    </row>
    <row r="63" customFormat="false" ht="15" hidden="false" customHeight="false" outlineLevel="0" collapsed="false">
      <c r="A63" s="29" t="s">
        <v>1084</v>
      </c>
      <c r="B63" s="17" t="s">
        <v>81</v>
      </c>
      <c r="C63" s="8" t="s">
        <v>44</v>
      </c>
      <c r="D63" s="7"/>
      <c r="E63" s="7"/>
      <c r="F63" s="8" t="n">
        <v>5.9</v>
      </c>
      <c r="G63" s="16" t="s">
        <v>1069</v>
      </c>
      <c r="H63" s="16" t="s">
        <v>1070</v>
      </c>
      <c r="I63" s="16"/>
      <c r="J63" s="31"/>
      <c r="K63" s="20"/>
      <c r="L63" s="4" t="s">
        <v>1066</v>
      </c>
      <c r="M63" s="4"/>
      <c r="N63" s="4" t="s">
        <v>63</v>
      </c>
    </row>
    <row r="64" customFormat="false" ht="15" hidden="false" customHeight="false" outlineLevel="0" collapsed="false">
      <c r="A64" s="29" t="s">
        <v>1085</v>
      </c>
      <c r="B64" s="17" t="s">
        <v>81</v>
      </c>
      <c r="C64" s="8" t="s">
        <v>44</v>
      </c>
      <c r="D64" s="7"/>
      <c r="E64" s="7"/>
      <c r="F64" s="25" t="n">
        <v>0</v>
      </c>
      <c r="G64" s="16"/>
      <c r="H64" s="25"/>
      <c r="I64" s="25"/>
      <c r="J64" s="31" t="s">
        <v>1086</v>
      </c>
      <c r="K64" s="3"/>
      <c r="L64" s="4" t="s">
        <v>1066</v>
      </c>
      <c r="M64" s="4"/>
      <c r="N64" s="4" t="s">
        <v>63</v>
      </c>
    </row>
    <row r="65" customFormat="false" ht="24.75" hidden="false" customHeight="false" outlineLevel="0" collapsed="false">
      <c r="A65" s="29" t="s">
        <v>1087</v>
      </c>
      <c r="B65" s="25" t="s">
        <v>1079</v>
      </c>
      <c r="C65" s="8" t="s">
        <v>44</v>
      </c>
      <c r="D65" s="7"/>
      <c r="E65" s="7"/>
      <c r="F65" s="25" t="s">
        <v>1088</v>
      </c>
      <c r="G65" s="16" t="s">
        <v>1089</v>
      </c>
      <c r="H65" s="25" t="s">
        <v>1090</v>
      </c>
      <c r="I65" s="4"/>
      <c r="J65" s="105" t="s">
        <v>1065</v>
      </c>
      <c r="K65" s="3"/>
      <c r="L65" s="4" t="s">
        <v>1066</v>
      </c>
      <c r="M65" s="4"/>
      <c r="N65" s="4" t="s">
        <v>63</v>
      </c>
    </row>
    <row r="66" customFormat="false" ht="48.75" hidden="false" customHeight="false" outlineLevel="0" collapsed="false">
      <c r="A66" s="29" t="s">
        <v>1091</v>
      </c>
      <c r="B66" s="17" t="s">
        <v>81</v>
      </c>
      <c r="C66" s="8" t="s">
        <v>44</v>
      </c>
      <c r="D66" s="7"/>
      <c r="E66" s="7"/>
      <c r="F66" s="25" t="s">
        <v>1092</v>
      </c>
      <c r="G66" s="16" t="s">
        <v>1093</v>
      </c>
      <c r="H66" s="25" t="s">
        <v>1094</v>
      </c>
      <c r="I66" s="4"/>
      <c r="J66" s="31" t="s">
        <v>1095</v>
      </c>
      <c r="K66" s="3"/>
      <c r="L66" s="4" t="s">
        <v>1066</v>
      </c>
      <c r="M66" s="4"/>
      <c r="N66" s="4" t="s">
        <v>63</v>
      </c>
    </row>
    <row r="67" customFormat="false" ht="24" hidden="false" customHeight="false" outlineLevel="0" collapsed="false">
      <c r="A67" s="29" t="s">
        <v>1096</v>
      </c>
      <c r="B67" s="106"/>
      <c r="C67" s="107"/>
      <c r="D67" s="106"/>
      <c r="E67" s="106"/>
      <c r="F67" s="107"/>
      <c r="G67" s="107"/>
      <c r="H67" s="107"/>
      <c r="I67" s="107"/>
      <c r="J67" s="106" t="s">
        <v>1097</v>
      </c>
      <c r="K67" s="3"/>
      <c r="L67" s="4" t="s">
        <v>1066</v>
      </c>
      <c r="M67" s="4"/>
      <c r="N67" s="4" t="s">
        <v>63</v>
      </c>
    </row>
    <row r="68" customFormat="false" ht="15" hidden="false" customHeight="false" outlineLevel="0" collapsed="false">
      <c r="A68" s="29" t="s">
        <v>1098</v>
      </c>
      <c r="B68" s="17" t="s">
        <v>1079</v>
      </c>
      <c r="C68" s="8" t="s">
        <v>44</v>
      </c>
      <c r="D68" s="7"/>
      <c r="E68" s="7"/>
      <c r="F68" s="25" t="s">
        <v>1099</v>
      </c>
      <c r="G68" s="16" t="s">
        <v>1093</v>
      </c>
      <c r="H68" s="25" t="s">
        <v>1100</v>
      </c>
      <c r="I68" s="8"/>
      <c r="J68" s="25"/>
      <c r="K68" s="3"/>
      <c r="L68" s="4" t="s">
        <v>1066</v>
      </c>
      <c r="M68" s="4"/>
      <c r="N68" s="4" t="s">
        <v>63</v>
      </c>
    </row>
    <row r="69" customFormat="false" ht="24" hidden="false" customHeight="false" outlineLevel="0" collapsed="false">
      <c r="A69" s="29" t="s">
        <v>1101</v>
      </c>
      <c r="B69" s="17" t="s">
        <v>81</v>
      </c>
      <c r="C69" s="8" t="s">
        <v>44</v>
      </c>
      <c r="D69" s="7"/>
      <c r="E69" s="7"/>
      <c r="F69" s="8" t="s">
        <v>1102</v>
      </c>
      <c r="G69" s="16"/>
      <c r="H69" s="8"/>
      <c r="I69" s="8"/>
      <c r="J69" s="107" t="s">
        <v>1074</v>
      </c>
      <c r="K69" s="3"/>
      <c r="L69" s="4" t="s">
        <v>1066</v>
      </c>
      <c r="M69" s="4"/>
      <c r="N69" s="4" t="s">
        <v>63</v>
      </c>
    </row>
    <row r="70" customFormat="false" ht="15" hidden="false" customHeight="false" outlineLevel="0" collapsed="false">
      <c r="A70" s="11" t="s">
        <v>1103</v>
      </c>
      <c r="B70" s="17" t="s">
        <v>81</v>
      </c>
      <c r="C70" s="8" t="s">
        <v>44</v>
      </c>
      <c r="D70" s="7"/>
      <c r="E70" s="7"/>
      <c r="F70" s="17" t="n">
        <v>4.5</v>
      </c>
      <c r="G70" s="17" t="s">
        <v>1069</v>
      </c>
      <c r="H70" s="17" t="s">
        <v>1070</v>
      </c>
      <c r="I70" s="25"/>
      <c r="J70" s="31"/>
      <c r="K70" s="3"/>
      <c r="L70" s="4" t="s">
        <v>1066</v>
      </c>
      <c r="M70" s="4"/>
      <c r="N70" s="4" t="s">
        <v>63</v>
      </c>
    </row>
    <row r="71" customFormat="false" ht="15" hidden="false" customHeight="false" outlineLevel="0" collapsed="false">
      <c r="A71" s="29" t="s">
        <v>1104</v>
      </c>
      <c r="B71" s="17" t="s">
        <v>81</v>
      </c>
      <c r="C71" s="8" t="s">
        <v>44</v>
      </c>
      <c r="D71" s="7"/>
      <c r="E71" s="7"/>
      <c r="F71" s="25" t="n">
        <v>145</v>
      </c>
      <c r="G71" s="16" t="s">
        <v>1069</v>
      </c>
      <c r="H71" s="25" t="s">
        <v>1070</v>
      </c>
      <c r="I71" s="25"/>
      <c r="J71" s="31"/>
      <c r="K71" s="3"/>
      <c r="L71" s="4" t="s">
        <v>1066</v>
      </c>
      <c r="M71" s="4"/>
      <c r="N71" s="4" t="s">
        <v>63</v>
      </c>
    </row>
    <row r="72" customFormat="false" ht="15" hidden="false" customHeight="false" outlineLevel="0" collapsed="false">
      <c r="A72" s="29" t="s">
        <v>1105</v>
      </c>
      <c r="B72" s="34" t="s">
        <v>81</v>
      </c>
      <c r="C72" s="33" t="s">
        <v>44</v>
      </c>
      <c r="D72" s="34"/>
      <c r="E72" s="34"/>
      <c r="F72" s="34"/>
      <c r="G72" s="34"/>
      <c r="H72" s="34"/>
      <c r="I72" s="109"/>
      <c r="J72" s="105" t="s">
        <v>1106</v>
      </c>
      <c r="K72" s="3"/>
      <c r="L72" s="4" t="s">
        <v>1066</v>
      </c>
      <c r="M72" s="4"/>
      <c r="N72" s="4" t="s">
        <v>63</v>
      </c>
    </row>
    <row r="73" customFormat="false" ht="36" hidden="false" customHeight="false" outlineLevel="0" collapsed="false">
      <c r="A73" s="29" t="s">
        <v>1107</v>
      </c>
      <c r="B73" s="25" t="s">
        <v>58</v>
      </c>
      <c r="C73" s="8" t="s">
        <v>44</v>
      </c>
      <c r="D73" s="7"/>
      <c r="E73" s="7"/>
      <c r="F73" s="25" t="s">
        <v>184</v>
      </c>
      <c r="G73" s="25" t="s">
        <v>185</v>
      </c>
      <c r="H73" s="25"/>
      <c r="I73" s="110"/>
      <c r="J73" s="44" t="s">
        <v>1108</v>
      </c>
      <c r="K73" s="3"/>
      <c r="L73" s="4" t="s">
        <v>1066</v>
      </c>
      <c r="M73" s="4"/>
      <c r="N73" s="4" t="s">
        <v>63</v>
      </c>
    </row>
    <row r="74" customFormat="false" ht="24.75" hidden="false" customHeight="false" outlineLevel="0" collapsed="false">
      <c r="A74" s="29" t="s">
        <v>1109</v>
      </c>
      <c r="B74" s="17" t="s">
        <v>81</v>
      </c>
      <c r="C74" s="8" t="s">
        <v>44</v>
      </c>
      <c r="D74" s="7"/>
      <c r="E74" s="7"/>
      <c r="F74" s="17" t="s">
        <v>1064</v>
      </c>
      <c r="G74" s="17"/>
      <c r="H74" s="17"/>
      <c r="I74" s="17"/>
      <c r="J74" s="105" t="s">
        <v>1065</v>
      </c>
      <c r="K74" s="3"/>
      <c r="L74" s="4" t="s">
        <v>1066</v>
      </c>
      <c r="M74" s="4"/>
      <c r="N74" s="4" t="s">
        <v>63</v>
      </c>
    </row>
    <row r="75" customFormat="false" ht="15" hidden="false" customHeight="false" outlineLevel="0" collapsed="false">
      <c r="A75" s="29" t="s">
        <v>1110</v>
      </c>
      <c r="B75" s="17" t="s">
        <v>81</v>
      </c>
      <c r="C75" s="8" t="s">
        <v>44</v>
      </c>
      <c r="D75" s="7"/>
      <c r="E75" s="7"/>
      <c r="F75" s="8" t="n">
        <v>0</v>
      </c>
      <c r="G75" s="17"/>
      <c r="H75" s="8"/>
      <c r="I75" s="8"/>
      <c r="J75" s="33" t="s">
        <v>1111</v>
      </c>
      <c r="K75" s="3"/>
      <c r="L75" s="4" t="s">
        <v>1066</v>
      </c>
      <c r="M75" s="4"/>
      <c r="N75" s="4" t="s">
        <v>63</v>
      </c>
    </row>
    <row r="76" customFormat="false" ht="15" hidden="false" customHeight="false" outlineLevel="0" collapsed="false">
      <c r="A76" s="29" t="s">
        <v>1112</v>
      </c>
      <c r="B76" s="17" t="s">
        <v>81</v>
      </c>
      <c r="C76" s="8" t="s">
        <v>44</v>
      </c>
      <c r="D76" s="7"/>
      <c r="E76" s="7"/>
      <c r="F76" s="16" t="n">
        <v>16</v>
      </c>
      <c r="G76" s="17" t="s">
        <v>1069</v>
      </c>
      <c r="H76" s="16" t="s">
        <v>1070</v>
      </c>
      <c r="I76" s="16"/>
      <c r="J76" s="18"/>
      <c r="K76" s="3"/>
      <c r="L76" s="4" t="s">
        <v>1066</v>
      </c>
      <c r="M76" s="4"/>
      <c r="N76" s="4" t="s">
        <v>63</v>
      </c>
    </row>
    <row r="77" customFormat="false" ht="15" hidden="false" customHeight="false" outlineLevel="0" collapsed="false">
      <c r="A77" s="29" t="s">
        <v>1113</v>
      </c>
      <c r="B77" s="17" t="s">
        <v>81</v>
      </c>
      <c r="C77" s="8" t="s">
        <v>44</v>
      </c>
      <c r="D77" s="7"/>
      <c r="E77" s="7"/>
      <c r="F77" s="16" t="n">
        <v>0.0001</v>
      </c>
      <c r="G77" s="17" t="s">
        <v>1069</v>
      </c>
      <c r="H77" s="16" t="s">
        <v>1070</v>
      </c>
      <c r="I77" s="16"/>
      <c r="J77" s="18"/>
      <c r="K77" s="3"/>
      <c r="L77" s="4" t="s">
        <v>1066</v>
      </c>
      <c r="M77" s="4"/>
      <c r="N77" s="4" t="s">
        <v>63</v>
      </c>
    </row>
    <row r="78" customFormat="false" ht="24" hidden="false" customHeight="false" outlineLevel="0" collapsed="false">
      <c r="A78" s="29" t="s">
        <v>1114</v>
      </c>
      <c r="B78" s="106" t="s">
        <v>81</v>
      </c>
      <c r="C78" s="107" t="s">
        <v>44</v>
      </c>
      <c r="D78" s="106"/>
      <c r="E78" s="106"/>
      <c r="F78" s="107" t="s">
        <v>1073</v>
      </c>
      <c r="G78" s="106"/>
      <c r="H78" s="107"/>
      <c r="I78" s="107"/>
      <c r="J78" s="107" t="s">
        <v>1074</v>
      </c>
      <c r="K78" s="3"/>
      <c r="L78" s="4" t="s">
        <v>1066</v>
      </c>
      <c r="M78" s="4"/>
      <c r="N78" s="4" t="s">
        <v>63</v>
      </c>
    </row>
    <row r="79" customFormat="false" ht="15" hidden="false" customHeight="false" outlineLevel="0" collapsed="false">
      <c r="A79" s="29" t="s">
        <v>1115</v>
      </c>
      <c r="B79" s="17" t="s">
        <v>81</v>
      </c>
      <c r="C79" s="8" t="s">
        <v>44</v>
      </c>
      <c r="D79" s="7"/>
      <c r="E79" s="7"/>
      <c r="F79" s="19" t="n">
        <v>20</v>
      </c>
      <c r="G79" s="17" t="s">
        <v>1069</v>
      </c>
      <c r="H79" s="16" t="s">
        <v>1070</v>
      </c>
      <c r="I79" s="16"/>
      <c r="J79" s="31"/>
      <c r="K79" s="3"/>
      <c r="L79" s="4" t="s">
        <v>1066</v>
      </c>
      <c r="M79" s="4"/>
      <c r="N79" s="4" t="s">
        <v>63</v>
      </c>
    </row>
    <row r="80" customFormat="false" ht="36.75" hidden="false" customHeight="false" outlineLevel="0" collapsed="false">
      <c r="A80" s="29" t="s">
        <v>1116</v>
      </c>
      <c r="B80" s="17" t="s">
        <v>81</v>
      </c>
      <c r="C80" s="8" t="s">
        <v>44</v>
      </c>
      <c r="D80" s="7"/>
      <c r="E80" s="7"/>
      <c r="F80" s="17"/>
      <c r="G80" s="17"/>
      <c r="H80" s="17"/>
      <c r="I80" s="16"/>
      <c r="J80" s="105" t="s">
        <v>1117</v>
      </c>
      <c r="K80" s="3"/>
      <c r="L80" s="4" t="s">
        <v>1066</v>
      </c>
      <c r="M80" s="4"/>
      <c r="N80" s="4" t="s">
        <v>63</v>
      </c>
    </row>
    <row r="81" customFormat="false" ht="72.75" hidden="false" customHeight="false" outlineLevel="0" collapsed="false">
      <c r="A81" s="29" t="s">
        <v>1118</v>
      </c>
      <c r="B81" s="16" t="s">
        <v>1079</v>
      </c>
      <c r="C81" s="8" t="s">
        <v>44</v>
      </c>
      <c r="D81" s="7"/>
      <c r="E81" s="7"/>
      <c r="F81" s="8" t="s">
        <v>1080</v>
      </c>
      <c r="G81" s="16" t="s">
        <v>1081</v>
      </c>
      <c r="H81" s="16" t="s">
        <v>1082</v>
      </c>
      <c r="I81" s="16"/>
      <c r="J81" s="105" t="s">
        <v>1083</v>
      </c>
      <c r="K81" s="3"/>
      <c r="L81" s="4" t="s">
        <v>1066</v>
      </c>
      <c r="M81" s="4"/>
      <c r="N81" s="4" t="s">
        <v>63</v>
      </c>
    </row>
    <row r="82" customFormat="false" ht="15" hidden="false" customHeight="false" outlineLevel="0" collapsed="false">
      <c r="A82" s="29" t="s">
        <v>1119</v>
      </c>
      <c r="B82" s="17" t="s">
        <v>81</v>
      </c>
      <c r="C82" s="8" t="s">
        <v>44</v>
      </c>
      <c r="D82" s="7"/>
      <c r="E82" s="7"/>
      <c r="F82" s="8" t="n">
        <v>0</v>
      </c>
      <c r="G82" s="16" t="s">
        <v>1069</v>
      </c>
      <c r="H82" s="16" t="s">
        <v>1070</v>
      </c>
      <c r="I82" s="16"/>
      <c r="J82" s="31"/>
      <c r="K82" s="20"/>
      <c r="L82" s="4" t="s">
        <v>1066</v>
      </c>
      <c r="M82" s="4"/>
      <c r="N82" s="4" t="s">
        <v>63</v>
      </c>
    </row>
    <row r="83" customFormat="false" ht="15" hidden="false" customHeight="false" outlineLevel="0" collapsed="false">
      <c r="A83" s="29" t="s">
        <v>1120</v>
      </c>
      <c r="B83" s="17" t="s">
        <v>81</v>
      </c>
      <c r="C83" s="8" t="s">
        <v>44</v>
      </c>
      <c r="D83" s="7"/>
      <c r="E83" s="7"/>
      <c r="F83" s="25" t="n">
        <v>0</v>
      </c>
      <c r="G83" s="16"/>
      <c r="H83" s="25"/>
      <c r="I83" s="25"/>
      <c r="J83" s="31" t="s">
        <v>1086</v>
      </c>
      <c r="K83" s="3"/>
      <c r="L83" s="4" t="s">
        <v>1066</v>
      </c>
      <c r="M83" s="4"/>
      <c r="N83" s="4" t="s">
        <v>63</v>
      </c>
    </row>
    <row r="84" customFormat="false" ht="24.75" hidden="false" customHeight="false" outlineLevel="0" collapsed="false">
      <c r="A84" s="29" t="s">
        <v>1121</v>
      </c>
      <c r="B84" s="25" t="s">
        <v>1079</v>
      </c>
      <c r="C84" s="8" t="s">
        <v>44</v>
      </c>
      <c r="D84" s="7"/>
      <c r="E84" s="7"/>
      <c r="F84" s="25" t="s">
        <v>1088</v>
      </c>
      <c r="G84" s="16" t="s">
        <v>1089</v>
      </c>
      <c r="H84" s="25" t="s">
        <v>1090</v>
      </c>
      <c r="I84" s="4"/>
      <c r="J84" s="105" t="s">
        <v>1065</v>
      </c>
      <c r="K84" s="3"/>
      <c r="L84" s="4" t="s">
        <v>1066</v>
      </c>
      <c r="M84" s="4"/>
      <c r="N84" s="4" t="s">
        <v>63</v>
      </c>
    </row>
    <row r="85" customFormat="false" ht="48.75" hidden="false" customHeight="false" outlineLevel="0" collapsed="false">
      <c r="A85" s="29" t="s">
        <v>1122</v>
      </c>
      <c r="B85" s="17" t="s">
        <v>81</v>
      </c>
      <c r="C85" s="8" t="s">
        <v>44</v>
      </c>
      <c r="D85" s="7"/>
      <c r="E85" s="7"/>
      <c r="F85" s="25" t="s">
        <v>1092</v>
      </c>
      <c r="G85" s="16" t="s">
        <v>1093</v>
      </c>
      <c r="H85" s="25" t="s">
        <v>1094</v>
      </c>
      <c r="I85" s="4"/>
      <c r="J85" s="31" t="s">
        <v>1095</v>
      </c>
      <c r="K85" s="3"/>
      <c r="L85" s="4" t="s">
        <v>1066</v>
      </c>
      <c r="M85" s="4"/>
      <c r="N85" s="4" t="s">
        <v>63</v>
      </c>
    </row>
    <row r="86" customFormat="false" ht="15" hidden="false" customHeight="false" outlineLevel="0" collapsed="false">
      <c r="A86" s="29" t="s">
        <v>1123</v>
      </c>
      <c r="B86" s="17" t="s">
        <v>81</v>
      </c>
      <c r="C86" s="8" t="s">
        <v>44</v>
      </c>
      <c r="D86" s="7"/>
      <c r="E86" s="7"/>
      <c r="F86" s="8"/>
      <c r="G86" s="16"/>
      <c r="H86" s="8"/>
      <c r="I86" s="8"/>
      <c r="J86" s="25"/>
      <c r="K86" s="3"/>
      <c r="L86" s="4" t="s">
        <v>1066</v>
      </c>
      <c r="M86" s="4"/>
      <c r="N86" s="4" t="s">
        <v>63</v>
      </c>
    </row>
    <row r="87" customFormat="false" ht="15" hidden="false" customHeight="false" outlineLevel="0" collapsed="false">
      <c r="A87" s="29" t="s">
        <v>1124</v>
      </c>
      <c r="B87" s="17" t="s">
        <v>1079</v>
      </c>
      <c r="C87" s="8" t="s">
        <v>44</v>
      </c>
      <c r="D87" s="7"/>
      <c r="E87" s="7"/>
      <c r="F87" s="25" t="s">
        <v>1099</v>
      </c>
      <c r="G87" s="16" t="s">
        <v>1093</v>
      </c>
      <c r="H87" s="25" t="s">
        <v>1100</v>
      </c>
      <c r="I87" s="8"/>
      <c r="J87" s="25"/>
      <c r="K87" s="3"/>
      <c r="L87" s="4" t="s">
        <v>1066</v>
      </c>
      <c r="M87" s="4"/>
      <c r="N87" s="4" t="s">
        <v>63</v>
      </c>
    </row>
    <row r="88" customFormat="false" ht="24" hidden="false" customHeight="false" outlineLevel="0" collapsed="false">
      <c r="A88" s="29" t="s">
        <v>1125</v>
      </c>
      <c r="B88" s="17" t="s">
        <v>81</v>
      </c>
      <c r="C88" s="8" t="s">
        <v>44</v>
      </c>
      <c r="D88" s="7"/>
      <c r="E88" s="7"/>
      <c r="F88" s="8" t="s">
        <v>1102</v>
      </c>
      <c r="G88" s="16"/>
      <c r="H88" s="8"/>
      <c r="I88" s="8"/>
      <c r="J88" s="107" t="s">
        <v>1074</v>
      </c>
      <c r="K88" s="3"/>
      <c r="L88" s="4" t="s">
        <v>1066</v>
      </c>
      <c r="M88" s="4"/>
      <c r="N88" s="4" t="s">
        <v>63</v>
      </c>
    </row>
    <row r="89" customFormat="false" ht="15" hidden="false" customHeight="false" outlineLevel="0" collapsed="false">
      <c r="A89" s="11" t="s">
        <v>1126</v>
      </c>
      <c r="B89" s="17" t="s">
        <v>81</v>
      </c>
      <c r="C89" s="8" t="s">
        <v>44</v>
      </c>
      <c r="D89" s="7"/>
      <c r="E89" s="7"/>
      <c r="F89" s="17" t="n">
        <v>120</v>
      </c>
      <c r="G89" s="17" t="s">
        <v>1069</v>
      </c>
      <c r="H89" s="17" t="s">
        <v>1070</v>
      </c>
      <c r="I89" s="25"/>
      <c r="J89" s="31"/>
      <c r="K89" s="3"/>
      <c r="L89" s="4" t="s">
        <v>1066</v>
      </c>
      <c r="M89" s="4"/>
      <c r="N89" s="4" t="s">
        <v>63</v>
      </c>
    </row>
    <row r="90" customFormat="false" ht="15" hidden="false" customHeight="false" outlineLevel="0" collapsed="false">
      <c r="A90" s="29" t="s">
        <v>1127</v>
      </c>
      <c r="B90" s="17" t="s">
        <v>81</v>
      </c>
      <c r="C90" s="8" t="s">
        <v>44</v>
      </c>
      <c r="D90" s="7"/>
      <c r="E90" s="7"/>
      <c r="F90" s="25" t="n">
        <v>15</v>
      </c>
      <c r="G90" s="16" t="s">
        <v>1069</v>
      </c>
      <c r="H90" s="25" t="s">
        <v>1070</v>
      </c>
      <c r="I90" s="25"/>
      <c r="J90" s="31"/>
      <c r="K90" s="3"/>
      <c r="L90" s="4" t="s">
        <v>1066</v>
      </c>
      <c r="M90" s="4"/>
      <c r="N90" s="4" t="s">
        <v>63</v>
      </c>
    </row>
    <row r="91" customFormat="false" ht="15" hidden="false" customHeight="false" outlineLevel="0" collapsed="false">
      <c r="A91" s="29" t="s">
        <v>1128</v>
      </c>
      <c r="B91" s="34" t="s">
        <v>81</v>
      </c>
      <c r="C91" s="33" t="s">
        <v>44</v>
      </c>
      <c r="D91" s="34"/>
      <c r="E91" s="34"/>
      <c r="F91" s="34"/>
      <c r="G91" s="34"/>
      <c r="H91" s="34"/>
      <c r="I91" s="105"/>
      <c r="J91" s="105" t="s">
        <v>1106</v>
      </c>
      <c r="K91" s="3"/>
      <c r="L91" s="4" t="s">
        <v>1066</v>
      </c>
      <c r="M91" s="4"/>
      <c r="N91" s="4" t="s">
        <v>63</v>
      </c>
    </row>
    <row r="92" customFormat="false" ht="36" hidden="false" customHeight="false" outlineLevel="0" collapsed="false">
      <c r="A92" s="29" t="s">
        <v>1129</v>
      </c>
      <c r="B92" s="25" t="s">
        <v>58</v>
      </c>
      <c r="C92" s="8" t="s">
        <v>44</v>
      </c>
      <c r="D92" s="7"/>
      <c r="E92" s="7"/>
      <c r="F92" s="25" t="s">
        <v>184</v>
      </c>
      <c r="G92" s="25" t="s">
        <v>185</v>
      </c>
      <c r="H92" s="25"/>
      <c r="I92" s="18"/>
      <c r="J92" s="44" t="s">
        <v>1108</v>
      </c>
      <c r="K92" s="3"/>
      <c r="L92" s="4" t="s">
        <v>1066</v>
      </c>
      <c r="M92" s="4"/>
      <c r="N92" s="4" t="s">
        <v>63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77"/>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pane xSplit="6" ySplit="0" topLeftCell="G4" activePane="topRight" state="frozen"/>
      <selection pane="topLeft" activeCell="A4" activeCellId="0" sqref="A4"/>
      <selection pane="topRight" activeCell="F31" activeCellId="0" sqref="F31"/>
    </sheetView>
  </sheetViews>
  <sheetFormatPr defaultRowHeight="15" zeroHeight="false" outlineLevelRow="0" outlineLevelCol="0"/>
  <cols>
    <col collapsed="false" customWidth="true" hidden="false" outlineLevel="0" max="1" min="1" style="1" width="40.14"/>
    <col collapsed="false" customWidth="true" hidden="false" outlineLevel="0" max="2" min="2" style="9" width="7.14"/>
    <col collapsed="false" customWidth="true" hidden="false" outlineLevel="0" max="5" min="3" style="9" width="16.85"/>
    <col collapsed="false" customWidth="true" hidden="false" outlineLevel="0" max="6" min="6" style="9" width="15.85"/>
    <col collapsed="false" customWidth="true" hidden="false" outlineLevel="0" max="7" min="7" style="9" width="33.86"/>
    <col collapsed="false" customWidth="true" hidden="false" outlineLevel="0" max="8" min="8" style="9" width="21.57"/>
    <col collapsed="false" customWidth="true" hidden="false" outlineLevel="0" max="9" min="9" style="9" width="48"/>
    <col collapsed="false" customWidth="true" hidden="false" outlineLevel="0" max="10" min="10" style="1" width="49.28"/>
    <col collapsed="false" customWidth="true" hidden="false" outlineLevel="0" max="11" min="11" style="1" width="36"/>
    <col collapsed="false" customWidth="true" hidden="false" outlineLevel="0" max="13" min="12" style="9" width="28.86"/>
    <col collapsed="false" customWidth="true" hidden="false" outlineLevel="0" max="14" min="14" style="9" width="30.42"/>
    <col collapsed="false" customWidth="true" hidden="false" outlineLevel="0" max="1025" min="15" style="1" width="9.14"/>
  </cols>
  <sheetData>
    <row r="1" customFormat="false" ht="26.25" hidden="false" customHeight="true" outlineLevel="0" collapsed="false">
      <c r="A1" s="2" t="s">
        <v>30</v>
      </c>
      <c r="B1" s="10" t="s">
        <v>1</v>
      </c>
      <c r="C1" s="10" t="s">
        <v>31</v>
      </c>
      <c r="D1" s="10" t="s">
        <v>32</v>
      </c>
      <c r="E1" s="10" t="s">
        <v>33</v>
      </c>
      <c r="F1" s="10" t="s">
        <v>34</v>
      </c>
      <c r="G1" s="10" t="s">
        <v>3</v>
      </c>
      <c r="H1" s="2" t="s">
        <v>35</v>
      </c>
      <c r="I1" s="2" t="s">
        <v>36</v>
      </c>
      <c r="J1" s="2" t="s">
        <v>37</v>
      </c>
      <c r="K1" s="2" t="s">
        <v>38</v>
      </c>
      <c r="L1" s="10" t="s">
        <v>39</v>
      </c>
      <c r="M1" s="10" t="s">
        <v>40</v>
      </c>
      <c r="N1" s="10" t="s">
        <v>41</v>
      </c>
    </row>
    <row r="2" customFormat="false" ht="15" hidden="false" customHeight="false" outlineLevel="0" collapsed="false">
      <c r="A2" s="11" t="s">
        <v>42</v>
      </c>
      <c r="B2" s="8" t="s">
        <v>43</v>
      </c>
      <c r="C2" s="8" t="s">
        <v>44</v>
      </c>
      <c r="D2" s="8"/>
      <c r="E2" s="8"/>
      <c r="F2" s="8" t="n">
        <v>1050</v>
      </c>
      <c r="G2" s="12" t="s">
        <v>45</v>
      </c>
      <c r="H2" s="12" t="s">
        <v>46</v>
      </c>
      <c r="I2" s="8"/>
      <c r="J2" s="13"/>
      <c r="K2" s="14"/>
      <c r="L2" s="4" t="s">
        <v>47</v>
      </c>
      <c r="M2" s="4"/>
      <c r="N2" s="4" t="s">
        <v>48</v>
      </c>
    </row>
    <row r="3" customFormat="false" ht="24" hidden="false" customHeight="false" outlineLevel="0" collapsed="false">
      <c r="A3" s="11" t="s">
        <v>49</v>
      </c>
      <c r="B3" s="8"/>
      <c r="C3" s="8" t="s">
        <v>44</v>
      </c>
      <c r="D3" s="8"/>
      <c r="E3" s="8"/>
      <c r="F3" s="8" t="s">
        <v>50</v>
      </c>
      <c r="G3" s="8" t="s">
        <v>51</v>
      </c>
      <c r="H3" s="8" t="s">
        <v>52</v>
      </c>
      <c r="I3" s="8"/>
      <c r="J3" s="15"/>
      <c r="K3" s="3"/>
      <c r="L3" s="4" t="s">
        <v>47</v>
      </c>
      <c r="M3" s="4"/>
      <c r="N3" s="4" t="s">
        <v>53</v>
      </c>
    </row>
    <row r="4" customFormat="false" ht="15" hidden="false" customHeight="false" outlineLevel="0" collapsed="false">
      <c r="A4" s="11" t="s">
        <v>54</v>
      </c>
      <c r="B4" s="8" t="s">
        <v>55</v>
      </c>
      <c r="C4" s="8" t="s">
        <v>44</v>
      </c>
      <c r="D4" s="8"/>
      <c r="E4" s="8"/>
      <c r="F4" s="8" t="n">
        <v>3617</v>
      </c>
      <c r="G4" s="8" t="s">
        <v>56</v>
      </c>
      <c r="H4" s="8"/>
      <c r="I4" s="8"/>
      <c r="J4" s="13"/>
      <c r="K4" s="14"/>
      <c r="L4" s="4" t="s">
        <v>47</v>
      </c>
      <c r="M4" s="4"/>
      <c r="N4" s="4" t="s">
        <v>48</v>
      </c>
    </row>
    <row r="5" customFormat="false" ht="24" hidden="false" customHeight="false" outlineLevel="0" collapsed="false">
      <c r="A5" s="11" t="s">
        <v>57</v>
      </c>
      <c r="B5" s="16" t="s">
        <v>58</v>
      </c>
      <c r="C5" s="8" t="s">
        <v>44</v>
      </c>
      <c r="D5" s="8"/>
      <c r="E5" s="8"/>
      <c r="F5" s="8" t="s">
        <v>59</v>
      </c>
      <c r="G5" s="17" t="s">
        <v>60</v>
      </c>
      <c r="H5" s="8" t="s">
        <v>61</v>
      </c>
      <c r="I5" s="8"/>
      <c r="J5" s="18" t="s">
        <v>62</v>
      </c>
      <c r="K5" s="3"/>
      <c r="L5" s="4" t="s">
        <v>47</v>
      </c>
      <c r="M5" s="4"/>
      <c r="N5" s="4" t="s">
        <v>63</v>
      </c>
    </row>
    <row r="6" customFormat="false" ht="15" hidden="false" customHeight="false" outlineLevel="0" collapsed="false">
      <c r="A6" s="11" t="s">
        <v>64</v>
      </c>
      <c r="B6" s="8"/>
      <c r="C6" s="8" t="s">
        <v>44</v>
      </c>
      <c r="D6" s="8"/>
      <c r="E6" s="8"/>
      <c r="F6" s="8" t="n">
        <v>0.13</v>
      </c>
      <c r="G6" s="8" t="s">
        <v>65</v>
      </c>
      <c r="H6" s="8"/>
      <c r="I6" s="8"/>
      <c r="J6" s="13"/>
      <c r="K6" s="14"/>
      <c r="L6" s="4" t="s">
        <v>47</v>
      </c>
      <c r="M6" s="4"/>
      <c r="N6" s="4" t="s">
        <v>53</v>
      </c>
    </row>
    <row r="7" customFormat="false" ht="15" hidden="false" customHeight="false" outlineLevel="0" collapsed="false">
      <c r="A7" s="11" t="s">
        <v>66</v>
      </c>
      <c r="B7" s="8"/>
      <c r="C7" s="8" t="s">
        <v>44</v>
      </c>
      <c r="D7" s="8"/>
      <c r="E7" s="8"/>
      <c r="F7" s="8" t="n">
        <v>0</v>
      </c>
      <c r="G7" s="8"/>
      <c r="H7" s="8"/>
      <c r="I7" s="8" t="s">
        <v>67</v>
      </c>
      <c r="J7" s="13"/>
      <c r="K7" s="14"/>
      <c r="L7" s="4" t="s">
        <v>47</v>
      </c>
      <c r="M7" s="4"/>
      <c r="N7" s="4"/>
    </row>
    <row r="8" customFormat="false" ht="24" hidden="false" customHeight="false" outlineLevel="0" collapsed="false">
      <c r="A8" s="11" t="s">
        <v>68</v>
      </c>
      <c r="B8" s="8"/>
      <c r="C8" s="8" t="s">
        <v>44</v>
      </c>
      <c r="D8" s="8"/>
      <c r="E8" s="8"/>
      <c r="F8" s="8" t="s">
        <v>69</v>
      </c>
      <c r="G8" s="8" t="s">
        <v>70</v>
      </c>
      <c r="H8" s="8" t="s">
        <v>71</v>
      </c>
      <c r="I8" s="8"/>
      <c r="J8" s="19" t="s">
        <v>72</v>
      </c>
      <c r="K8" s="20"/>
      <c r="L8" s="4" t="s">
        <v>47</v>
      </c>
      <c r="M8" s="4"/>
      <c r="N8" s="4" t="s">
        <v>53</v>
      </c>
    </row>
    <row r="9" s="1" customFormat="true" ht="12" hidden="false" customHeight="false" outlineLevel="0" collapsed="false">
      <c r="A9" s="11" t="s">
        <v>73</v>
      </c>
      <c r="B9" s="8" t="s">
        <v>74</v>
      </c>
      <c r="C9" s="8" t="s">
        <v>44</v>
      </c>
      <c r="D9" s="8"/>
      <c r="E9" s="8"/>
      <c r="F9" s="21" t="n">
        <f aca="false">Patient!C7*Patient!C11/100</f>
        <v>826.448199986883</v>
      </c>
      <c r="G9" s="8" t="s">
        <v>75</v>
      </c>
      <c r="H9" s="13"/>
      <c r="J9" s="8" t="s">
        <v>76</v>
      </c>
      <c r="K9" s="14"/>
      <c r="L9" s="4" t="s">
        <v>47</v>
      </c>
      <c r="M9" s="4"/>
      <c r="N9" s="4" t="s">
        <v>63</v>
      </c>
    </row>
    <row r="10" customFormat="false" ht="24" hidden="false" customHeight="false" outlineLevel="0" collapsed="false">
      <c r="A10" s="11" t="s">
        <v>77</v>
      </c>
      <c r="B10" s="8"/>
      <c r="C10" s="8" t="s">
        <v>44</v>
      </c>
      <c r="D10" s="8"/>
      <c r="E10" s="8"/>
      <c r="F10" s="8" t="s">
        <v>78</v>
      </c>
      <c r="G10" s="8" t="s">
        <v>70</v>
      </c>
      <c r="H10" s="8" t="s">
        <v>79</v>
      </c>
      <c r="I10" s="8"/>
      <c r="J10" s="15"/>
      <c r="K10" s="3"/>
      <c r="L10" s="4" t="s">
        <v>47</v>
      </c>
      <c r="M10" s="4"/>
      <c r="N10" s="4" t="s">
        <v>53</v>
      </c>
    </row>
    <row r="11" customFormat="false" ht="27.75" hidden="false" customHeight="true" outlineLevel="0" collapsed="false">
      <c r="A11" s="11" t="s">
        <v>80</v>
      </c>
      <c r="B11" s="8" t="s">
        <v>81</v>
      </c>
      <c r="C11" s="8" t="s">
        <v>44</v>
      </c>
      <c r="D11" s="8"/>
      <c r="E11" s="8"/>
      <c r="F11" s="19" t="s">
        <v>82</v>
      </c>
      <c r="G11" s="8" t="s">
        <v>83</v>
      </c>
      <c r="H11" s="8"/>
      <c r="I11" s="8"/>
      <c r="J11" s="8"/>
      <c r="K11" s="20"/>
      <c r="L11" s="4" t="s">
        <v>47</v>
      </c>
      <c r="M11" s="4"/>
      <c r="N11" s="4" t="s">
        <v>63</v>
      </c>
    </row>
    <row r="12" customFormat="false" ht="27.75" hidden="false" customHeight="true" outlineLevel="0" collapsed="false">
      <c r="A12" s="11" t="s">
        <v>84</v>
      </c>
      <c r="B12" s="8" t="s">
        <v>17</v>
      </c>
      <c r="C12" s="8" t="s">
        <v>44</v>
      </c>
      <c r="D12" s="8"/>
      <c r="E12" s="8"/>
      <c r="F12" s="22" t="n">
        <f aca="false">Patient!C7*(1-Patient!C11/34)</f>
        <v>3078.9246666178</v>
      </c>
      <c r="G12" s="8" t="s">
        <v>15</v>
      </c>
      <c r="H12" s="8" t="s">
        <v>85</v>
      </c>
      <c r="I12" s="8" t="s">
        <v>86</v>
      </c>
      <c r="J12" s="8" t="s">
        <v>87</v>
      </c>
      <c r="K12" s="20" t="s">
        <v>88</v>
      </c>
      <c r="L12" s="4" t="s">
        <v>47</v>
      </c>
      <c r="M12" s="4"/>
      <c r="N12" s="4" t="s">
        <v>63</v>
      </c>
    </row>
    <row r="13" customFormat="false" ht="24" hidden="false" customHeight="false" outlineLevel="0" collapsed="false">
      <c r="A13" s="11" t="s">
        <v>89</v>
      </c>
      <c r="B13" s="8"/>
      <c r="C13" s="8" t="s">
        <v>44</v>
      </c>
      <c r="D13" s="8"/>
      <c r="E13" s="8"/>
      <c r="F13" s="8" t="s">
        <v>78</v>
      </c>
      <c r="G13" s="8" t="s">
        <v>70</v>
      </c>
      <c r="H13" s="8" t="s">
        <v>79</v>
      </c>
      <c r="I13" s="8"/>
      <c r="J13" s="15"/>
      <c r="K13" s="3"/>
      <c r="L13" s="4" t="s">
        <v>47</v>
      </c>
      <c r="M13" s="4"/>
      <c r="N13" s="4" t="s">
        <v>53</v>
      </c>
    </row>
    <row r="14" customFormat="false" ht="22.35" hidden="false" customHeight="false" outlineLevel="0" collapsed="false">
      <c r="A14" s="11" t="s">
        <v>90</v>
      </c>
      <c r="B14" s="8" t="s">
        <v>91</v>
      </c>
      <c r="C14" s="8" t="s">
        <v>44</v>
      </c>
      <c r="D14" s="23"/>
      <c r="E14" s="23"/>
      <c r="F14" s="21" t="n">
        <f aca="false">(F9/0.000000000029)/(Patient!C7*1000)</f>
        <v>5172413.79310345</v>
      </c>
      <c r="G14" s="8" t="s">
        <v>15</v>
      </c>
      <c r="H14" s="8" t="s">
        <v>92</v>
      </c>
      <c r="I14" s="8" t="s">
        <v>86</v>
      </c>
      <c r="J14" s="24"/>
      <c r="K14" s="20"/>
      <c r="L14" s="4" t="s">
        <v>47</v>
      </c>
      <c r="M14" s="4"/>
      <c r="N14" s="4" t="s">
        <v>93</v>
      </c>
    </row>
    <row r="15" customFormat="false" ht="12.8" hidden="false" customHeight="false" outlineLevel="0" collapsed="false">
      <c r="A15" s="11" t="s">
        <v>94</v>
      </c>
      <c r="B15" s="13"/>
      <c r="C15" s="8" t="s">
        <v>44</v>
      </c>
      <c r="D15" s="8"/>
      <c r="E15" s="8"/>
      <c r="F15" s="8" t="s">
        <v>95</v>
      </c>
      <c r="G15" s="8" t="s">
        <v>96</v>
      </c>
      <c r="H15" s="8" t="s">
        <v>97</v>
      </c>
      <c r="I15" s="8"/>
      <c r="J15" s="13"/>
      <c r="K15" s="14"/>
      <c r="L15" s="4" t="s">
        <v>47</v>
      </c>
      <c r="M15" s="4"/>
      <c r="N15" s="4" t="s">
        <v>53</v>
      </c>
    </row>
    <row r="16" customFormat="false" ht="15" hidden="false" customHeight="false" outlineLevel="0" collapsed="false">
      <c r="A16" s="11" t="s">
        <v>98</v>
      </c>
      <c r="B16" s="8" t="s">
        <v>81</v>
      </c>
      <c r="C16" s="8" t="s">
        <v>44</v>
      </c>
      <c r="D16" s="8"/>
      <c r="E16" s="8"/>
      <c r="F16" s="19" t="s">
        <v>99</v>
      </c>
      <c r="G16" s="8" t="s">
        <v>100</v>
      </c>
      <c r="H16" s="8"/>
      <c r="I16" s="8"/>
      <c r="J16" s="13"/>
      <c r="K16" s="14"/>
      <c r="L16" s="4" t="s">
        <v>47</v>
      </c>
      <c r="M16" s="4"/>
      <c r="N16" s="4" t="s">
        <v>63</v>
      </c>
    </row>
    <row r="17" customFormat="false" ht="15" hidden="false" customHeight="false" outlineLevel="0" collapsed="false">
      <c r="A17" s="11" t="s">
        <v>101</v>
      </c>
      <c r="B17" s="16" t="s">
        <v>102</v>
      </c>
      <c r="C17" s="16" t="s">
        <v>44</v>
      </c>
      <c r="D17" s="16"/>
      <c r="E17" s="16"/>
      <c r="F17" s="25" t="s">
        <v>103</v>
      </c>
      <c r="G17" s="25" t="s">
        <v>104</v>
      </c>
      <c r="H17" s="25" t="s">
        <v>105</v>
      </c>
      <c r="I17" s="25"/>
      <c r="J17" s="3"/>
      <c r="K17" s="3"/>
      <c r="L17" s="4" t="s">
        <v>47</v>
      </c>
      <c r="M17" s="4"/>
      <c r="N17" s="4" t="s">
        <v>63</v>
      </c>
    </row>
    <row r="18" customFormat="false" ht="15" hidden="false" customHeight="false" outlineLevel="0" collapsed="false">
      <c r="A18" s="11" t="s">
        <v>106</v>
      </c>
      <c r="B18" s="13"/>
      <c r="C18" s="8" t="s">
        <v>44</v>
      </c>
      <c r="D18" s="8"/>
      <c r="E18" s="8"/>
      <c r="F18" s="8" t="n">
        <v>0.0023</v>
      </c>
      <c r="G18" s="8" t="s">
        <v>107</v>
      </c>
      <c r="H18" s="13"/>
      <c r="I18" s="13"/>
      <c r="J18" s="8"/>
      <c r="K18" s="14"/>
      <c r="L18" s="4" t="s">
        <v>47</v>
      </c>
      <c r="M18" s="4"/>
      <c r="N18" s="4" t="s">
        <v>108</v>
      </c>
    </row>
    <row r="19" customFormat="false" ht="15" hidden="false" customHeight="false" outlineLevel="0" collapsed="false">
      <c r="A19" s="11" t="s">
        <v>109</v>
      </c>
      <c r="B19" s="13"/>
      <c r="C19" s="8" t="s">
        <v>44</v>
      </c>
      <c r="D19" s="8"/>
      <c r="E19" s="8"/>
      <c r="F19" s="8" t="n">
        <v>0.0013</v>
      </c>
      <c r="G19" s="8" t="s">
        <v>107</v>
      </c>
      <c r="H19" s="13"/>
      <c r="I19" s="13"/>
      <c r="J19" s="8"/>
      <c r="K19" s="14"/>
      <c r="L19" s="4" t="s">
        <v>47</v>
      </c>
      <c r="M19" s="4"/>
      <c r="N19" s="4" t="s">
        <v>108</v>
      </c>
    </row>
    <row r="20" customFormat="false" ht="15" hidden="false" customHeight="false" outlineLevel="0" collapsed="false">
      <c r="A20" s="11" t="s">
        <v>110</v>
      </c>
      <c r="B20" s="19" t="s">
        <v>91</v>
      </c>
      <c r="C20" s="8" t="s">
        <v>44</v>
      </c>
      <c r="D20" s="8"/>
      <c r="E20" s="8"/>
      <c r="F20" s="26" t="n">
        <v>7000</v>
      </c>
      <c r="G20" s="16" t="s">
        <v>111</v>
      </c>
      <c r="H20" s="16" t="s">
        <v>112</v>
      </c>
      <c r="I20" s="16"/>
      <c r="J20" s="15" t="s">
        <v>113</v>
      </c>
      <c r="K20" s="3"/>
      <c r="L20" s="4" t="s">
        <v>47</v>
      </c>
      <c r="M20" s="4"/>
      <c r="N20" s="4" t="s">
        <v>114</v>
      </c>
    </row>
    <row r="21" customFormat="false" ht="15" hidden="false" customHeight="false" outlineLevel="0" collapsed="false">
      <c r="A21" s="27" t="s">
        <v>115</v>
      </c>
      <c r="B21" s="2" t="s">
        <v>1</v>
      </c>
      <c r="C21" s="10" t="s">
        <v>31</v>
      </c>
      <c r="D21" s="10" t="s">
        <v>32</v>
      </c>
      <c r="E21" s="10" t="s">
        <v>33</v>
      </c>
      <c r="F21" s="10" t="s">
        <v>116</v>
      </c>
      <c r="G21" s="28" t="s">
        <v>117</v>
      </c>
      <c r="H21" s="28" t="s">
        <v>118</v>
      </c>
      <c r="I21" s="2" t="s">
        <v>36</v>
      </c>
      <c r="J21" s="2" t="s">
        <v>37</v>
      </c>
      <c r="K21" s="28" t="s">
        <v>38</v>
      </c>
      <c r="L21" s="10" t="s">
        <v>39</v>
      </c>
      <c r="M21" s="10" t="s">
        <v>40</v>
      </c>
      <c r="N21" s="10" t="s">
        <v>41</v>
      </c>
    </row>
    <row r="22" customFormat="false" ht="56.25" hidden="false" customHeight="false" outlineLevel="0" collapsed="false">
      <c r="A22" s="29" t="s">
        <v>119</v>
      </c>
      <c r="B22" s="17" t="s">
        <v>120</v>
      </c>
      <c r="C22" s="8" t="s">
        <v>44</v>
      </c>
      <c r="D22" s="8"/>
      <c r="E22" s="8"/>
      <c r="F22" s="17" t="s">
        <v>121</v>
      </c>
      <c r="G22" s="17" t="s">
        <v>122</v>
      </c>
      <c r="H22" s="17"/>
      <c r="I22" s="17"/>
      <c r="J22" s="30" t="s">
        <v>123</v>
      </c>
      <c r="K22" s="3"/>
      <c r="L22" s="4" t="s">
        <v>47</v>
      </c>
      <c r="M22" s="4"/>
      <c r="N22" s="4" t="s">
        <v>63</v>
      </c>
    </row>
    <row r="23" customFormat="false" ht="22.5" hidden="false" customHeight="false" outlineLevel="0" collapsed="false">
      <c r="A23" s="29" t="s">
        <v>124</v>
      </c>
      <c r="B23" s="17" t="s">
        <v>102</v>
      </c>
      <c r="C23" s="8" t="s">
        <v>44</v>
      </c>
      <c r="D23" s="8"/>
      <c r="E23" s="8"/>
      <c r="F23" s="17" t="s">
        <v>125</v>
      </c>
      <c r="G23" s="17" t="s">
        <v>104</v>
      </c>
      <c r="H23" s="17" t="s">
        <v>105</v>
      </c>
      <c r="I23" s="17"/>
      <c r="J23" s="30" t="s">
        <v>126</v>
      </c>
      <c r="K23" s="3"/>
      <c r="L23" s="4" t="s">
        <v>47</v>
      </c>
      <c r="M23" s="4"/>
      <c r="N23" s="4" t="s">
        <v>63</v>
      </c>
    </row>
    <row r="24" customFormat="false" ht="15" hidden="false" customHeight="false" outlineLevel="0" collapsed="false">
      <c r="A24" s="11" t="s">
        <v>127</v>
      </c>
      <c r="B24" s="17" t="s">
        <v>102</v>
      </c>
      <c r="C24" s="8" t="s">
        <v>44</v>
      </c>
      <c r="D24" s="8"/>
      <c r="E24" s="8"/>
      <c r="F24" s="8" t="s">
        <v>128</v>
      </c>
      <c r="G24" s="17" t="s">
        <v>104</v>
      </c>
      <c r="H24" s="8" t="s">
        <v>129</v>
      </c>
      <c r="I24" s="8"/>
      <c r="J24" s="8" t="s">
        <v>130</v>
      </c>
      <c r="K24" s="3"/>
      <c r="L24" s="4" t="s">
        <v>47</v>
      </c>
      <c r="M24" s="4"/>
      <c r="N24" s="4" t="s">
        <v>131</v>
      </c>
    </row>
    <row r="25" customFormat="false" ht="15" hidden="false" customHeight="false" outlineLevel="0" collapsed="false">
      <c r="A25" s="11" t="s">
        <v>132</v>
      </c>
      <c r="B25" s="17" t="s">
        <v>120</v>
      </c>
      <c r="C25" s="8" t="s">
        <v>44</v>
      </c>
      <c r="D25" s="8"/>
      <c r="E25" s="8"/>
      <c r="F25" s="16" t="s">
        <v>133</v>
      </c>
      <c r="G25" s="17" t="s">
        <v>134</v>
      </c>
      <c r="H25" s="16" t="s">
        <v>129</v>
      </c>
      <c r="I25" s="16"/>
      <c r="J25" s="8" t="s">
        <v>135</v>
      </c>
      <c r="K25" s="3"/>
      <c r="L25" s="4" t="s">
        <v>47</v>
      </c>
      <c r="M25" s="4"/>
      <c r="N25" s="4" t="s">
        <v>63</v>
      </c>
    </row>
    <row r="26" customFormat="false" ht="36" hidden="false" customHeight="false" outlineLevel="0" collapsed="false">
      <c r="A26" s="11" t="s">
        <v>136</v>
      </c>
      <c r="B26" s="17" t="s">
        <v>137</v>
      </c>
      <c r="C26" s="8" t="s">
        <v>44</v>
      </c>
      <c r="D26" s="8"/>
      <c r="E26" s="8"/>
      <c r="F26" s="16" t="s">
        <v>138</v>
      </c>
      <c r="G26" s="17" t="s">
        <v>139</v>
      </c>
      <c r="H26" s="16" t="s">
        <v>140</v>
      </c>
      <c r="I26" s="16"/>
      <c r="J26" s="8" t="s">
        <v>141</v>
      </c>
      <c r="K26" s="3"/>
      <c r="L26" s="4"/>
      <c r="M26" s="4"/>
      <c r="N26" s="4" t="s">
        <v>63</v>
      </c>
    </row>
    <row r="27" customFormat="false" ht="24" hidden="false" customHeight="false" outlineLevel="0" collapsed="false">
      <c r="A27" s="11" t="s">
        <v>142</v>
      </c>
      <c r="B27" s="16" t="s">
        <v>120</v>
      </c>
      <c r="C27" s="8" t="s">
        <v>44</v>
      </c>
      <c r="D27" s="8"/>
      <c r="E27" s="8"/>
      <c r="F27" s="19" t="s">
        <v>143</v>
      </c>
      <c r="G27" s="16" t="s">
        <v>104</v>
      </c>
      <c r="H27" s="16" t="s">
        <v>144</v>
      </c>
      <c r="I27" s="16"/>
      <c r="J27" s="3"/>
      <c r="K27" s="3"/>
      <c r="L27" s="4" t="s">
        <v>47</v>
      </c>
      <c r="M27" s="4"/>
      <c r="N27" s="4" t="s">
        <v>63</v>
      </c>
    </row>
    <row r="28" customFormat="false" ht="53.7" hidden="false" customHeight="false" outlineLevel="0" collapsed="false">
      <c r="A28" s="11" t="s">
        <v>145</v>
      </c>
      <c r="B28" s="16" t="s">
        <v>146</v>
      </c>
      <c r="C28" s="8" t="s">
        <v>44</v>
      </c>
      <c r="D28" s="8"/>
      <c r="E28" s="8"/>
      <c r="F28" s="8" t="s">
        <v>147</v>
      </c>
      <c r="G28" s="16" t="s">
        <v>148</v>
      </c>
      <c r="H28" s="16"/>
      <c r="I28" s="16"/>
      <c r="J28" s="3"/>
      <c r="K28" s="3"/>
      <c r="L28" s="4"/>
      <c r="M28" s="4"/>
      <c r="N28" s="4" t="s">
        <v>131</v>
      </c>
    </row>
    <row r="29" customFormat="false" ht="15" hidden="false" customHeight="false" outlineLevel="0" collapsed="false">
      <c r="A29" s="11" t="s">
        <v>149</v>
      </c>
      <c r="B29" s="16" t="s">
        <v>102</v>
      </c>
      <c r="C29" s="16" t="s">
        <v>44</v>
      </c>
      <c r="D29" s="16"/>
      <c r="E29" s="16"/>
      <c r="F29" s="25" t="s">
        <v>150</v>
      </c>
      <c r="G29" s="25" t="s">
        <v>104</v>
      </c>
      <c r="H29" s="25" t="s">
        <v>105</v>
      </c>
      <c r="I29" s="16"/>
      <c r="J29" s="3"/>
      <c r="K29" s="3"/>
      <c r="L29" s="4" t="s">
        <v>47</v>
      </c>
      <c r="M29" s="4"/>
      <c r="N29" s="4" t="s">
        <v>63</v>
      </c>
    </row>
    <row r="30" customFormat="false" ht="15" hidden="false" customHeight="false" outlineLevel="0" collapsed="false">
      <c r="A30" s="11" t="s">
        <v>151</v>
      </c>
      <c r="B30" s="16" t="s">
        <v>58</v>
      </c>
      <c r="C30" s="8" t="s">
        <v>44</v>
      </c>
      <c r="D30" s="8"/>
      <c r="E30" s="8"/>
      <c r="F30" s="16" t="s">
        <v>152</v>
      </c>
      <c r="G30" s="17" t="s">
        <v>153</v>
      </c>
      <c r="H30" s="16"/>
      <c r="I30" s="16"/>
      <c r="J30" s="3" t="s">
        <v>154</v>
      </c>
      <c r="K30" s="3"/>
      <c r="L30" s="4" t="s">
        <v>47</v>
      </c>
      <c r="M30" s="4"/>
      <c r="N30" s="4" t="s">
        <v>63</v>
      </c>
    </row>
    <row r="31" customFormat="false" ht="36.75" hidden="false" customHeight="false" outlineLevel="0" collapsed="false">
      <c r="A31" s="11" t="s">
        <v>155</v>
      </c>
      <c r="B31" s="8" t="s">
        <v>102</v>
      </c>
      <c r="C31" s="8" t="s">
        <v>44</v>
      </c>
      <c r="D31" s="4" t="s">
        <v>156</v>
      </c>
      <c r="E31" s="4" t="s">
        <v>157</v>
      </c>
      <c r="F31" s="7" t="str">
        <f aca="false">IF(Patient!C7&lt;&gt;"Male",D31,E31)</f>
        <v>[13.8,17.2]</v>
      </c>
      <c r="G31" s="16" t="s">
        <v>15</v>
      </c>
      <c r="H31" s="16" t="s">
        <v>158</v>
      </c>
      <c r="I31" s="16"/>
      <c r="J31" s="31" t="s">
        <v>159</v>
      </c>
      <c r="K31" s="20" t="s">
        <v>160</v>
      </c>
      <c r="L31" s="4" t="s">
        <v>47</v>
      </c>
      <c r="M31" s="4"/>
      <c r="N31" s="4" t="s">
        <v>63</v>
      </c>
    </row>
    <row r="32" customFormat="false" ht="15" hidden="false" customHeight="false" outlineLevel="0" collapsed="false">
      <c r="A32" s="11" t="s">
        <v>161</v>
      </c>
      <c r="B32" s="17" t="s">
        <v>146</v>
      </c>
      <c r="C32" s="8" t="s">
        <v>44</v>
      </c>
      <c r="D32" s="8"/>
      <c r="E32" s="8"/>
      <c r="F32" s="25" t="n">
        <v>0.406</v>
      </c>
      <c r="G32" s="16" t="s">
        <v>153</v>
      </c>
      <c r="H32" s="25"/>
      <c r="I32" s="25"/>
      <c r="J32" s="3" t="s">
        <v>162</v>
      </c>
      <c r="K32" s="3"/>
      <c r="L32" s="4" t="s">
        <v>47</v>
      </c>
      <c r="M32" s="4"/>
      <c r="N32" s="4" t="s">
        <v>63</v>
      </c>
    </row>
    <row r="33" customFormat="false" ht="24" hidden="false" customHeight="false" outlineLevel="0" collapsed="false">
      <c r="A33" s="11" t="s">
        <v>163</v>
      </c>
      <c r="B33" s="17" t="s">
        <v>120</v>
      </c>
      <c r="C33" s="8" t="s">
        <v>44</v>
      </c>
      <c r="D33" s="8"/>
      <c r="E33" s="8"/>
      <c r="F33" s="25" t="s">
        <v>164</v>
      </c>
      <c r="G33" s="16" t="s">
        <v>165</v>
      </c>
      <c r="H33" s="25" t="s">
        <v>166</v>
      </c>
      <c r="I33" s="4"/>
      <c r="J33" s="3" t="s">
        <v>167</v>
      </c>
      <c r="K33" s="3"/>
      <c r="L33" s="4" t="s">
        <v>47</v>
      </c>
      <c r="M33" s="4"/>
      <c r="N33" s="4" t="s">
        <v>63</v>
      </c>
    </row>
    <row r="34" customFormat="false" ht="15" hidden="false" customHeight="false" outlineLevel="0" collapsed="false">
      <c r="A34" s="11" t="s">
        <v>168</v>
      </c>
      <c r="B34" s="16" t="s">
        <v>146</v>
      </c>
      <c r="C34" s="8" t="s">
        <v>44</v>
      </c>
      <c r="D34" s="8"/>
      <c r="E34" s="8"/>
      <c r="F34" s="25" t="s">
        <v>169</v>
      </c>
      <c r="G34" s="16" t="s">
        <v>170</v>
      </c>
      <c r="H34" s="25"/>
      <c r="I34" s="4"/>
      <c r="J34" s="3"/>
      <c r="K34" s="3"/>
      <c r="L34" s="4" t="s">
        <v>47</v>
      </c>
      <c r="M34" s="4"/>
      <c r="N34" s="4" t="s">
        <v>131</v>
      </c>
    </row>
    <row r="35" customFormat="false" ht="24" hidden="false" customHeight="false" outlineLevel="0" collapsed="false">
      <c r="A35" s="11" t="s">
        <v>171</v>
      </c>
      <c r="B35" s="17" t="s">
        <v>120</v>
      </c>
      <c r="C35" s="8" t="s">
        <v>44</v>
      </c>
      <c r="D35" s="8"/>
      <c r="E35" s="8"/>
      <c r="F35" s="8" t="s">
        <v>172</v>
      </c>
      <c r="G35" s="16" t="s">
        <v>173</v>
      </c>
      <c r="H35" s="8" t="s">
        <v>174</v>
      </c>
      <c r="I35" s="8"/>
      <c r="J35" s="3" t="s">
        <v>175</v>
      </c>
      <c r="K35" s="3"/>
      <c r="L35" s="4" t="s">
        <v>47</v>
      </c>
      <c r="M35" s="4"/>
      <c r="N35" s="4" t="s">
        <v>63</v>
      </c>
    </row>
    <row r="36" customFormat="false" ht="24" hidden="false" customHeight="false" outlineLevel="0" collapsed="false">
      <c r="A36" s="11" t="s">
        <v>176</v>
      </c>
      <c r="B36" s="17" t="s">
        <v>102</v>
      </c>
      <c r="C36" s="8" t="s">
        <v>44</v>
      </c>
      <c r="D36" s="8"/>
      <c r="E36" s="8"/>
      <c r="F36" s="8" t="s">
        <v>177</v>
      </c>
      <c r="G36" s="16" t="s">
        <v>104</v>
      </c>
      <c r="H36" s="8" t="s">
        <v>178</v>
      </c>
      <c r="I36" s="8"/>
      <c r="J36" s="32" t="s">
        <v>179</v>
      </c>
      <c r="K36" s="3"/>
      <c r="L36" s="4" t="s">
        <v>47</v>
      </c>
      <c r="M36" s="4"/>
      <c r="N36" s="4" t="s">
        <v>131</v>
      </c>
    </row>
    <row r="37" customFormat="false" ht="15" hidden="false" customHeight="false" outlineLevel="0" collapsed="false">
      <c r="A37" s="11" t="s">
        <v>180</v>
      </c>
      <c r="B37" s="25" t="s">
        <v>58</v>
      </c>
      <c r="C37" s="33" t="s">
        <v>44</v>
      </c>
      <c r="D37" s="33"/>
      <c r="E37" s="33"/>
      <c r="F37" s="34" t="s">
        <v>181</v>
      </c>
      <c r="G37" s="34" t="s">
        <v>104</v>
      </c>
      <c r="H37" s="34" t="s">
        <v>129</v>
      </c>
      <c r="I37" s="34"/>
      <c r="J37" s="3" t="s">
        <v>182</v>
      </c>
      <c r="K37" s="3"/>
      <c r="L37" s="4" t="s">
        <v>47</v>
      </c>
      <c r="M37" s="4"/>
      <c r="N37" s="4" t="s">
        <v>63</v>
      </c>
    </row>
    <row r="38" customFormat="false" ht="36" hidden="false" customHeight="false" outlineLevel="0" collapsed="false">
      <c r="A38" s="11" t="s">
        <v>183</v>
      </c>
      <c r="B38" s="25" t="s">
        <v>58</v>
      </c>
      <c r="C38" s="8" t="s">
        <v>44</v>
      </c>
      <c r="D38" s="8"/>
      <c r="E38" s="8"/>
      <c r="F38" s="25" t="s">
        <v>184</v>
      </c>
      <c r="G38" s="25" t="s">
        <v>185</v>
      </c>
      <c r="H38" s="25"/>
      <c r="I38" s="35" t="s">
        <v>186</v>
      </c>
      <c r="J38" s="36" t="s">
        <v>187</v>
      </c>
      <c r="K38" s="37" t="s">
        <v>188</v>
      </c>
      <c r="L38" s="4" t="s">
        <v>47</v>
      </c>
      <c r="M38" s="4"/>
      <c r="N38" s="4" t="s">
        <v>63</v>
      </c>
    </row>
    <row r="39" customFormat="false" ht="15" hidden="false" customHeight="false" outlineLevel="0" collapsed="false">
      <c r="A39" s="27" t="s">
        <v>189</v>
      </c>
      <c r="B39" s="2" t="s">
        <v>1</v>
      </c>
      <c r="C39" s="10" t="s">
        <v>31</v>
      </c>
      <c r="D39" s="10" t="s">
        <v>32</v>
      </c>
      <c r="E39" s="10" t="s">
        <v>33</v>
      </c>
      <c r="F39" s="10" t="s">
        <v>116</v>
      </c>
      <c r="G39" s="28" t="s">
        <v>117</v>
      </c>
      <c r="H39" s="28" t="s">
        <v>118</v>
      </c>
      <c r="I39" s="2" t="s">
        <v>36</v>
      </c>
      <c r="J39" s="2" t="s">
        <v>37</v>
      </c>
      <c r="K39" s="28" t="s">
        <v>38</v>
      </c>
      <c r="L39" s="10" t="s">
        <v>39</v>
      </c>
      <c r="M39" s="10" t="s">
        <v>40</v>
      </c>
      <c r="N39" s="10"/>
    </row>
    <row r="40" customFormat="false" ht="15" hidden="false" customHeight="false" outlineLevel="0" collapsed="false">
      <c r="A40" s="11" t="s">
        <v>190</v>
      </c>
      <c r="B40" s="8" t="s">
        <v>191</v>
      </c>
      <c r="C40" s="8" t="s">
        <v>44</v>
      </c>
      <c r="D40" s="8"/>
      <c r="E40" s="8"/>
      <c r="F40" s="8" t="n">
        <v>40</v>
      </c>
      <c r="G40" s="8" t="s">
        <v>15</v>
      </c>
      <c r="H40" s="8" t="s">
        <v>192</v>
      </c>
      <c r="I40" s="8"/>
      <c r="J40" s="3"/>
      <c r="K40" s="3"/>
      <c r="L40" s="4" t="s">
        <v>47</v>
      </c>
      <c r="M40" s="4"/>
      <c r="N40" s="4" t="s">
        <v>63</v>
      </c>
    </row>
    <row r="41" customFormat="false" ht="15" hidden="false" customHeight="false" outlineLevel="0" collapsed="false">
      <c r="A41" s="11" t="s">
        <v>193</v>
      </c>
      <c r="B41" s="8" t="s">
        <v>191</v>
      </c>
      <c r="C41" s="8" t="s">
        <v>44</v>
      </c>
      <c r="D41" s="8"/>
      <c r="E41" s="8"/>
      <c r="F41" s="8" t="n">
        <v>95</v>
      </c>
      <c r="G41" s="8" t="s">
        <v>15</v>
      </c>
      <c r="H41" s="8" t="s">
        <v>194</v>
      </c>
      <c r="I41" s="8"/>
      <c r="J41" s="3"/>
      <c r="K41" s="3"/>
      <c r="L41" s="4" t="s">
        <v>47</v>
      </c>
      <c r="M41" s="4"/>
      <c r="N41" s="4" t="s">
        <v>63</v>
      </c>
    </row>
    <row r="42" customFormat="false" ht="15" hidden="false" customHeight="false" outlineLevel="0" collapsed="false">
      <c r="A42" s="11" t="s">
        <v>195</v>
      </c>
      <c r="B42" s="8" t="s">
        <v>191</v>
      </c>
      <c r="C42" s="8" t="s">
        <v>44</v>
      </c>
      <c r="D42" s="8"/>
      <c r="E42" s="8"/>
      <c r="F42" s="19" t="n">
        <v>45</v>
      </c>
      <c r="G42" s="8" t="s">
        <v>15</v>
      </c>
      <c r="H42" s="8" t="s">
        <v>192</v>
      </c>
      <c r="I42" s="8"/>
      <c r="J42" s="3"/>
      <c r="K42" s="3"/>
      <c r="L42" s="4" t="s">
        <v>47</v>
      </c>
      <c r="M42" s="4"/>
      <c r="N42" s="4" t="s">
        <v>63</v>
      </c>
    </row>
    <row r="43" customFormat="false" ht="15" hidden="false" customHeight="false" outlineLevel="0" collapsed="false">
      <c r="A43" s="11" t="s">
        <v>196</v>
      </c>
      <c r="B43" s="8" t="s">
        <v>191</v>
      </c>
      <c r="C43" s="8" t="s">
        <v>44</v>
      </c>
      <c r="D43" s="8"/>
      <c r="E43" s="8"/>
      <c r="F43" s="19" t="n">
        <v>40</v>
      </c>
      <c r="G43" s="8" t="s">
        <v>15</v>
      </c>
      <c r="H43" s="8" t="s">
        <v>197</v>
      </c>
      <c r="I43" s="8"/>
      <c r="J43" s="3"/>
      <c r="K43" s="3"/>
      <c r="L43" s="4" t="s">
        <v>47</v>
      </c>
      <c r="M43" s="4"/>
      <c r="N43" s="4" t="s">
        <v>63</v>
      </c>
    </row>
    <row r="44" customFormat="false" ht="15" hidden="false" customHeight="false" outlineLevel="0" collapsed="false">
      <c r="A44" s="11" t="s">
        <v>198</v>
      </c>
      <c r="B44" s="8" t="s">
        <v>191</v>
      </c>
      <c r="C44" s="8" t="s">
        <v>44</v>
      </c>
      <c r="D44" s="8"/>
      <c r="E44" s="8"/>
      <c r="F44" s="19" t="n">
        <v>40</v>
      </c>
      <c r="G44" s="8" t="s">
        <v>15</v>
      </c>
      <c r="H44" s="8" t="s">
        <v>199</v>
      </c>
      <c r="I44" s="8"/>
      <c r="J44" s="3"/>
      <c r="K44" s="3"/>
      <c r="L44" s="4" t="s">
        <v>47</v>
      </c>
      <c r="M44" s="4"/>
      <c r="N44" s="4" t="s">
        <v>63</v>
      </c>
    </row>
    <row r="45" customFormat="false" ht="15" hidden="false" customHeight="false" outlineLevel="0" collapsed="false">
      <c r="A45" s="11" t="s">
        <v>200</v>
      </c>
      <c r="B45" s="8" t="s">
        <v>191</v>
      </c>
      <c r="C45" s="8" t="s">
        <v>44</v>
      </c>
      <c r="D45" s="8"/>
      <c r="E45" s="8"/>
      <c r="F45" s="19" t="n">
        <v>104</v>
      </c>
      <c r="G45" s="8" t="s">
        <v>15</v>
      </c>
      <c r="H45" s="8" t="s">
        <v>197</v>
      </c>
      <c r="I45" s="8"/>
      <c r="J45" s="3"/>
      <c r="K45" s="3"/>
      <c r="L45" s="4" t="s">
        <v>47</v>
      </c>
      <c r="M45" s="4"/>
      <c r="N45" s="4" t="s">
        <v>63</v>
      </c>
    </row>
    <row r="46" customFormat="false" ht="15" hidden="false" customHeight="false" outlineLevel="0" collapsed="false">
      <c r="A46" s="11" t="s">
        <v>201</v>
      </c>
      <c r="B46" s="8" t="s">
        <v>191</v>
      </c>
      <c r="C46" s="8" t="s">
        <v>44</v>
      </c>
      <c r="D46" s="8"/>
      <c r="E46" s="8"/>
      <c r="F46" s="8" t="n">
        <v>40</v>
      </c>
      <c r="G46" s="8" t="s">
        <v>15</v>
      </c>
      <c r="H46" s="8" t="s">
        <v>192</v>
      </c>
      <c r="I46" s="8"/>
      <c r="J46" s="3"/>
      <c r="K46" s="3"/>
      <c r="L46" s="4" t="s">
        <v>47</v>
      </c>
      <c r="M46" s="4"/>
      <c r="N46" s="4" t="s">
        <v>63</v>
      </c>
    </row>
    <row r="47" customFormat="false" ht="15" hidden="false" customHeight="false" outlineLevel="0" collapsed="false">
      <c r="A47" s="11" t="s">
        <v>202</v>
      </c>
      <c r="B47" s="8" t="s">
        <v>191</v>
      </c>
      <c r="C47" s="8" t="s">
        <v>44</v>
      </c>
      <c r="D47" s="8"/>
      <c r="E47" s="8"/>
      <c r="F47" s="8" t="n">
        <v>45</v>
      </c>
      <c r="G47" s="8" t="s">
        <v>15</v>
      </c>
      <c r="H47" s="8" t="s">
        <v>192</v>
      </c>
      <c r="I47" s="8"/>
      <c r="J47" s="3"/>
      <c r="K47" s="3"/>
      <c r="L47" s="4" t="s">
        <v>47</v>
      </c>
      <c r="M47" s="4"/>
      <c r="N47" s="4" t="s">
        <v>63</v>
      </c>
    </row>
    <row r="48" customFormat="false" ht="15" hidden="false" customHeight="false" outlineLevel="0" collapsed="false">
      <c r="A48" s="2" t="s">
        <v>203</v>
      </c>
      <c r="B48" s="10" t="s">
        <v>1</v>
      </c>
      <c r="C48" s="10" t="s">
        <v>31</v>
      </c>
      <c r="D48" s="10" t="s">
        <v>32</v>
      </c>
      <c r="E48" s="10" t="s">
        <v>33</v>
      </c>
      <c r="F48" s="10" t="s">
        <v>34</v>
      </c>
      <c r="G48" s="10" t="s">
        <v>3</v>
      </c>
      <c r="H48" s="10" t="s">
        <v>35</v>
      </c>
      <c r="I48" s="10" t="s">
        <v>36</v>
      </c>
      <c r="J48" s="10" t="s">
        <v>37</v>
      </c>
      <c r="K48" s="10" t="s">
        <v>38</v>
      </c>
      <c r="L48" s="10" t="s">
        <v>39</v>
      </c>
      <c r="M48" s="10" t="s">
        <v>40</v>
      </c>
      <c r="N48" s="10"/>
    </row>
    <row r="49" customFormat="false" ht="24" hidden="false" customHeight="false" outlineLevel="0" collapsed="false">
      <c r="A49" s="38" t="s">
        <v>49</v>
      </c>
      <c r="B49" s="8"/>
      <c r="C49" s="8" t="s">
        <v>44</v>
      </c>
      <c r="D49" s="8"/>
      <c r="E49" s="8"/>
      <c r="F49" s="8" t="s">
        <v>50</v>
      </c>
      <c r="G49" s="8" t="s">
        <v>51</v>
      </c>
      <c r="H49" s="8" t="s">
        <v>52</v>
      </c>
      <c r="I49" s="3" t="s">
        <v>204</v>
      </c>
      <c r="J49" s="3"/>
      <c r="K49" s="3"/>
      <c r="L49" s="4" t="s">
        <v>205</v>
      </c>
      <c r="M49" s="7" t="s">
        <v>206</v>
      </c>
      <c r="N49" s="4" t="s">
        <v>63</v>
      </c>
    </row>
    <row r="50" customFormat="false" ht="15" hidden="false" customHeight="false" outlineLevel="0" collapsed="false">
      <c r="A50" s="38" t="s">
        <v>207</v>
      </c>
      <c r="B50" s="17" t="s">
        <v>208</v>
      </c>
      <c r="C50" s="8" t="s">
        <v>44</v>
      </c>
      <c r="D50" s="8"/>
      <c r="E50" s="8"/>
      <c r="F50" s="8" t="s">
        <v>209</v>
      </c>
      <c r="G50" s="17" t="s">
        <v>104</v>
      </c>
      <c r="H50" s="8" t="s">
        <v>129</v>
      </c>
      <c r="I50" s="3" t="s">
        <v>210</v>
      </c>
      <c r="J50" s="3"/>
      <c r="K50" s="3"/>
      <c r="L50" s="4" t="s">
        <v>205</v>
      </c>
      <c r="M50" s="7" t="s">
        <v>206</v>
      </c>
      <c r="N50" s="4" t="s">
        <v>63</v>
      </c>
    </row>
    <row r="51" customFormat="false" ht="15" hidden="false" customHeight="false" outlineLevel="0" collapsed="false">
      <c r="A51" s="38" t="s">
        <v>211</v>
      </c>
      <c r="B51" s="8" t="s">
        <v>191</v>
      </c>
      <c r="C51" s="8" t="s">
        <v>44</v>
      </c>
      <c r="D51" s="8"/>
      <c r="E51" s="8"/>
      <c r="F51" s="8" t="n">
        <v>95</v>
      </c>
      <c r="G51" s="8" t="s">
        <v>15</v>
      </c>
      <c r="H51" s="8" t="s">
        <v>194</v>
      </c>
      <c r="I51" s="3" t="s">
        <v>204</v>
      </c>
      <c r="J51" s="3"/>
      <c r="K51" s="3"/>
      <c r="L51" s="4" t="s">
        <v>205</v>
      </c>
      <c r="M51" s="7" t="s">
        <v>206</v>
      </c>
      <c r="N51" s="4" t="s">
        <v>63</v>
      </c>
    </row>
    <row r="52" customFormat="false" ht="15" hidden="false" customHeight="false" outlineLevel="0" collapsed="false">
      <c r="A52" s="38" t="s">
        <v>212</v>
      </c>
      <c r="B52" s="8" t="s">
        <v>191</v>
      </c>
      <c r="C52" s="8" t="s">
        <v>44</v>
      </c>
      <c r="D52" s="8"/>
      <c r="E52" s="8"/>
      <c r="F52" s="8" t="n">
        <v>40</v>
      </c>
      <c r="G52" s="8" t="s">
        <v>15</v>
      </c>
      <c r="H52" s="8" t="s">
        <v>192</v>
      </c>
      <c r="I52" s="3" t="s">
        <v>204</v>
      </c>
      <c r="J52" s="3"/>
      <c r="K52" s="3"/>
      <c r="L52" s="4" t="s">
        <v>205</v>
      </c>
      <c r="M52" s="7" t="s">
        <v>206</v>
      </c>
      <c r="N52" s="4" t="s">
        <v>63</v>
      </c>
    </row>
    <row r="53" customFormat="false" ht="24" hidden="false" customHeight="false" outlineLevel="0" collapsed="false">
      <c r="A53" s="38" t="s">
        <v>77</v>
      </c>
      <c r="B53" s="8"/>
      <c r="C53" s="8" t="s">
        <v>44</v>
      </c>
      <c r="D53" s="8"/>
      <c r="E53" s="8"/>
      <c r="F53" s="8" t="s">
        <v>78</v>
      </c>
      <c r="G53" s="8" t="s">
        <v>70</v>
      </c>
      <c r="H53" s="8" t="s">
        <v>79</v>
      </c>
      <c r="I53" s="3" t="s">
        <v>204</v>
      </c>
      <c r="J53" s="3"/>
      <c r="K53" s="3"/>
      <c r="L53" s="4" t="s">
        <v>205</v>
      </c>
      <c r="M53" s="7" t="s">
        <v>206</v>
      </c>
      <c r="N53" s="4" t="s">
        <v>63</v>
      </c>
    </row>
    <row r="54" customFormat="false" ht="15" hidden="false" customHeight="false" outlineLevel="0" collapsed="false">
      <c r="A54" s="2" t="s">
        <v>213</v>
      </c>
      <c r="B54" s="10" t="s">
        <v>1</v>
      </c>
      <c r="C54" s="10" t="s">
        <v>31</v>
      </c>
      <c r="D54" s="10"/>
      <c r="E54" s="10"/>
      <c r="F54" s="10" t="s">
        <v>34</v>
      </c>
      <c r="G54" s="10" t="s">
        <v>3</v>
      </c>
      <c r="H54" s="10" t="s">
        <v>35</v>
      </c>
      <c r="I54" s="10" t="s">
        <v>36</v>
      </c>
      <c r="J54" s="10" t="s">
        <v>37</v>
      </c>
      <c r="K54" s="10" t="s">
        <v>38</v>
      </c>
      <c r="L54" s="10" t="s">
        <v>39</v>
      </c>
      <c r="M54" s="10" t="s">
        <v>40</v>
      </c>
      <c r="N54" s="10"/>
    </row>
    <row r="55" customFormat="false" ht="15" hidden="false" customHeight="false" outlineLevel="0" collapsed="false">
      <c r="A55" s="38" t="s">
        <v>68</v>
      </c>
      <c r="B55" s="3"/>
      <c r="C55" s="4" t="s">
        <v>44</v>
      </c>
      <c r="D55" s="4"/>
      <c r="E55" s="4"/>
      <c r="F55" s="7" t="str">
        <f aca="false">F8</f>
        <v>0.42,
[0.4,0.5]</v>
      </c>
      <c r="G55" s="7" t="str">
        <f aca="false">G8</f>
        <v>guyton2006medical,
valtin1995renal</v>
      </c>
      <c r="H55" s="3"/>
      <c r="I55" s="3"/>
      <c r="J55" s="3"/>
      <c r="K55" s="3"/>
      <c r="L55" s="4" t="s">
        <v>214</v>
      </c>
      <c r="M55" s="7" t="s">
        <v>215</v>
      </c>
      <c r="N55" s="4" t="s">
        <v>63</v>
      </c>
    </row>
    <row r="56" customFormat="false" ht="15" hidden="false" customHeight="false" outlineLevel="0" collapsed="false">
      <c r="A56" s="38" t="s">
        <v>216</v>
      </c>
      <c r="B56" s="4" t="s">
        <v>102</v>
      </c>
      <c r="C56" s="4" t="s">
        <v>44</v>
      </c>
      <c r="D56" s="4" t="s">
        <v>156</v>
      </c>
      <c r="E56" s="4" t="s">
        <v>157</v>
      </c>
      <c r="F56" s="7" t="str">
        <f aca="false">IF(Patient!C2="Male",D56,E56)</f>
        <v>[13.8,17.2]</v>
      </c>
      <c r="G56" s="7" t="str">
        <f aca="false">G31</f>
        <v>guyton2006medical</v>
      </c>
      <c r="H56" s="3"/>
      <c r="I56" s="3"/>
      <c r="J56" s="3"/>
      <c r="K56" s="3"/>
      <c r="L56" s="4" t="s">
        <v>214</v>
      </c>
      <c r="M56" s="7" t="s">
        <v>215</v>
      </c>
      <c r="N56" s="4" t="s">
        <v>63</v>
      </c>
    </row>
    <row r="57" customFormat="false" ht="15" hidden="false" customHeight="false" outlineLevel="0" collapsed="false">
      <c r="A57" s="38" t="s">
        <v>217</v>
      </c>
      <c r="B57" s="4" t="s">
        <v>218</v>
      </c>
      <c r="C57" s="4" t="s">
        <v>44</v>
      </c>
      <c r="D57" s="4"/>
      <c r="E57" s="4"/>
      <c r="F57" s="7" t="s">
        <v>219</v>
      </c>
      <c r="G57" s="8" t="s">
        <v>220</v>
      </c>
      <c r="H57" s="4"/>
      <c r="I57" s="3"/>
      <c r="J57" s="39" t="s">
        <v>221</v>
      </c>
      <c r="K57" s="3"/>
      <c r="L57" s="4" t="s">
        <v>214</v>
      </c>
      <c r="M57" s="7" t="s">
        <v>215</v>
      </c>
      <c r="N57" s="4" t="s">
        <v>63</v>
      </c>
    </row>
    <row r="58" customFormat="false" ht="15" hidden="false" customHeight="false" outlineLevel="0" collapsed="false">
      <c r="A58" s="38" t="s">
        <v>222</v>
      </c>
      <c r="B58" s="4" t="s">
        <v>102</v>
      </c>
      <c r="C58" s="4" t="s">
        <v>44</v>
      </c>
      <c r="D58" s="4"/>
      <c r="E58" s="4"/>
      <c r="F58" s="7" t="s">
        <v>223</v>
      </c>
      <c r="G58" s="8" t="s">
        <v>224</v>
      </c>
      <c r="H58" s="3"/>
      <c r="I58" s="3"/>
      <c r="J58" s="3"/>
      <c r="K58" s="3"/>
      <c r="L58" s="4" t="s">
        <v>214</v>
      </c>
      <c r="M58" s="7" t="s">
        <v>215</v>
      </c>
      <c r="N58" s="4" t="s">
        <v>63</v>
      </c>
    </row>
    <row r="59" customFormat="false" ht="15" hidden="false" customHeight="false" outlineLevel="0" collapsed="false">
      <c r="A59" s="38" t="s">
        <v>225</v>
      </c>
      <c r="B59" s="4" t="s">
        <v>226</v>
      </c>
      <c r="C59" s="4" t="s">
        <v>44</v>
      </c>
      <c r="D59" s="4"/>
      <c r="E59" s="4"/>
      <c r="F59" s="40" t="n">
        <v>9E-008</v>
      </c>
      <c r="G59" s="8" t="s">
        <v>15</v>
      </c>
      <c r="H59" s="4" t="s">
        <v>227</v>
      </c>
      <c r="I59" s="3"/>
      <c r="J59" s="3"/>
      <c r="K59" s="3"/>
      <c r="L59" s="4" t="s">
        <v>214</v>
      </c>
      <c r="M59" s="7" t="s">
        <v>215</v>
      </c>
      <c r="N59" s="4" t="s">
        <v>93</v>
      </c>
    </row>
    <row r="60" customFormat="false" ht="15" hidden="false" customHeight="false" outlineLevel="0" collapsed="false">
      <c r="A60" s="38" t="s">
        <v>228</v>
      </c>
      <c r="B60" s="4" t="s">
        <v>91</v>
      </c>
      <c r="C60" s="4" t="s">
        <v>44</v>
      </c>
      <c r="D60" s="4"/>
      <c r="E60" s="4"/>
      <c r="F60" s="16" t="s">
        <v>229</v>
      </c>
      <c r="G60" s="41" t="s">
        <v>230</v>
      </c>
      <c r="H60" s="3"/>
      <c r="I60" s="3"/>
      <c r="J60" s="3" t="s">
        <v>231</v>
      </c>
      <c r="K60" s="3"/>
      <c r="L60" s="4" t="s">
        <v>214</v>
      </c>
      <c r="M60" s="7" t="s">
        <v>215</v>
      </c>
      <c r="N60" s="4" t="s">
        <v>93</v>
      </c>
    </row>
    <row r="61" customFormat="false" ht="15" hidden="false" customHeight="false" outlineLevel="0" collapsed="false">
      <c r="A61" s="38" t="s">
        <v>90</v>
      </c>
      <c r="B61" s="7" t="str">
        <f aca="false">B14</f>
        <v>ct/uL</v>
      </c>
      <c r="C61" s="4" t="s">
        <v>44</v>
      </c>
      <c r="D61" s="4"/>
      <c r="E61" s="4"/>
      <c r="F61" s="7" t="n">
        <f aca="false">F14</f>
        <v>5172413.79310345</v>
      </c>
      <c r="G61" s="7" t="str">
        <f aca="false">G14</f>
        <v>guyton2006medical</v>
      </c>
      <c r="H61" s="3"/>
      <c r="I61" s="3"/>
      <c r="J61" s="3"/>
      <c r="K61" s="3"/>
      <c r="L61" s="4" t="s">
        <v>214</v>
      </c>
      <c r="M61" s="7" t="s">
        <v>215</v>
      </c>
      <c r="N61" s="4" t="s">
        <v>93</v>
      </c>
    </row>
    <row r="62" customFormat="false" ht="15" hidden="false" customHeight="false" outlineLevel="0" collapsed="false">
      <c r="A62" s="38" t="s">
        <v>110</v>
      </c>
      <c r="B62" s="42" t="str">
        <f aca="false">B20</f>
        <v>ct/uL</v>
      </c>
      <c r="C62" s="4" t="s">
        <v>44</v>
      </c>
      <c r="D62" s="4"/>
      <c r="E62" s="4"/>
      <c r="F62" s="42" t="n">
        <f aca="false">F20</f>
        <v>7000</v>
      </c>
      <c r="G62" s="42" t="str">
        <f aca="false">G20</f>
        <v>guyton2006medical   </v>
      </c>
      <c r="H62" s="3"/>
      <c r="I62" s="3"/>
      <c r="J62" s="3"/>
      <c r="K62" s="3"/>
      <c r="L62" s="4" t="s">
        <v>214</v>
      </c>
      <c r="M62" s="7" t="s">
        <v>215</v>
      </c>
      <c r="N62" s="4" t="s">
        <v>63</v>
      </c>
    </row>
    <row r="63" customFormat="false" ht="15" hidden="false" customHeight="false" outlineLevel="0" collapsed="false">
      <c r="A63" s="2" t="s">
        <v>232</v>
      </c>
      <c r="B63" s="10" t="s">
        <v>1</v>
      </c>
      <c r="C63" s="10" t="s">
        <v>31</v>
      </c>
      <c r="D63" s="10" t="s">
        <v>32</v>
      </c>
      <c r="E63" s="10" t="s">
        <v>33</v>
      </c>
      <c r="F63" s="10" t="s">
        <v>34</v>
      </c>
      <c r="G63" s="10" t="s">
        <v>3</v>
      </c>
      <c r="H63" s="10" t="s">
        <v>35</v>
      </c>
      <c r="I63" s="10" t="s">
        <v>36</v>
      </c>
      <c r="J63" s="10" t="s">
        <v>37</v>
      </c>
      <c r="K63" s="10" t="s">
        <v>38</v>
      </c>
      <c r="L63" s="10" t="s">
        <v>39</v>
      </c>
      <c r="M63" s="10" t="s">
        <v>40</v>
      </c>
      <c r="N63" s="10"/>
    </row>
    <row r="64" customFormat="false" ht="15" hidden="false" customHeight="false" outlineLevel="0" collapsed="false">
      <c r="A64" s="38" t="s">
        <v>233</v>
      </c>
      <c r="B64" s="4" t="s">
        <v>102</v>
      </c>
      <c r="C64" s="4" t="s">
        <v>44</v>
      </c>
      <c r="D64" s="4"/>
      <c r="E64" s="4"/>
      <c r="F64" s="7" t="str">
        <f aca="false">F23</f>
        <v>[4,5]</v>
      </c>
      <c r="G64" s="7" t="str">
        <f aca="false">G23</f>
        <v>valtin1995renal</v>
      </c>
      <c r="H64" s="3"/>
      <c r="I64" s="3"/>
      <c r="J64" s="3"/>
      <c r="K64" s="3"/>
      <c r="L64" s="4" t="s">
        <v>234</v>
      </c>
      <c r="M64" s="7" t="s">
        <v>235</v>
      </c>
      <c r="N64" s="4" t="s">
        <v>63</v>
      </c>
    </row>
    <row r="65" customFormat="false" ht="15" hidden="false" customHeight="false" outlineLevel="0" collapsed="false">
      <c r="A65" s="38" t="s">
        <v>236</v>
      </c>
      <c r="B65" s="3"/>
      <c r="C65" s="4" t="s">
        <v>44</v>
      </c>
      <c r="D65" s="4"/>
      <c r="E65" s="4"/>
      <c r="F65" s="7"/>
      <c r="G65" s="3"/>
      <c r="H65" s="3"/>
      <c r="I65" s="3"/>
      <c r="J65" s="3"/>
      <c r="K65" s="3"/>
      <c r="L65" s="4" t="s">
        <v>234</v>
      </c>
      <c r="M65" s="7" t="s">
        <v>235</v>
      </c>
      <c r="N65" s="4" t="s">
        <v>63</v>
      </c>
    </row>
    <row r="66" customFormat="false" ht="15" hidden="false" customHeight="false" outlineLevel="0" collapsed="false">
      <c r="A66" s="38" t="s">
        <v>237</v>
      </c>
      <c r="B66" s="3"/>
      <c r="C66" s="4" t="s">
        <v>44</v>
      </c>
      <c r="D66" s="4"/>
      <c r="E66" s="4"/>
      <c r="F66" s="7"/>
      <c r="G66" s="3"/>
      <c r="H66" s="3"/>
      <c r="I66" s="3"/>
      <c r="J66" s="3"/>
      <c r="K66" s="3"/>
      <c r="L66" s="4" t="s">
        <v>234</v>
      </c>
      <c r="M66" s="7" t="s">
        <v>235</v>
      </c>
      <c r="N66" s="4" t="s">
        <v>63</v>
      </c>
    </row>
    <row r="67" customFormat="false" ht="15" hidden="false" customHeight="false" outlineLevel="0" collapsed="false">
      <c r="A67" s="38" t="s">
        <v>238</v>
      </c>
      <c r="B67" s="3"/>
      <c r="C67" s="4" t="s">
        <v>44</v>
      </c>
      <c r="D67" s="4"/>
      <c r="E67" s="4"/>
      <c r="F67" s="7"/>
      <c r="G67" s="3"/>
      <c r="H67" s="3"/>
      <c r="I67" s="3"/>
      <c r="J67" s="3"/>
      <c r="K67" s="3"/>
      <c r="L67" s="4" t="s">
        <v>234</v>
      </c>
      <c r="M67" s="7" t="s">
        <v>235</v>
      </c>
      <c r="N67" s="4" t="s">
        <v>63</v>
      </c>
    </row>
    <row r="68" customFormat="false" ht="15" hidden="false" customHeight="false" outlineLevel="0" collapsed="false">
      <c r="A68" s="38" t="s">
        <v>239</v>
      </c>
      <c r="B68" s="4" t="s">
        <v>58</v>
      </c>
      <c r="C68" s="4" t="s">
        <v>44</v>
      </c>
      <c r="D68" s="4"/>
      <c r="E68" s="4"/>
      <c r="F68" s="7" t="str">
        <f aca="false">F5</f>
        <v>[9.0,18.0],
[6.0,20.0]</v>
      </c>
      <c r="G68" s="7" t="str">
        <f aca="false">G5</f>
        <v>valtin1995renal,
Deepakfirst</v>
      </c>
      <c r="H68" s="3"/>
      <c r="I68" s="3"/>
      <c r="J68" s="3"/>
      <c r="K68" s="3"/>
      <c r="L68" s="4" t="s">
        <v>234</v>
      </c>
      <c r="M68" s="7" t="s">
        <v>235</v>
      </c>
      <c r="N68" s="4" t="s">
        <v>63</v>
      </c>
    </row>
    <row r="69" customFormat="false" ht="15" hidden="false" customHeight="false" outlineLevel="0" collapsed="false">
      <c r="A69" s="38" t="s">
        <v>240</v>
      </c>
      <c r="B69" s="4" t="s">
        <v>120</v>
      </c>
      <c r="C69" s="4" t="s">
        <v>44</v>
      </c>
      <c r="D69" s="4"/>
      <c r="E69" s="4"/>
      <c r="F69" s="7" t="str">
        <f aca="false">F25</f>
        <v>[44.08,52.1]</v>
      </c>
      <c r="G69" s="7" t="str">
        <f aca="false">G25</f>
        <v>cheuvront2014comparison</v>
      </c>
      <c r="H69" s="3"/>
      <c r="I69" s="3"/>
      <c r="J69" s="3"/>
      <c r="K69" s="3"/>
      <c r="L69" s="4" t="s">
        <v>234</v>
      </c>
      <c r="M69" s="7" t="s">
        <v>235</v>
      </c>
      <c r="N69" s="4" t="s">
        <v>63</v>
      </c>
    </row>
    <row r="70" customFormat="false" ht="15" hidden="false" customHeight="false" outlineLevel="0" collapsed="false">
      <c r="A70" s="38" t="s">
        <v>241</v>
      </c>
      <c r="B70" s="7"/>
      <c r="C70" s="4" t="s">
        <v>44</v>
      </c>
      <c r="D70" s="4"/>
      <c r="E70" s="4"/>
      <c r="F70" s="7"/>
      <c r="G70" s="3"/>
      <c r="H70" s="3"/>
      <c r="I70" s="3"/>
      <c r="J70" s="3"/>
      <c r="K70" s="3"/>
      <c r="L70" s="4" t="s">
        <v>234</v>
      </c>
      <c r="M70" s="7" t="s">
        <v>235</v>
      </c>
      <c r="N70" s="4" t="s">
        <v>63</v>
      </c>
    </row>
    <row r="71" customFormat="false" ht="15" hidden="false" customHeight="false" outlineLevel="0" collapsed="false">
      <c r="A71" s="38" t="s">
        <v>242</v>
      </c>
      <c r="B71" s="7" t="s">
        <v>81</v>
      </c>
      <c r="C71" s="4" t="s">
        <v>44</v>
      </c>
      <c r="D71" s="4"/>
      <c r="E71" s="4"/>
      <c r="F71" s="7" t="s">
        <v>243</v>
      </c>
      <c r="G71" s="7" t="str">
        <f aca="false">G24</f>
        <v>valtin1995renal</v>
      </c>
      <c r="H71" s="3"/>
      <c r="I71" s="3"/>
      <c r="J71" s="3"/>
      <c r="K71" s="3"/>
      <c r="L71" s="4" t="s">
        <v>234</v>
      </c>
      <c r="M71" s="7" t="s">
        <v>235</v>
      </c>
      <c r="N71" s="4" t="s">
        <v>63</v>
      </c>
    </row>
    <row r="72" customFormat="false" ht="15" hidden="false" customHeight="false" outlineLevel="0" collapsed="false">
      <c r="A72" s="38" t="s">
        <v>244</v>
      </c>
      <c r="B72" s="4" t="s">
        <v>120</v>
      </c>
      <c r="C72" s="4" t="s">
        <v>44</v>
      </c>
      <c r="D72" s="4"/>
      <c r="E72" s="4"/>
      <c r="F72" s="7" t="str">
        <f aca="false">F27</f>
        <v>[5.0,15.0]</v>
      </c>
      <c r="G72" s="7" t="str">
        <f aca="false">G27</f>
        <v>valtin1995renal</v>
      </c>
      <c r="H72" s="3"/>
      <c r="I72" s="3"/>
      <c r="J72" s="3"/>
      <c r="K72" s="3"/>
      <c r="L72" s="4" t="s">
        <v>234</v>
      </c>
      <c r="M72" s="7" t="s">
        <v>235</v>
      </c>
      <c r="N72" s="4" t="s">
        <v>63</v>
      </c>
    </row>
    <row r="73" customFormat="false" ht="15" hidden="false" customHeight="false" outlineLevel="0" collapsed="false">
      <c r="A73" s="38" t="s">
        <v>245</v>
      </c>
      <c r="B73" s="4" t="s">
        <v>58</v>
      </c>
      <c r="C73" s="4" t="s">
        <v>44</v>
      </c>
      <c r="D73" s="4"/>
      <c r="E73" s="4"/>
      <c r="F73" s="7" t="s">
        <v>246</v>
      </c>
      <c r="G73" s="7" t="s">
        <v>83</v>
      </c>
      <c r="H73" s="3"/>
      <c r="I73" s="3"/>
      <c r="J73" s="3"/>
      <c r="K73" s="3"/>
      <c r="L73" s="4" t="s">
        <v>234</v>
      </c>
      <c r="M73" s="7" t="s">
        <v>235</v>
      </c>
      <c r="N73" s="4" t="s">
        <v>63</v>
      </c>
    </row>
    <row r="74" customFormat="false" ht="15" hidden="false" customHeight="false" outlineLevel="0" collapsed="false">
      <c r="A74" s="38" t="s">
        <v>247</v>
      </c>
      <c r="B74" s="3"/>
      <c r="C74" s="4" t="s">
        <v>44</v>
      </c>
      <c r="D74" s="4"/>
      <c r="E74" s="4"/>
      <c r="F74" s="7"/>
      <c r="G74" s="3"/>
      <c r="H74" s="3"/>
      <c r="I74" s="3"/>
      <c r="J74" s="3"/>
      <c r="K74" s="3"/>
      <c r="L74" s="4" t="s">
        <v>234</v>
      </c>
      <c r="M74" s="7" t="s">
        <v>235</v>
      </c>
      <c r="N74" s="4" t="s">
        <v>63</v>
      </c>
    </row>
    <row r="75" customFormat="false" ht="15" hidden="false" customHeight="false" outlineLevel="0" collapsed="false">
      <c r="A75" s="38" t="s">
        <v>248</v>
      </c>
      <c r="B75" s="17" t="s">
        <v>81</v>
      </c>
      <c r="C75" s="4" t="s">
        <v>44</v>
      </c>
      <c r="D75" s="4"/>
      <c r="E75" s="4"/>
      <c r="F75" s="7" t="s">
        <v>249</v>
      </c>
      <c r="G75" s="7" t="str">
        <f aca="false">G35</f>
        <v>Leeuwen2015laboratory,
valtin1995renal</v>
      </c>
      <c r="H75" s="3"/>
      <c r="I75" s="3"/>
      <c r="J75" s="3"/>
      <c r="K75" s="3"/>
      <c r="L75" s="4" t="s">
        <v>234</v>
      </c>
      <c r="M75" s="7" t="s">
        <v>235</v>
      </c>
      <c r="N75" s="4" t="s">
        <v>63</v>
      </c>
    </row>
    <row r="76" customFormat="false" ht="15" hidden="false" customHeight="false" outlineLevel="0" collapsed="false">
      <c r="A76" s="38" t="s">
        <v>250</v>
      </c>
      <c r="B76" s="3"/>
      <c r="C76" s="4" t="s">
        <v>44</v>
      </c>
      <c r="D76" s="4"/>
      <c r="E76" s="4"/>
      <c r="F76" s="7"/>
      <c r="G76" s="3"/>
      <c r="H76" s="3"/>
      <c r="I76" s="3"/>
      <c r="J76" s="3"/>
      <c r="K76" s="3"/>
      <c r="L76" s="4" t="s">
        <v>234</v>
      </c>
      <c r="M76" s="7" t="s">
        <v>235</v>
      </c>
      <c r="N76" s="4" t="s">
        <v>63</v>
      </c>
    </row>
    <row r="77" customFormat="false" ht="15" hidden="false" customHeight="false" outlineLevel="0" collapsed="false">
      <c r="A77" s="38" t="s">
        <v>251</v>
      </c>
      <c r="B77" s="17" t="s">
        <v>102</v>
      </c>
      <c r="C77" s="4" t="s">
        <v>44</v>
      </c>
      <c r="D77" s="4"/>
      <c r="E77" s="4"/>
      <c r="F77" s="7" t="str">
        <f aca="false">F17</f>
        <v>[6,8]</v>
      </c>
      <c r="G77" s="7" t="str">
        <f aca="false">G17</f>
        <v>valtin1995renal</v>
      </c>
      <c r="H77" s="3"/>
      <c r="I77" s="7"/>
      <c r="J77" s="3"/>
      <c r="K77" s="3"/>
      <c r="L77" s="4" t="s">
        <v>234</v>
      </c>
      <c r="M77" s="7" t="s">
        <v>235</v>
      </c>
      <c r="N77" s="4" t="s">
        <v>63</v>
      </c>
    </row>
  </sheetData>
  <hyperlinks>
    <hyperlink ref="K12" r:id="rId1" display="http://www.heart.org/HEARTORG/Conditions/HeartFailure/SymptomsDiagnosisofHeartFailure/Common-Tests-for-Heart-Failure_UCM_306334_Article.jsp"/>
    <hyperlink ref="K31" r:id="rId2" display="http://www.nhlbi.nih.gov/health/health-topics/topics/arr/diagnosis.html"/>
    <hyperlink ref="K38" r:id="rId3" display="http://acutecaretesting.org/en/articles/urea-and-the-clinical-value-of-measuring-blood-urea-concentration"/>
    <hyperlink ref="J57" r:id="rId4" display="https://en.wikipedia.org/wiki/Mean_corpuscular_hemoglobi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109"/>
  <sheetViews>
    <sheetView showFormulas="false" showGridLines="true" showRowColHeaders="true" showZeros="true" rightToLeft="false" tabSelected="false" showOutlineSymbols="true" defaultGridColor="true" view="normal" topLeftCell="A77" colorId="64" zoomScale="100" zoomScaleNormal="100" zoomScalePageLayoutView="100" workbookViewId="0">
      <pane xSplit="1" ySplit="0" topLeftCell="C77" activePane="topRight" state="frozen"/>
      <selection pane="topLeft" activeCell="A77" activeCellId="0" sqref="A77"/>
      <selection pane="topRight" activeCell="F99" activeCellId="0" sqref="F99"/>
    </sheetView>
  </sheetViews>
  <sheetFormatPr defaultRowHeight="15" zeroHeight="false" outlineLevelRow="0" outlineLevelCol="0"/>
  <cols>
    <col collapsed="false" customWidth="true" hidden="false" outlineLevel="0" max="1" min="1" style="1" width="38.57"/>
    <col collapsed="false" customWidth="true" hidden="false" outlineLevel="0" max="2" min="2" style="9" width="9.85"/>
    <col collapsed="false" customWidth="true" hidden="false" outlineLevel="0" max="5" min="3" style="9" width="16.85"/>
    <col collapsed="false" customWidth="true" hidden="false" outlineLevel="0" max="6" min="6" style="9" width="17.57"/>
    <col collapsed="false" customWidth="true" hidden="false" outlineLevel="0" max="7" min="7" style="43" width="29"/>
    <col collapsed="false" customWidth="true" hidden="false" outlineLevel="0" max="8" min="8" style="43" width="21.71"/>
    <col collapsed="false" customWidth="true" hidden="false" outlineLevel="0" max="9" min="9" style="9" width="32.71"/>
    <col collapsed="false" customWidth="true" hidden="false" outlineLevel="0" max="10" min="10" style="44" width="36.28"/>
    <col collapsed="false" customWidth="true" hidden="false" outlineLevel="0" max="11" min="11" style="1" width="29.57"/>
    <col collapsed="false" customWidth="true" hidden="false" outlineLevel="0" max="12" min="12" style="9" width="27.57"/>
    <col collapsed="false" customWidth="true" hidden="false" outlineLevel="0" max="13" min="13" style="9" width="28.86"/>
    <col collapsed="false" customWidth="true" hidden="false" outlineLevel="0" max="14" min="14" style="9" width="13.71"/>
    <col collapsed="false" customWidth="true" hidden="false" outlineLevel="0" max="15" min="15" style="1" width="25.15"/>
    <col collapsed="false" customWidth="true" hidden="false" outlineLevel="0" max="1025" min="16" style="1" width="9.14"/>
  </cols>
  <sheetData>
    <row r="1" customFormat="false" ht="15" hidden="false" customHeight="false" outlineLevel="0" collapsed="false">
      <c r="A1" s="2" t="s">
        <v>30</v>
      </c>
      <c r="B1" s="10" t="s">
        <v>1</v>
      </c>
      <c r="C1" s="10" t="s">
        <v>31</v>
      </c>
      <c r="D1" s="10" t="s">
        <v>32</v>
      </c>
      <c r="E1" s="10" t="s">
        <v>33</v>
      </c>
      <c r="F1" s="10" t="s">
        <v>34</v>
      </c>
      <c r="G1" s="10" t="s">
        <v>3</v>
      </c>
      <c r="H1" s="10" t="s">
        <v>35</v>
      </c>
      <c r="I1" s="10" t="s">
        <v>36</v>
      </c>
      <c r="J1" s="10" t="s">
        <v>37</v>
      </c>
      <c r="K1" s="28" t="s">
        <v>38</v>
      </c>
      <c r="L1" s="10" t="s">
        <v>39</v>
      </c>
      <c r="M1" s="10" t="s">
        <v>40</v>
      </c>
      <c r="N1" s="10" t="s">
        <v>41</v>
      </c>
      <c r="O1" s="10" t="s">
        <v>252</v>
      </c>
    </row>
    <row r="2" customFormat="false" ht="24" hidden="false" customHeight="false" outlineLevel="0" collapsed="false">
      <c r="A2" s="45" t="s">
        <v>253</v>
      </c>
      <c r="B2" s="8"/>
      <c r="C2" s="8"/>
      <c r="D2" s="8"/>
      <c r="E2" s="8"/>
      <c r="F2" s="8"/>
      <c r="G2" s="8"/>
      <c r="H2" s="8"/>
      <c r="I2" s="25" t="s">
        <v>254</v>
      </c>
      <c r="J2" s="24"/>
      <c r="K2" s="46"/>
      <c r="L2" s="4" t="s">
        <v>255</v>
      </c>
      <c r="M2" s="4"/>
      <c r="N2" s="4"/>
      <c r="O2" s="3"/>
    </row>
    <row r="3" customFormat="false" ht="36.75" hidden="false" customHeight="true" outlineLevel="0" collapsed="false">
      <c r="A3" s="11" t="s">
        <v>16</v>
      </c>
      <c r="B3" s="8" t="s">
        <v>17</v>
      </c>
      <c r="C3" s="8" t="s">
        <v>44</v>
      </c>
      <c r="D3" s="8"/>
      <c r="E3" s="8"/>
      <c r="F3" s="22" t="n">
        <f aca="false">Patient!C7</f>
        <v>5509.65466657922</v>
      </c>
      <c r="G3" s="8" t="s">
        <v>15</v>
      </c>
      <c r="H3" s="8" t="s">
        <v>256</v>
      </c>
      <c r="I3" s="4"/>
      <c r="J3" s="8" t="s">
        <v>257</v>
      </c>
      <c r="K3" s="46"/>
      <c r="L3" s="4" t="s">
        <v>255</v>
      </c>
      <c r="M3" s="4"/>
      <c r="N3" s="4" t="s">
        <v>48</v>
      </c>
      <c r="O3" s="3"/>
    </row>
    <row r="4" customFormat="false" ht="36.75" hidden="false" customHeight="true" outlineLevel="0" collapsed="false">
      <c r="A4" s="11" t="s">
        <v>18</v>
      </c>
      <c r="B4" s="8" t="s">
        <v>258</v>
      </c>
      <c r="C4" s="8" t="s">
        <v>44</v>
      </c>
      <c r="D4" s="8"/>
      <c r="E4" s="8"/>
      <c r="F4" s="47" t="n">
        <f aca="false">Patient!C8</f>
        <v>2.99910331452879</v>
      </c>
      <c r="G4" s="8" t="s">
        <v>15</v>
      </c>
      <c r="H4" s="8" t="s">
        <v>259</v>
      </c>
      <c r="I4" s="25" t="s">
        <v>260</v>
      </c>
      <c r="J4" s="8"/>
      <c r="K4" s="46"/>
      <c r="L4" s="4" t="s">
        <v>255</v>
      </c>
      <c r="M4" s="4"/>
      <c r="N4" s="4" t="s">
        <v>63</v>
      </c>
      <c r="O4" s="3"/>
    </row>
    <row r="5" customFormat="false" ht="45.75" hidden="false" customHeight="true" outlineLevel="0" collapsed="false">
      <c r="A5" s="11" t="s">
        <v>13</v>
      </c>
      <c r="B5" s="8" t="s">
        <v>14</v>
      </c>
      <c r="C5" s="8" t="s">
        <v>44</v>
      </c>
      <c r="D5" s="8"/>
      <c r="E5" s="8"/>
      <c r="F5" s="22" t="n">
        <f aca="false">Patient!C6</f>
        <v>5600</v>
      </c>
      <c r="G5" s="8" t="s">
        <v>15</v>
      </c>
      <c r="H5" s="8" t="s">
        <v>259</v>
      </c>
      <c r="I5" s="4"/>
      <c r="J5" s="8"/>
      <c r="K5" s="46"/>
      <c r="L5" s="4" t="s">
        <v>255</v>
      </c>
      <c r="M5" s="4"/>
      <c r="N5" s="4" t="s">
        <v>48</v>
      </c>
      <c r="O5" s="3"/>
    </row>
    <row r="6" customFormat="false" ht="60" hidden="false" customHeight="false" outlineLevel="0" collapsed="false">
      <c r="A6" s="45" t="s">
        <v>261</v>
      </c>
      <c r="B6" s="16" t="s">
        <v>191</v>
      </c>
      <c r="C6" s="8" t="s">
        <v>44</v>
      </c>
      <c r="D6" s="8"/>
      <c r="E6" s="8"/>
      <c r="F6" s="19" t="s">
        <v>262</v>
      </c>
      <c r="G6" s="16" t="s">
        <v>83</v>
      </c>
      <c r="H6" s="8" t="s">
        <v>263</v>
      </c>
      <c r="I6" s="25" t="s">
        <v>254</v>
      </c>
      <c r="J6" s="16" t="s">
        <v>264</v>
      </c>
      <c r="K6" s="46"/>
      <c r="L6" s="4" t="s">
        <v>255</v>
      </c>
      <c r="M6" s="4"/>
      <c r="N6" s="4"/>
      <c r="O6" s="3"/>
    </row>
    <row r="7" customFormat="false" ht="15" hidden="false" customHeight="false" outlineLevel="0" collapsed="false">
      <c r="A7" s="11" t="s">
        <v>265</v>
      </c>
      <c r="B7" s="8" t="s">
        <v>14</v>
      </c>
      <c r="C7" s="8" t="s">
        <v>44</v>
      </c>
      <c r="D7" s="8"/>
      <c r="E7" s="8"/>
      <c r="F7" s="19" t="n">
        <f aca="false">F40*60</f>
        <v>672</v>
      </c>
      <c r="G7" s="16" t="s">
        <v>266</v>
      </c>
      <c r="H7" s="8"/>
      <c r="I7" s="25"/>
      <c r="J7" s="16"/>
      <c r="K7" s="46"/>
      <c r="L7" s="4" t="s">
        <v>255</v>
      </c>
      <c r="M7" s="4"/>
      <c r="N7" s="4" t="s">
        <v>48</v>
      </c>
      <c r="O7" s="3"/>
    </row>
    <row r="8" customFormat="false" ht="15" hidden="false" customHeight="false" outlineLevel="0" collapsed="false">
      <c r="A8" s="11" t="s">
        <v>267</v>
      </c>
      <c r="B8" s="16" t="s">
        <v>191</v>
      </c>
      <c r="C8" s="8" t="s">
        <v>44</v>
      </c>
      <c r="D8" s="8"/>
      <c r="E8" s="8"/>
      <c r="F8" s="19" t="s">
        <v>268</v>
      </c>
      <c r="G8" s="16" t="s">
        <v>269</v>
      </c>
      <c r="H8" s="8"/>
      <c r="I8" s="25"/>
      <c r="J8" s="16"/>
      <c r="K8" s="46"/>
      <c r="L8" s="4" t="s">
        <v>255</v>
      </c>
      <c r="M8" s="4"/>
      <c r="N8" s="4" t="s">
        <v>63</v>
      </c>
      <c r="O8" s="3"/>
    </row>
    <row r="9" customFormat="false" ht="45.75" hidden="false" customHeight="true" outlineLevel="0" collapsed="false">
      <c r="A9" s="11" t="s">
        <v>270</v>
      </c>
      <c r="B9" s="8" t="s">
        <v>191</v>
      </c>
      <c r="C9" s="8" t="s">
        <v>44</v>
      </c>
      <c r="D9" s="8"/>
      <c r="E9" s="8"/>
      <c r="F9" s="19" t="s">
        <v>271</v>
      </c>
      <c r="G9" s="16" t="s">
        <v>83</v>
      </c>
      <c r="H9" s="8" t="s">
        <v>263</v>
      </c>
      <c r="I9" s="8"/>
      <c r="J9" s="8" t="s">
        <v>272</v>
      </c>
      <c r="K9" s="46"/>
      <c r="L9" s="4" t="s">
        <v>255</v>
      </c>
      <c r="M9" s="4"/>
      <c r="N9" s="4" t="s">
        <v>63</v>
      </c>
      <c r="O9" s="3"/>
    </row>
    <row r="10" customFormat="false" ht="45.75" hidden="false" customHeight="true" outlineLevel="0" collapsed="false">
      <c r="A10" s="11" t="s">
        <v>273</v>
      </c>
      <c r="B10" s="8" t="s">
        <v>191</v>
      </c>
      <c r="C10" s="8" t="s">
        <v>44</v>
      </c>
      <c r="D10" s="8"/>
      <c r="E10" s="8"/>
      <c r="F10" s="8" t="s">
        <v>274</v>
      </c>
      <c r="G10" s="16" t="s">
        <v>275</v>
      </c>
      <c r="H10" s="8"/>
      <c r="I10" s="8"/>
      <c r="J10" s="8"/>
      <c r="K10" s="46"/>
      <c r="L10" s="4" t="s">
        <v>255</v>
      </c>
      <c r="M10" s="4"/>
      <c r="N10" s="4" t="s">
        <v>63</v>
      </c>
    </row>
    <row r="11" customFormat="false" ht="45.75" hidden="false" customHeight="true" outlineLevel="0" collapsed="false">
      <c r="A11" s="11" t="s">
        <v>276</v>
      </c>
      <c r="B11" s="8" t="s">
        <v>191</v>
      </c>
      <c r="C11" s="8" t="s">
        <v>44</v>
      </c>
      <c r="D11" s="8"/>
      <c r="E11" s="8"/>
      <c r="F11" s="8" t="s">
        <v>277</v>
      </c>
      <c r="G11" s="16" t="s">
        <v>275</v>
      </c>
      <c r="H11" s="16"/>
      <c r="I11" s="48"/>
      <c r="J11" s="24" t="s">
        <v>278</v>
      </c>
      <c r="K11" s="46"/>
      <c r="L11" s="4" t="s">
        <v>255</v>
      </c>
      <c r="M11" s="4"/>
      <c r="N11" s="4" t="s">
        <v>63</v>
      </c>
    </row>
    <row r="12" customFormat="false" ht="27.75" hidden="false" customHeight="true" outlineLevel="0" collapsed="false">
      <c r="A12" s="11" t="s">
        <v>279</v>
      </c>
      <c r="B12" s="8"/>
      <c r="C12" s="8" t="s">
        <v>44</v>
      </c>
      <c r="D12" s="8"/>
      <c r="E12" s="8"/>
      <c r="F12" s="19" t="n">
        <v>0.55</v>
      </c>
      <c r="G12" s="8" t="s">
        <v>15</v>
      </c>
      <c r="H12" s="25"/>
      <c r="I12" s="8"/>
      <c r="J12" s="8" t="s">
        <v>280</v>
      </c>
      <c r="K12" s="46"/>
      <c r="L12" s="4" t="s">
        <v>255</v>
      </c>
      <c r="M12" s="4"/>
      <c r="N12" s="4" t="s">
        <v>53</v>
      </c>
      <c r="O12" s="3"/>
    </row>
    <row r="13" customFormat="false" ht="74.25" hidden="false" customHeight="true" outlineLevel="0" collapsed="false">
      <c r="A13" s="11" t="s">
        <v>281</v>
      </c>
      <c r="B13" s="8" t="s">
        <v>282</v>
      </c>
      <c r="C13" s="8" t="s">
        <v>44</v>
      </c>
      <c r="D13" s="8"/>
      <c r="E13" s="8"/>
      <c r="F13" s="19" t="s">
        <v>283</v>
      </c>
      <c r="G13" s="8" t="s">
        <v>284</v>
      </c>
      <c r="H13" s="8"/>
      <c r="J13" s="8"/>
      <c r="K13" s="46"/>
      <c r="L13" s="4" t="s">
        <v>255</v>
      </c>
      <c r="M13" s="4"/>
      <c r="N13" s="4" t="s">
        <v>48</v>
      </c>
      <c r="O13" s="3"/>
    </row>
    <row r="14" customFormat="false" ht="15" hidden="false" customHeight="false" outlineLevel="0" collapsed="false">
      <c r="A14" s="45" t="s">
        <v>285</v>
      </c>
      <c r="B14" s="8"/>
      <c r="C14" s="8"/>
      <c r="D14" s="8"/>
      <c r="E14" s="8"/>
      <c r="F14" s="8"/>
      <c r="G14" s="8"/>
      <c r="H14" s="8"/>
      <c r="I14" s="8" t="s">
        <v>286</v>
      </c>
      <c r="J14" s="8"/>
      <c r="K14" s="46"/>
      <c r="L14" s="4" t="s">
        <v>255</v>
      </c>
      <c r="M14" s="4"/>
      <c r="N14" s="4"/>
      <c r="O14" s="3"/>
    </row>
    <row r="15" customFormat="false" ht="65.25" hidden="false" customHeight="true" outlineLevel="0" collapsed="false">
      <c r="A15" s="11" t="s">
        <v>287</v>
      </c>
      <c r="B15" s="8" t="s">
        <v>17</v>
      </c>
      <c r="C15" s="8" t="s">
        <v>44</v>
      </c>
      <c r="D15" s="8"/>
      <c r="E15" s="8"/>
      <c r="F15" s="8" t="s">
        <v>288</v>
      </c>
      <c r="G15" s="43" t="s">
        <v>289</v>
      </c>
      <c r="H15" s="8"/>
      <c r="I15" s="8"/>
      <c r="J15" s="8" t="s">
        <v>290</v>
      </c>
      <c r="K15" s="46"/>
      <c r="L15" s="4" t="s">
        <v>255</v>
      </c>
      <c r="M15" s="4"/>
      <c r="N15" s="4" t="s">
        <v>63</v>
      </c>
      <c r="O15" s="3"/>
    </row>
    <row r="16" customFormat="false" ht="15" hidden="false" customHeight="false" outlineLevel="0" collapsed="false">
      <c r="A16" s="11" t="s">
        <v>291</v>
      </c>
      <c r="B16" s="16" t="s">
        <v>191</v>
      </c>
      <c r="C16" s="8" t="s">
        <v>44</v>
      </c>
      <c r="D16" s="8"/>
      <c r="E16" s="8"/>
      <c r="F16" s="19" t="s">
        <v>292</v>
      </c>
      <c r="G16" s="16" t="s">
        <v>293</v>
      </c>
      <c r="H16" s="8"/>
      <c r="I16" s="25" t="s">
        <v>294</v>
      </c>
      <c r="J16" s="16"/>
      <c r="K16" s="46"/>
      <c r="L16" s="4" t="s">
        <v>255</v>
      </c>
      <c r="M16" s="4"/>
      <c r="N16" s="4" t="s">
        <v>63</v>
      </c>
      <c r="O16" s="3"/>
    </row>
    <row r="17" customFormat="false" ht="40.5" hidden="false" customHeight="true" outlineLevel="0" collapsed="false">
      <c r="A17" s="11" t="s">
        <v>295</v>
      </c>
      <c r="B17" s="8" t="s">
        <v>191</v>
      </c>
      <c r="C17" s="8" t="s">
        <v>44</v>
      </c>
      <c r="D17" s="8"/>
      <c r="E17" s="8"/>
      <c r="F17" s="8" t="s">
        <v>296</v>
      </c>
      <c r="G17" s="16" t="s">
        <v>83</v>
      </c>
      <c r="H17" s="8" t="s">
        <v>263</v>
      </c>
      <c r="I17" s="8"/>
      <c r="J17" s="8" t="s">
        <v>272</v>
      </c>
      <c r="K17" s="46"/>
      <c r="L17" s="4" t="s">
        <v>255</v>
      </c>
      <c r="M17" s="4"/>
      <c r="N17" s="4" t="s">
        <v>63</v>
      </c>
      <c r="O17" s="3"/>
    </row>
    <row r="18" customFormat="false" ht="15" hidden="false" customHeight="false" outlineLevel="0" collapsed="false">
      <c r="A18" s="45" t="s">
        <v>297</v>
      </c>
      <c r="B18" s="8"/>
      <c r="C18" s="8"/>
      <c r="D18" s="8"/>
      <c r="E18" s="8"/>
      <c r="F18" s="8"/>
      <c r="G18" s="8"/>
      <c r="H18" s="8"/>
      <c r="I18" s="8" t="s">
        <v>298</v>
      </c>
      <c r="J18" s="8"/>
      <c r="K18" s="46"/>
      <c r="L18" s="4" t="s">
        <v>255</v>
      </c>
      <c r="M18" s="4"/>
      <c r="N18" s="4"/>
      <c r="O18" s="3"/>
    </row>
    <row r="19" customFormat="false" ht="15" hidden="false" customHeight="false" outlineLevel="0" collapsed="false">
      <c r="A19" s="45" t="s">
        <v>299</v>
      </c>
      <c r="B19" s="8"/>
      <c r="C19" s="8"/>
      <c r="D19" s="8"/>
      <c r="E19" s="8"/>
      <c r="F19" s="8"/>
      <c r="G19" s="8"/>
      <c r="H19" s="8"/>
      <c r="I19" s="8" t="s">
        <v>298</v>
      </c>
      <c r="J19" s="8"/>
      <c r="K19" s="46"/>
      <c r="L19" s="4" t="s">
        <v>255</v>
      </c>
      <c r="M19" s="4"/>
      <c r="N19" s="4"/>
      <c r="O19" s="3"/>
    </row>
    <row r="20" customFormat="false" ht="60" hidden="false" customHeight="false" outlineLevel="0" collapsed="false">
      <c r="A20" s="11" t="s">
        <v>300</v>
      </c>
      <c r="B20" s="16" t="s">
        <v>191</v>
      </c>
      <c r="C20" s="8" t="s">
        <v>44</v>
      </c>
      <c r="D20" s="8"/>
      <c r="E20" s="8"/>
      <c r="F20" s="19" t="s">
        <v>262</v>
      </c>
      <c r="G20" s="16" t="s">
        <v>83</v>
      </c>
      <c r="H20" s="8" t="s">
        <v>263</v>
      </c>
      <c r="I20" s="8"/>
      <c r="J20" s="16" t="s">
        <v>264</v>
      </c>
      <c r="K20" s="46"/>
      <c r="L20" s="4" t="s">
        <v>255</v>
      </c>
      <c r="M20" s="4"/>
      <c r="N20" s="4" t="s">
        <v>63</v>
      </c>
      <c r="O20" s="3"/>
    </row>
    <row r="21" s="1" customFormat="true" ht="24" hidden="false" customHeight="false" outlineLevel="0" collapsed="false">
      <c r="A21" s="11" t="s">
        <v>301</v>
      </c>
      <c r="B21" s="8" t="s">
        <v>302</v>
      </c>
      <c r="C21" s="8" t="s">
        <v>44</v>
      </c>
      <c r="D21" s="8"/>
      <c r="E21" s="8"/>
      <c r="F21" s="49" t="n">
        <f aca="false">F101</f>
        <v>4.66666666666667</v>
      </c>
      <c r="G21" s="8" t="s">
        <v>266</v>
      </c>
      <c r="H21" s="8"/>
      <c r="J21" s="8" t="s">
        <v>303</v>
      </c>
      <c r="K21" s="46"/>
      <c r="L21" s="4" t="s">
        <v>255</v>
      </c>
      <c r="M21" s="4"/>
      <c r="N21" s="4" t="s">
        <v>63</v>
      </c>
      <c r="O21" s="3"/>
    </row>
    <row r="22" customFormat="false" ht="24" hidden="false" customHeight="false" outlineLevel="0" collapsed="false">
      <c r="A22" s="45" t="s">
        <v>304</v>
      </c>
      <c r="B22" s="8"/>
      <c r="C22" s="8"/>
      <c r="D22" s="8"/>
      <c r="E22" s="8"/>
      <c r="F22" s="8"/>
      <c r="G22" s="8"/>
      <c r="H22" s="8"/>
      <c r="I22" s="25" t="s">
        <v>254</v>
      </c>
      <c r="J22" s="8"/>
      <c r="K22" s="46"/>
      <c r="L22" s="4" t="s">
        <v>255</v>
      </c>
      <c r="M22" s="4"/>
      <c r="N22" s="4"/>
      <c r="O22" s="3"/>
    </row>
    <row r="23" customFormat="false" ht="41.25" hidden="false" customHeight="true" outlineLevel="0" collapsed="false">
      <c r="A23" s="11" t="s">
        <v>305</v>
      </c>
      <c r="B23" s="16" t="s">
        <v>191</v>
      </c>
      <c r="C23" s="8" t="s">
        <v>44</v>
      </c>
      <c r="D23" s="8"/>
      <c r="E23" s="8"/>
      <c r="F23" s="16" t="s">
        <v>274</v>
      </c>
      <c r="G23" s="16" t="s">
        <v>83</v>
      </c>
      <c r="H23" s="16" t="s">
        <v>263</v>
      </c>
      <c r="I23" s="16"/>
      <c r="J23" s="16" t="s">
        <v>306</v>
      </c>
      <c r="K23" s="46"/>
      <c r="L23" s="4" t="s">
        <v>255</v>
      </c>
      <c r="M23" s="4"/>
      <c r="N23" s="4" t="s">
        <v>63</v>
      </c>
      <c r="O23" s="3"/>
    </row>
    <row r="24" customFormat="false" ht="24" hidden="false" customHeight="false" outlineLevel="0" collapsed="false">
      <c r="A24" s="11" t="s">
        <v>307</v>
      </c>
      <c r="B24" s="8" t="s">
        <v>191</v>
      </c>
      <c r="C24" s="8" t="s">
        <v>44</v>
      </c>
      <c r="D24" s="8"/>
      <c r="E24" s="8"/>
      <c r="F24" s="8" t="s">
        <v>308</v>
      </c>
      <c r="G24" s="16" t="s">
        <v>309</v>
      </c>
      <c r="H24" s="8" t="s">
        <v>310</v>
      </c>
      <c r="I24" s="8"/>
      <c r="J24" s="8" t="s">
        <v>272</v>
      </c>
      <c r="K24" s="46"/>
      <c r="L24" s="4" t="s">
        <v>255</v>
      </c>
      <c r="M24" s="4"/>
      <c r="N24" s="4" t="s">
        <v>63</v>
      </c>
      <c r="O24" s="3"/>
    </row>
    <row r="25" customFormat="false" ht="15" hidden="false" customHeight="false" outlineLevel="0" collapsed="false">
      <c r="A25" s="11" t="s">
        <v>311</v>
      </c>
      <c r="B25" s="8" t="s">
        <v>191</v>
      </c>
      <c r="C25" s="8" t="s">
        <v>44</v>
      </c>
      <c r="D25" s="8"/>
      <c r="E25" s="8"/>
      <c r="F25" s="8" t="s">
        <v>312</v>
      </c>
      <c r="G25" s="8" t="s">
        <v>275</v>
      </c>
      <c r="H25" s="8"/>
      <c r="I25" s="8"/>
      <c r="J25" s="8"/>
      <c r="K25" s="46"/>
      <c r="L25" s="4" t="s">
        <v>255</v>
      </c>
      <c r="M25" s="4"/>
      <c r="N25" s="4" t="s">
        <v>63</v>
      </c>
      <c r="O25" s="3"/>
    </row>
    <row r="26" customFormat="false" ht="15" hidden="false" customHeight="false" outlineLevel="0" collapsed="false">
      <c r="A26" s="45" t="s">
        <v>313</v>
      </c>
      <c r="B26" s="8"/>
      <c r="C26" s="8"/>
      <c r="D26" s="8"/>
      <c r="E26" s="8"/>
      <c r="F26" s="8"/>
      <c r="G26" s="8"/>
      <c r="H26" s="8"/>
      <c r="I26" s="8"/>
      <c r="J26" s="8" t="s">
        <v>314</v>
      </c>
      <c r="K26" s="46"/>
      <c r="L26" s="4" t="s">
        <v>255</v>
      </c>
      <c r="M26" s="4"/>
      <c r="N26" s="4"/>
      <c r="O26" s="3"/>
    </row>
    <row r="27" customFormat="false" ht="15" hidden="false" customHeight="false" outlineLevel="0" collapsed="false">
      <c r="A27" s="45" t="s">
        <v>315</v>
      </c>
      <c r="B27" s="8"/>
      <c r="C27" s="8"/>
      <c r="D27" s="8"/>
      <c r="E27" s="8"/>
      <c r="F27" s="50"/>
      <c r="G27" s="8"/>
      <c r="H27" s="8"/>
      <c r="I27" s="8"/>
      <c r="J27" s="8" t="s">
        <v>314</v>
      </c>
      <c r="K27" s="46"/>
      <c r="L27" s="4" t="s">
        <v>255</v>
      </c>
      <c r="M27" s="4"/>
      <c r="N27" s="4"/>
      <c r="O27" s="3"/>
    </row>
    <row r="28" customFormat="false" ht="15" hidden="false" customHeight="false" outlineLevel="0" collapsed="false">
      <c r="A28" s="11" t="s">
        <v>316</v>
      </c>
      <c r="B28" s="8" t="s">
        <v>191</v>
      </c>
      <c r="C28" s="8" t="s">
        <v>44</v>
      </c>
      <c r="D28" s="8"/>
      <c r="E28" s="8"/>
      <c r="F28" s="8" t="s">
        <v>317</v>
      </c>
      <c r="G28" s="16" t="s">
        <v>83</v>
      </c>
      <c r="H28" s="8" t="s">
        <v>263</v>
      </c>
      <c r="I28" s="8"/>
      <c r="J28" s="8" t="s">
        <v>272</v>
      </c>
      <c r="K28" s="46"/>
      <c r="L28" s="4" t="s">
        <v>255</v>
      </c>
      <c r="M28" s="4"/>
      <c r="N28" s="4" t="s">
        <v>63</v>
      </c>
      <c r="O28" s="3"/>
    </row>
    <row r="29" customFormat="false" ht="24" hidden="false" customHeight="false" outlineLevel="0" collapsed="false">
      <c r="A29" s="11" t="s">
        <v>318</v>
      </c>
      <c r="B29" s="8" t="s">
        <v>319</v>
      </c>
      <c r="C29" s="8" t="s">
        <v>44</v>
      </c>
      <c r="D29" s="8"/>
      <c r="E29" s="8"/>
      <c r="F29" s="8" t="n">
        <v>0.14</v>
      </c>
      <c r="G29" s="8" t="s">
        <v>15</v>
      </c>
      <c r="H29" s="8" t="s">
        <v>320</v>
      </c>
      <c r="I29" s="8"/>
      <c r="J29" s="8"/>
      <c r="K29" s="46"/>
      <c r="L29" s="4" t="s">
        <v>255</v>
      </c>
      <c r="M29" s="4"/>
      <c r="N29" s="4" t="s">
        <v>131</v>
      </c>
      <c r="O29" s="3"/>
    </row>
    <row r="30" s="1" customFormat="true" ht="36" hidden="false" customHeight="false" outlineLevel="0" collapsed="false">
      <c r="A30" s="11" t="s">
        <v>321</v>
      </c>
      <c r="B30" s="8" t="s">
        <v>322</v>
      </c>
      <c r="C30" s="8" t="s">
        <v>44</v>
      </c>
      <c r="D30" s="8"/>
      <c r="E30" s="8"/>
      <c r="F30" s="8" t="n">
        <v>0.24</v>
      </c>
      <c r="G30" s="8" t="s">
        <v>15</v>
      </c>
      <c r="H30" s="8" t="s">
        <v>323</v>
      </c>
      <c r="I30" s="8" t="s">
        <v>324</v>
      </c>
      <c r="K30" s="46"/>
      <c r="L30" s="4" t="s">
        <v>255</v>
      </c>
      <c r="M30" s="4"/>
      <c r="N30" s="4" t="s">
        <v>131</v>
      </c>
      <c r="O30" s="3"/>
    </row>
    <row r="31" customFormat="false" ht="24" hidden="false" customHeight="false" outlineLevel="0" collapsed="false">
      <c r="A31" s="11" t="s">
        <v>325</v>
      </c>
      <c r="B31" s="8" t="s">
        <v>191</v>
      </c>
      <c r="C31" s="8" t="s">
        <v>44</v>
      </c>
      <c r="D31" s="8"/>
      <c r="E31" s="8"/>
      <c r="F31" s="8" t="s">
        <v>326</v>
      </c>
      <c r="G31" s="8" t="s">
        <v>327</v>
      </c>
      <c r="H31" s="8"/>
      <c r="I31" s="8" t="s">
        <v>328</v>
      </c>
      <c r="J31" s="8" t="s">
        <v>329</v>
      </c>
      <c r="K31" s="46"/>
      <c r="L31" s="4" t="s">
        <v>255</v>
      </c>
      <c r="M31" s="4"/>
      <c r="N31" s="4" t="s">
        <v>63</v>
      </c>
      <c r="O31" s="3"/>
    </row>
    <row r="32" customFormat="false" ht="24" hidden="false" customHeight="true" outlineLevel="0" collapsed="false">
      <c r="A32" s="11" t="s">
        <v>330</v>
      </c>
      <c r="B32" s="8" t="s">
        <v>319</v>
      </c>
      <c r="C32" s="8" t="s">
        <v>44</v>
      </c>
      <c r="D32" s="8"/>
      <c r="E32" s="8"/>
      <c r="F32" s="49" t="n">
        <v>1</v>
      </c>
      <c r="G32" s="8" t="s">
        <v>15</v>
      </c>
      <c r="H32" s="8" t="s">
        <v>331</v>
      </c>
      <c r="I32" s="8"/>
      <c r="J32" s="8" t="s">
        <v>332</v>
      </c>
      <c r="K32" s="46"/>
      <c r="L32" s="4" t="s">
        <v>255</v>
      </c>
      <c r="M32" s="4"/>
      <c r="N32" s="4" t="s">
        <v>63</v>
      </c>
      <c r="O32" s="3"/>
    </row>
    <row r="33" customFormat="false" ht="44.25" hidden="false" customHeight="true" outlineLevel="0" collapsed="false">
      <c r="A33" s="11" t="s">
        <v>333</v>
      </c>
      <c r="B33" s="8" t="s">
        <v>191</v>
      </c>
      <c r="C33" s="8" t="s">
        <v>44</v>
      </c>
      <c r="D33" s="8"/>
      <c r="E33" s="8"/>
      <c r="F33" s="19" t="s">
        <v>334</v>
      </c>
      <c r="G33" s="16" t="s">
        <v>83</v>
      </c>
      <c r="H33" s="8" t="s">
        <v>263</v>
      </c>
      <c r="I33" s="8"/>
      <c r="J33" s="8" t="s">
        <v>272</v>
      </c>
      <c r="K33" s="46"/>
      <c r="L33" s="4" t="s">
        <v>255</v>
      </c>
      <c r="M33" s="4"/>
      <c r="N33" s="4" t="s">
        <v>63</v>
      </c>
      <c r="O33" s="3"/>
    </row>
    <row r="34" customFormat="false" ht="44.25" hidden="false" customHeight="true" outlineLevel="0" collapsed="false">
      <c r="A34" s="11" t="s">
        <v>335</v>
      </c>
      <c r="B34" s="8" t="s">
        <v>191</v>
      </c>
      <c r="C34" s="8" t="s">
        <v>44</v>
      </c>
      <c r="D34" s="8"/>
      <c r="E34" s="8"/>
      <c r="F34" s="8" t="s">
        <v>334</v>
      </c>
      <c r="G34" s="16" t="s">
        <v>336</v>
      </c>
      <c r="H34" s="16" t="s">
        <v>337</v>
      </c>
      <c r="I34" s="48"/>
      <c r="J34" s="24" t="s">
        <v>338</v>
      </c>
      <c r="K34" s="46"/>
      <c r="L34" s="4" t="s">
        <v>255</v>
      </c>
      <c r="M34" s="4"/>
      <c r="N34" s="4" t="s">
        <v>63</v>
      </c>
    </row>
    <row r="35" customFormat="false" ht="44.25" hidden="false" customHeight="true" outlineLevel="0" collapsed="false">
      <c r="A35" s="11" t="s">
        <v>339</v>
      </c>
      <c r="B35" s="8" t="s">
        <v>191</v>
      </c>
      <c r="C35" s="8" t="s">
        <v>44</v>
      </c>
      <c r="D35" s="8"/>
      <c r="E35" s="8"/>
      <c r="F35" s="8" t="s">
        <v>317</v>
      </c>
      <c r="G35" s="16" t="s">
        <v>275</v>
      </c>
      <c r="H35" s="8"/>
      <c r="I35" s="8"/>
      <c r="J35" s="8"/>
      <c r="K35" s="46"/>
      <c r="L35" s="4" t="s">
        <v>255</v>
      </c>
      <c r="M35" s="4"/>
      <c r="N35" s="4" t="s">
        <v>63</v>
      </c>
    </row>
    <row r="36" customFormat="false" ht="15" hidden="false" customHeight="false" outlineLevel="0" collapsed="false">
      <c r="A36" s="27" t="s">
        <v>340</v>
      </c>
      <c r="B36" s="2" t="s">
        <v>1</v>
      </c>
      <c r="C36" s="10" t="s">
        <v>31</v>
      </c>
      <c r="D36" s="10" t="s">
        <v>32</v>
      </c>
      <c r="E36" s="10" t="s">
        <v>33</v>
      </c>
      <c r="F36" s="10" t="s">
        <v>116</v>
      </c>
      <c r="G36" s="28" t="s">
        <v>117</v>
      </c>
      <c r="H36" s="28" t="s">
        <v>118</v>
      </c>
      <c r="I36" s="2" t="s">
        <v>36</v>
      </c>
      <c r="J36" s="2" t="s">
        <v>37</v>
      </c>
      <c r="K36" s="28" t="s">
        <v>38</v>
      </c>
      <c r="L36" s="10" t="s">
        <v>39</v>
      </c>
      <c r="M36" s="10" t="s">
        <v>40</v>
      </c>
      <c r="N36" s="10" t="s">
        <v>41</v>
      </c>
      <c r="O36" s="10" t="s">
        <v>252</v>
      </c>
    </row>
    <row r="37" customFormat="false" ht="24.75" hidden="false" customHeight="false" outlineLevel="0" collapsed="false">
      <c r="A37" s="11" t="s">
        <v>341</v>
      </c>
      <c r="B37" s="16" t="s">
        <v>17</v>
      </c>
      <c r="C37" s="8" t="s">
        <v>44</v>
      </c>
      <c r="D37" s="8" t="n">
        <v>0.05</v>
      </c>
      <c r="E37" s="8" t="n">
        <v>0.05</v>
      </c>
      <c r="F37" s="49" t="n">
        <f aca="false">Patient!C7*IF(Patient!C2="Male",D37,E37)</f>
        <v>275.482733328961</v>
      </c>
      <c r="G37" s="16" t="s">
        <v>266</v>
      </c>
      <c r="H37" s="16"/>
      <c r="I37" s="48"/>
      <c r="J37" s="44" t="s">
        <v>342</v>
      </c>
      <c r="K37" s="46"/>
      <c r="L37" s="4" t="s">
        <v>343</v>
      </c>
      <c r="M37" s="4"/>
      <c r="N37" s="4" t="s">
        <v>63</v>
      </c>
      <c r="O37" s="7" t="s">
        <v>344</v>
      </c>
    </row>
    <row r="38" customFormat="false" ht="36.75" hidden="false" customHeight="false" outlineLevel="0" collapsed="false">
      <c r="A38" s="11" t="s">
        <v>345</v>
      </c>
      <c r="B38" s="16" t="s">
        <v>302</v>
      </c>
      <c r="C38" s="8" t="s">
        <v>44</v>
      </c>
      <c r="D38" s="8" t="n">
        <v>1</v>
      </c>
      <c r="E38" s="8" t="n">
        <v>1</v>
      </c>
      <c r="F38" s="49" t="n">
        <f aca="false">Patient!C6*IF(Patient!C2="Male",D38,E38)/60</f>
        <v>93.3333333333333</v>
      </c>
      <c r="G38" s="16" t="s">
        <v>266</v>
      </c>
      <c r="H38" s="16"/>
      <c r="I38" s="48"/>
      <c r="J38" s="24" t="s">
        <v>346</v>
      </c>
      <c r="K38" s="46"/>
      <c r="L38" s="4" t="s">
        <v>343</v>
      </c>
      <c r="M38" s="4"/>
      <c r="N38" s="4" t="s">
        <v>63</v>
      </c>
      <c r="O38" s="7" t="s">
        <v>344</v>
      </c>
    </row>
    <row r="39" customFormat="false" ht="15" hidden="false" customHeight="false" outlineLevel="0" collapsed="false">
      <c r="A39" s="11" t="s">
        <v>347</v>
      </c>
      <c r="B39" s="16" t="s">
        <v>17</v>
      </c>
      <c r="C39" s="8" t="s">
        <v>44</v>
      </c>
      <c r="D39" s="8" t="n">
        <v>0.012</v>
      </c>
      <c r="E39" s="8" t="n">
        <v>0.012</v>
      </c>
      <c r="F39" s="49" t="n">
        <f aca="false">Patient!C7*IF(Patient!C2="Male",D39,E39)</f>
        <v>66.1158559989506</v>
      </c>
      <c r="G39" s="16" t="s">
        <v>266</v>
      </c>
      <c r="H39" s="16"/>
      <c r="I39" s="16"/>
      <c r="J39" s="24"/>
      <c r="K39" s="46"/>
      <c r="L39" s="4" t="s">
        <v>343</v>
      </c>
      <c r="M39" s="4"/>
      <c r="N39" s="4" t="s">
        <v>63</v>
      </c>
      <c r="O39" s="7" t="s">
        <v>344</v>
      </c>
    </row>
    <row r="40" customFormat="false" ht="15" hidden="false" customHeight="false" outlineLevel="0" collapsed="false">
      <c r="A40" s="11" t="s">
        <v>348</v>
      </c>
      <c r="B40" s="16" t="s">
        <v>302</v>
      </c>
      <c r="C40" s="8" t="s">
        <v>44</v>
      </c>
      <c r="D40" s="8" t="n">
        <v>0.12</v>
      </c>
      <c r="E40" s="8" t="n">
        <v>0.12</v>
      </c>
      <c r="F40" s="49" t="n">
        <f aca="false">Patient!C6*IF(Patient!C2="Male",D40,E40)/60</f>
        <v>11.2</v>
      </c>
      <c r="G40" s="16" t="s">
        <v>266</v>
      </c>
      <c r="H40" s="16"/>
      <c r="I40" s="16"/>
      <c r="J40" s="24"/>
      <c r="K40" s="46"/>
      <c r="L40" s="4" t="s">
        <v>343</v>
      </c>
      <c r="M40" s="4"/>
      <c r="N40" s="4" t="s">
        <v>63</v>
      </c>
      <c r="O40" s="7" t="s">
        <v>344</v>
      </c>
    </row>
    <row r="41" customFormat="false" ht="15" hidden="false" customHeight="false" outlineLevel="0" collapsed="false">
      <c r="A41" s="11" t="s">
        <v>349</v>
      </c>
      <c r="B41" s="16" t="s">
        <v>191</v>
      </c>
      <c r="C41" s="8" t="s">
        <v>44</v>
      </c>
      <c r="D41" s="8"/>
      <c r="E41" s="8"/>
      <c r="F41" s="19" t="n">
        <v>40</v>
      </c>
      <c r="G41" s="16" t="s">
        <v>350</v>
      </c>
      <c r="H41" s="16" t="n">
        <v>409</v>
      </c>
      <c r="I41" s="16"/>
      <c r="J41" s="51"/>
      <c r="K41" s="46"/>
      <c r="L41" s="4" t="s">
        <v>343</v>
      </c>
      <c r="M41" s="4"/>
      <c r="N41" s="4" t="s">
        <v>63</v>
      </c>
      <c r="O41" s="3"/>
    </row>
    <row r="42" customFormat="false" ht="15" hidden="false" customHeight="false" outlineLevel="0" collapsed="false">
      <c r="A42" s="11" t="s">
        <v>351</v>
      </c>
      <c r="B42" s="16" t="s">
        <v>17</v>
      </c>
      <c r="C42" s="8" t="s">
        <v>44</v>
      </c>
      <c r="D42" s="8" t="n">
        <v>0.07</v>
      </c>
      <c r="E42" s="8" t="n">
        <v>0.07</v>
      </c>
      <c r="F42" s="47" t="n">
        <f aca="false">Patient!C7*IF(Patient!C2="Male",D42,E42)</f>
        <v>385.675826660545</v>
      </c>
      <c r="G42" s="16" t="s">
        <v>266</v>
      </c>
      <c r="H42" s="16"/>
      <c r="I42" s="16"/>
      <c r="J42" s="44" t="s">
        <v>352</v>
      </c>
      <c r="K42" s="46"/>
      <c r="L42" s="4" t="s">
        <v>343</v>
      </c>
      <c r="M42" s="4"/>
      <c r="N42" s="4" t="s">
        <v>63</v>
      </c>
      <c r="O42" s="7" t="s">
        <v>344</v>
      </c>
    </row>
    <row r="43" customFormat="false" ht="15" hidden="false" customHeight="false" outlineLevel="0" collapsed="false">
      <c r="A43" s="11" t="s">
        <v>353</v>
      </c>
      <c r="B43" s="16" t="s">
        <v>302</v>
      </c>
      <c r="C43" s="8" t="s">
        <v>44</v>
      </c>
      <c r="D43" s="8" t="n">
        <v>0.05</v>
      </c>
      <c r="E43" s="8" t="n">
        <v>0.05</v>
      </c>
      <c r="F43" s="47" t="n">
        <f aca="false">Patient!C6*IF(Patient!C2="Male",D43,E43)/60</f>
        <v>4.66666666666667</v>
      </c>
      <c r="G43" s="16" t="s">
        <v>266</v>
      </c>
      <c r="H43" s="16"/>
      <c r="I43" s="16"/>
      <c r="J43" s="24"/>
      <c r="K43" s="46"/>
      <c r="L43" s="4" t="s">
        <v>343</v>
      </c>
      <c r="M43" s="4"/>
      <c r="N43" s="4" t="s">
        <v>63</v>
      </c>
      <c r="O43" s="7" t="s">
        <v>344</v>
      </c>
    </row>
    <row r="44" customFormat="false" ht="15" hidden="false" customHeight="false" outlineLevel="0" collapsed="false">
      <c r="A44" s="11" t="s">
        <v>354</v>
      </c>
      <c r="B44" s="16" t="s">
        <v>17</v>
      </c>
      <c r="C44" s="8" t="s">
        <v>44</v>
      </c>
      <c r="D44" s="8" t="n">
        <v>0.05</v>
      </c>
      <c r="E44" s="8" t="n">
        <v>0.085</v>
      </c>
      <c r="F44" s="47" t="n">
        <f aca="false">Patient!C7*IF(Patient!C2="Male",D44,E44)</f>
        <v>275.482733328961</v>
      </c>
      <c r="G44" s="16" t="s">
        <v>266</v>
      </c>
      <c r="H44" s="8"/>
      <c r="I44" s="8"/>
      <c r="J44" s="24"/>
      <c r="K44" s="46"/>
      <c r="L44" s="4" t="s">
        <v>343</v>
      </c>
      <c r="M44" s="4"/>
      <c r="N44" s="4" t="s">
        <v>63</v>
      </c>
      <c r="O44" s="7" t="s">
        <v>344</v>
      </c>
    </row>
    <row r="45" customFormat="false" ht="15" hidden="false" customHeight="false" outlineLevel="0" collapsed="false">
      <c r="A45" s="11" t="s">
        <v>355</v>
      </c>
      <c r="B45" s="16" t="s">
        <v>302</v>
      </c>
      <c r="C45" s="8" t="s">
        <v>44</v>
      </c>
      <c r="D45" s="8" t="n">
        <v>0.05</v>
      </c>
      <c r="E45" s="8" t="n">
        <v>0.085</v>
      </c>
      <c r="F45" s="47" t="n">
        <f aca="false">Patient!C6*IF(Patient!C2="Male",D45,E45)/60</f>
        <v>4.66666666666667</v>
      </c>
      <c r="G45" s="16" t="s">
        <v>266</v>
      </c>
      <c r="H45" s="16"/>
      <c r="I45" s="16"/>
      <c r="J45" s="24"/>
      <c r="K45" s="46"/>
      <c r="L45" s="4" t="s">
        <v>343</v>
      </c>
      <c r="M45" s="4"/>
      <c r="N45" s="4" t="s">
        <v>63</v>
      </c>
      <c r="O45" s="7" t="s">
        <v>344</v>
      </c>
    </row>
    <row r="46" customFormat="false" ht="15" hidden="false" customHeight="false" outlineLevel="0" collapsed="false">
      <c r="A46" s="11" t="s">
        <v>356</v>
      </c>
      <c r="B46" s="16" t="s">
        <v>17</v>
      </c>
      <c r="C46" s="8" t="s">
        <v>44</v>
      </c>
      <c r="D46" s="8" t="n">
        <v>0.02</v>
      </c>
      <c r="E46" s="8" t="n">
        <v>0.02</v>
      </c>
      <c r="F46" s="47" t="n">
        <f aca="false">Patient!C7*IF(Patient!C2="Male",D46,E46)</f>
        <v>110.193093331584</v>
      </c>
      <c r="G46" s="16" t="s">
        <v>266</v>
      </c>
      <c r="H46" s="52"/>
      <c r="I46" s="52"/>
      <c r="J46" s="24"/>
      <c r="K46" s="46"/>
      <c r="L46" s="4" t="s">
        <v>343</v>
      </c>
      <c r="M46" s="4"/>
      <c r="N46" s="4" t="s">
        <v>63</v>
      </c>
      <c r="O46" s="7" t="s">
        <v>344</v>
      </c>
    </row>
    <row r="47" customFormat="false" ht="15" hidden="false" customHeight="false" outlineLevel="0" collapsed="false">
      <c r="A47" s="11" t="s">
        <v>357</v>
      </c>
      <c r="B47" s="16" t="s">
        <v>302</v>
      </c>
      <c r="C47" s="8" t="s">
        <v>44</v>
      </c>
      <c r="D47" s="8" t="n">
        <v>0.19</v>
      </c>
      <c r="E47" s="8" t="n">
        <v>0.17</v>
      </c>
      <c r="F47" s="47" t="n">
        <f aca="false">Patient!C6*IF(Patient!C2="Male",D47,E47)/60</f>
        <v>17.7333333333333</v>
      </c>
      <c r="G47" s="16" t="s">
        <v>266</v>
      </c>
      <c r="H47" s="16"/>
      <c r="I47" s="16"/>
      <c r="J47" s="24"/>
      <c r="K47" s="46"/>
      <c r="L47" s="4" t="s">
        <v>343</v>
      </c>
      <c r="M47" s="4"/>
      <c r="N47" s="4" t="s">
        <v>63</v>
      </c>
      <c r="O47" s="7" t="s">
        <v>344</v>
      </c>
    </row>
    <row r="48" customFormat="false" ht="24.75" hidden="false" customHeight="false" outlineLevel="0" collapsed="false">
      <c r="A48" s="11" t="s">
        <v>358</v>
      </c>
      <c r="B48" s="16" t="s">
        <v>17</v>
      </c>
      <c r="C48" s="8" t="s">
        <v>44</v>
      </c>
      <c r="D48" s="8" t="n">
        <v>0.022</v>
      </c>
      <c r="E48" s="8" t="n">
        <v>0.022</v>
      </c>
      <c r="F48" s="47" t="n">
        <f aca="false">Patient!C7*IF(Patient!C2="Male",D48,E48)</f>
        <v>121.212402664743</v>
      </c>
      <c r="G48" s="16" t="s">
        <v>266</v>
      </c>
      <c r="H48" s="16"/>
      <c r="I48" s="16"/>
      <c r="J48" s="44" t="s">
        <v>359</v>
      </c>
      <c r="K48" s="46"/>
      <c r="L48" s="4" t="s">
        <v>343</v>
      </c>
      <c r="M48" s="4"/>
      <c r="N48" s="4" t="s">
        <v>63</v>
      </c>
      <c r="O48" s="7" t="s">
        <v>344</v>
      </c>
    </row>
    <row r="49" customFormat="false" ht="15" hidden="false" customHeight="false" outlineLevel="0" collapsed="false">
      <c r="A49" s="11" t="s">
        <v>360</v>
      </c>
      <c r="B49" s="16" t="s">
        <v>302</v>
      </c>
      <c r="C49" s="8" t="s">
        <v>44</v>
      </c>
      <c r="D49" s="8" t="n">
        <v>0.04</v>
      </c>
      <c r="E49" s="8" t="n">
        <v>0.05</v>
      </c>
      <c r="F49" s="47" t="n">
        <f aca="false">Patient!C6*IF(Patient!C2="Male",D49,E49)/60</f>
        <v>3.73333333333333</v>
      </c>
      <c r="G49" s="16" t="s">
        <v>266</v>
      </c>
      <c r="H49" s="16"/>
      <c r="I49" s="16"/>
      <c r="J49" s="24"/>
      <c r="K49" s="46"/>
      <c r="L49" s="4" t="s">
        <v>343</v>
      </c>
      <c r="M49" s="4"/>
      <c r="N49" s="4" t="s">
        <v>63</v>
      </c>
      <c r="O49" s="7" t="s">
        <v>344</v>
      </c>
    </row>
    <row r="50" customFormat="false" ht="36.75" hidden="false" customHeight="false" outlineLevel="0" collapsed="false">
      <c r="A50" s="11" t="s">
        <v>361</v>
      </c>
      <c r="B50" s="16" t="s">
        <v>17</v>
      </c>
      <c r="C50" s="8" t="s">
        <v>44</v>
      </c>
      <c r="D50" s="8" t="n">
        <v>0.02</v>
      </c>
      <c r="E50" s="8" t="n">
        <v>0.02</v>
      </c>
      <c r="F50" s="49" t="n">
        <f aca="false">Patient!C7*IF(Patient!C2="Male",D50,E50)</f>
        <v>110.193093331584</v>
      </c>
      <c r="G50" s="16" t="s">
        <v>266</v>
      </c>
      <c r="H50" s="16"/>
      <c r="I50" s="48"/>
      <c r="J50" s="44" t="s">
        <v>362</v>
      </c>
      <c r="K50" s="46"/>
      <c r="L50" s="4" t="s">
        <v>343</v>
      </c>
      <c r="M50" s="4"/>
      <c r="N50" s="4" t="s">
        <v>63</v>
      </c>
      <c r="O50" s="7" t="s">
        <v>344</v>
      </c>
    </row>
    <row r="51" customFormat="false" ht="15" hidden="false" customHeight="false" outlineLevel="0" collapsed="false">
      <c r="A51" s="11" t="s">
        <v>363</v>
      </c>
      <c r="B51" s="16" t="s">
        <v>302</v>
      </c>
      <c r="C51" s="8" t="s">
        <v>44</v>
      </c>
      <c r="D51" s="8" t="n">
        <v>0.015</v>
      </c>
      <c r="E51" s="8" t="n">
        <v>0.015</v>
      </c>
      <c r="F51" s="49" t="n">
        <f aca="false">Patient!C6*IF(Patient!C2="Male",D51,E51)/60</f>
        <v>1.4</v>
      </c>
      <c r="G51" s="16" t="s">
        <v>266</v>
      </c>
      <c r="H51" s="16"/>
      <c r="I51" s="48"/>
      <c r="J51" s="44" t="s">
        <v>364</v>
      </c>
      <c r="K51" s="46"/>
      <c r="L51" s="4" t="s">
        <v>343</v>
      </c>
      <c r="M51" s="4"/>
      <c r="N51" s="4"/>
      <c r="O51" s="7" t="s">
        <v>344</v>
      </c>
    </row>
    <row r="52" customFormat="false" ht="15" hidden="false" customHeight="false" outlineLevel="0" collapsed="false">
      <c r="A52" s="11" t="s">
        <v>365</v>
      </c>
      <c r="B52" s="16" t="s">
        <v>17</v>
      </c>
      <c r="C52" s="19" t="s">
        <v>366</v>
      </c>
      <c r="D52" s="19"/>
      <c r="E52" s="19"/>
      <c r="F52" s="8" t="s">
        <v>367</v>
      </c>
      <c r="G52" s="16" t="s">
        <v>368</v>
      </c>
      <c r="H52" s="16"/>
      <c r="I52" s="48"/>
      <c r="J52" s="24"/>
      <c r="K52" s="46"/>
      <c r="L52" s="4" t="s">
        <v>343</v>
      </c>
      <c r="M52" s="4"/>
      <c r="N52" s="4" t="s">
        <v>63</v>
      </c>
      <c r="O52" s="7" t="s">
        <v>344</v>
      </c>
    </row>
    <row r="53" customFormat="false" ht="15" hidden="false" customHeight="false" outlineLevel="0" collapsed="false">
      <c r="A53" s="11" t="s">
        <v>365</v>
      </c>
      <c r="B53" s="16" t="s">
        <v>17</v>
      </c>
      <c r="C53" s="19" t="s">
        <v>369</v>
      </c>
      <c r="D53" s="19"/>
      <c r="E53" s="19"/>
      <c r="F53" s="8" t="s">
        <v>370</v>
      </c>
      <c r="G53" s="16" t="s">
        <v>368</v>
      </c>
      <c r="H53" s="16"/>
      <c r="I53" s="48"/>
      <c r="J53" s="24"/>
      <c r="K53" s="46"/>
      <c r="L53" s="4" t="s">
        <v>343</v>
      </c>
      <c r="M53" s="4"/>
      <c r="N53" s="4" t="s">
        <v>63</v>
      </c>
      <c r="O53" s="7" t="s">
        <v>344</v>
      </c>
    </row>
    <row r="54" customFormat="false" ht="15" hidden="false" customHeight="false" outlineLevel="0" collapsed="false">
      <c r="A54" s="11" t="s">
        <v>371</v>
      </c>
      <c r="B54" s="16" t="s">
        <v>191</v>
      </c>
      <c r="C54" s="19" t="s">
        <v>366</v>
      </c>
      <c r="D54" s="19"/>
      <c r="E54" s="19"/>
      <c r="F54" s="8" t="s">
        <v>274</v>
      </c>
      <c r="G54" s="16" t="s">
        <v>275</v>
      </c>
      <c r="H54" s="16"/>
      <c r="I54" s="48"/>
      <c r="J54" s="24"/>
      <c r="K54" s="46"/>
      <c r="L54" s="4" t="s">
        <v>343</v>
      </c>
      <c r="M54" s="4"/>
      <c r="N54" s="4" t="s">
        <v>63</v>
      </c>
      <c r="O54" s="7" t="s">
        <v>344</v>
      </c>
    </row>
    <row r="55" customFormat="false" ht="48.75" hidden="false" customHeight="false" outlineLevel="0" collapsed="false">
      <c r="A55" s="11" t="s">
        <v>371</v>
      </c>
      <c r="B55" s="16" t="s">
        <v>191</v>
      </c>
      <c r="C55" s="19" t="s">
        <v>369</v>
      </c>
      <c r="D55" s="19"/>
      <c r="E55" s="19"/>
      <c r="F55" s="8" t="s">
        <v>334</v>
      </c>
      <c r="G55" s="16" t="s">
        <v>336</v>
      </c>
      <c r="H55" s="16" t="s">
        <v>337</v>
      </c>
      <c r="I55" s="48"/>
      <c r="J55" s="24" t="s">
        <v>338</v>
      </c>
      <c r="K55" s="46"/>
      <c r="L55" s="4" t="s">
        <v>343</v>
      </c>
      <c r="M55" s="4"/>
      <c r="N55" s="4" t="s">
        <v>63</v>
      </c>
      <c r="O55" s="7" t="s">
        <v>344</v>
      </c>
    </row>
    <row r="56" customFormat="false" ht="15" hidden="false" customHeight="false" outlineLevel="0" collapsed="false">
      <c r="A56" s="11" t="s">
        <v>372</v>
      </c>
      <c r="B56" s="16" t="s">
        <v>302</v>
      </c>
      <c r="C56" s="8" t="s">
        <v>44</v>
      </c>
      <c r="D56" s="8" t="n">
        <v>1</v>
      </c>
      <c r="E56" s="8" t="n">
        <v>1</v>
      </c>
      <c r="F56" s="8" t="n">
        <v>94.7</v>
      </c>
      <c r="G56" s="16" t="s">
        <v>266</v>
      </c>
      <c r="H56" s="16"/>
      <c r="I56" s="48"/>
      <c r="J56" s="24"/>
      <c r="K56" s="46"/>
      <c r="L56" s="4" t="s">
        <v>343</v>
      </c>
      <c r="M56" s="4"/>
      <c r="N56" s="4" t="s">
        <v>63</v>
      </c>
      <c r="O56" s="7" t="s">
        <v>344</v>
      </c>
    </row>
    <row r="57" customFormat="false" ht="24.75" hidden="false" customHeight="false" outlineLevel="0" collapsed="false">
      <c r="A57" s="11" t="s">
        <v>373</v>
      </c>
      <c r="B57" s="16" t="s">
        <v>17</v>
      </c>
      <c r="C57" s="8" t="s">
        <v>44</v>
      </c>
      <c r="D57" s="8"/>
      <c r="E57" s="8"/>
      <c r="F57" s="6" t="n">
        <f aca="false">F46*0.5</f>
        <v>55.0965466657922</v>
      </c>
      <c r="G57" s="25" t="s">
        <v>374</v>
      </c>
      <c r="H57" s="16"/>
      <c r="I57" s="48"/>
      <c r="J57" s="44" t="s">
        <v>375</v>
      </c>
      <c r="K57" s="46"/>
      <c r="L57" s="4" t="s">
        <v>343</v>
      </c>
      <c r="M57" s="4"/>
      <c r="N57" s="4" t="s">
        <v>63</v>
      </c>
      <c r="O57" s="7" t="s">
        <v>344</v>
      </c>
    </row>
    <row r="58" customFormat="false" ht="24.75" hidden="false" customHeight="false" outlineLevel="0" collapsed="false">
      <c r="A58" s="11" t="s">
        <v>376</v>
      </c>
      <c r="B58" s="16" t="s">
        <v>302</v>
      </c>
      <c r="C58" s="8" t="s">
        <v>44</v>
      </c>
      <c r="D58" s="8"/>
      <c r="E58" s="8"/>
      <c r="F58" s="47" t="n">
        <f aca="false">F47*0.5</f>
        <v>8.86666666666667</v>
      </c>
      <c r="G58" s="16" t="s">
        <v>266</v>
      </c>
      <c r="H58" s="16"/>
      <c r="I58" s="48"/>
      <c r="J58" s="24" t="s">
        <v>377</v>
      </c>
      <c r="K58" s="46"/>
      <c r="L58" s="4" t="s">
        <v>343</v>
      </c>
      <c r="M58" s="4"/>
      <c r="N58" s="4" t="s">
        <v>63</v>
      </c>
      <c r="O58" s="7" t="s">
        <v>344</v>
      </c>
    </row>
    <row r="59" customFormat="false" ht="36.75" hidden="false" customHeight="false" outlineLevel="0" collapsed="false">
      <c r="A59" s="11" t="s">
        <v>378</v>
      </c>
      <c r="B59" s="16" t="s">
        <v>17</v>
      </c>
      <c r="C59" s="8" t="s">
        <v>44</v>
      </c>
      <c r="D59" s="8" t="n">
        <v>0.04</v>
      </c>
      <c r="E59" s="8" t="n">
        <v>0.04</v>
      </c>
      <c r="F59" s="49" t="n">
        <f aca="false">Patient!C7*IF(Patient!C2="Male",D59,E59)</f>
        <v>220.386186663169</v>
      </c>
      <c r="G59" s="16" t="s">
        <v>266</v>
      </c>
      <c r="H59" s="16"/>
      <c r="I59" s="48"/>
      <c r="J59" s="44" t="s">
        <v>362</v>
      </c>
      <c r="K59" s="46"/>
      <c r="L59" s="4" t="s">
        <v>343</v>
      </c>
      <c r="M59" s="4"/>
      <c r="N59" s="4" t="s">
        <v>63</v>
      </c>
      <c r="O59" s="7" t="s">
        <v>344</v>
      </c>
    </row>
    <row r="60" customFormat="false" ht="15" hidden="false" customHeight="false" outlineLevel="0" collapsed="false">
      <c r="A60" s="11" t="s">
        <v>379</v>
      </c>
      <c r="B60" s="16" t="s">
        <v>302</v>
      </c>
      <c r="C60" s="8" t="s">
        <v>44</v>
      </c>
      <c r="D60" s="8" t="n">
        <v>0.0525</v>
      </c>
      <c r="E60" s="8" t="n">
        <v>0.0525</v>
      </c>
      <c r="F60" s="49" t="n">
        <f aca="false">Patient!C6*IF(Patient!C2="Male",D60,E60)/60</f>
        <v>4.9</v>
      </c>
      <c r="G60" s="16" t="s">
        <v>380</v>
      </c>
      <c r="H60" s="16"/>
      <c r="I60" s="48"/>
      <c r="J60" s="44" t="s">
        <v>381</v>
      </c>
      <c r="K60" s="46"/>
      <c r="L60" s="4" t="s">
        <v>343</v>
      </c>
      <c r="M60" s="4"/>
      <c r="N60" s="4"/>
      <c r="O60" s="7" t="s">
        <v>344</v>
      </c>
    </row>
    <row r="61" customFormat="false" ht="24.75" hidden="false" customHeight="false" outlineLevel="0" collapsed="false">
      <c r="A61" s="11" t="s">
        <v>382</v>
      </c>
      <c r="B61" s="16" t="s">
        <v>17</v>
      </c>
      <c r="C61" s="8" t="s">
        <v>44</v>
      </c>
      <c r="D61" s="8" t="n">
        <v>0.03</v>
      </c>
      <c r="E61" s="8" t="n">
        <v>0.03</v>
      </c>
      <c r="F61" s="49" t="n">
        <f aca="false">Patient!C10*Patient!C7*IF(Patient!C2="Male",D61,E61)</f>
        <v>66.1158559989506</v>
      </c>
      <c r="G61" s="16" t="s">
        <v>266</v>
      </c>
      <c r="H61" s="16"/>
      <c r="I61" s="48"/>
      <c r="J61" s="44" t="s">
        <v>383</v>
      </c>
      <c r="K61" s="46"/>
      <c r="L61" s="4" t="s">
        <v>343</v>
      </c>
      <c r="M61" s="4"/>
      <c r="N61" s="4" t="s">
        <v>63</v>
      </c>
      <c r="O61" s="7" t="s">
        <v>344</v>
      </c>
    </row>
    <row r="62" customFormat="false" ht="15" hidden="false" customHeight="false" outlineLevel="0" collapsed="false">
      <c r="A62" s="11" t="s">
        <v>384</v>
      </c>
      <c r="B62" s="16" t="s">
        <v>302</v>
      </c>
      <c r="C62" s="8" t="s">
        <v>44</v>
      </c>
      <c r="D62" s="8" t="n">
        <v>1</v>
      </c>
      <c r="E62" s="8" t="n">
        <v>1</v>
      </c>
      <c r="F62" s="49" t="n">
        <f aca="false">Patient!C10*Patient!C6*IF(Patient!C3="Male",D62,E62)/60</f>
        <v>37.3333333333333</v>
      </c>
      <c r="G62" s="16" t="s">
        <v>266</v>
      </c>
      <c r="H62" s="16"/>
      <c r="I62" s="48"/>
      <c r="J62" s="24"/>
      <c r="K62" s="46"/>
      <c r="L62" s="4" t="s">
        <v>343</v>
      </c>
      <c r="M62" s="4"/>
      <c r="N62" s="4" t="s">
        <v>63</v>
      </c>
      <c r="O62" s="7" t="s">
        <v>344</v>
      </c>
    </row>
    <row r="63" customFormat="false" ht="24.75" hidden="false" customHeight="false" outlineLevel="0" collapsed="false">
      <c r="A63" s="11" t="s">
        <v>385</v>
      </c>
      <c r="B63" s="16" t="s">
        <v>17</v>
      </c>
      <c r="C63" s="8" t="s">
        <v>44</v>
      </c>
      <c r="D63" s="8" t="n">
        <v>0.02</v>
      </c>
      <c r="E63" s="8" t="n">
        <v>0.02</v>
      </c>
      <c r="F63" s="49" t="n">
        <f aca="false">Patient!C10*Patient!C7*IF(Patient!C4="Male",D63,E63)</f>
        <v>44.0772373326338</v>
      </c>
      <c r="G63" s="16" t="s">
        <v>266</v>
      </c>
      <c r="H63" s="16"/>
      <c r="I63" s="48"/>
      <c r="J63" s="44" t="s">
        <v>383</v>
      </c>
      <c r="K63" s="46"/>
      <c r="L63" s="4" t="s">
        <v>343</v>
      </c>
      <c r="M63" s="4"/>
      <c r="N63" s="4" t="s">
        <v>63</v>
      </c>
      <c r="O63" s="7" t="s">
        <v>344</v>
      </c>
    </row>
    <row r="64" customFormat="false" ht="15" hidden="false" customHeight="false" outlineLevel="0" collapsed="false">
      <c r="A64" s="11" t="s">
        <v>386</v>
      </c>
      <c r="B64" s="16" t="s">
        <v>302</v>
      </c>
      <c r="C64" s="8" t="s">
        <v>44</v>
      </c>
      <c r="D64" s="8" t="n">
        <v>1</v>
      </c>
      <c r="E64" s="8" t="n">
        <v>1</v>
      </c>
      <c r="F64" s="49" t="n">
        <f aca="false">Patient!C10*Patient!C6*IF(Patient!C5="Male",D64,E64)/60</f>
        <v>37.3333333333333</v>
      </c>
      <c r="G64" s="16" t="s">
        <v>266</v>
      </c>
      <c r="H64" s="16"/>
      <c r="I64" s="48"/>
      <c r="J64" s="24"/>
      <c r="K64" s="46"/>
      <c r="L64" s="4" t="s">
        <v>343</v>
      </c>
      <c r="M64" s="4"/>
      <c r="N64" s="4" t="s">
        <v>63</v>
      </c>
      <c r="O64" s="7" t="s">
        <v>344</v>
      </c>
    </row>
    <row r="65" customFormat="false" ht="24.75" hidden="false" customHeight="false" outlineLevel="0" collapsed="false">
      <c r="A65" s="11" t="s">
        <v>387</v>
      </c>
      <c r="B65" s="16" t="s">
        <v>17</v>
      </c>
      <c r="C65" s="8" t="s">
        <v>44</v>
      </c>
      <c r="D65" s="8" t="n">
        <v>0.055</v>
      </c>
      <c r="E65" s="8" t="n">
        <v>0.055</v>
      </c>
      <c r="F65" s="49" t="n">
        <f aca="false">Patient!C10*Patient!C7*IF(Patient!C6="Male",D65,E65)</f>
        <v>121.212402664743</v>
      </c>
      <c r="G65" s="16" t="s">
        <v>266</v>
      </c>
      <c r="H65" s="16"/>
      <c r="I65" s="48"/>
      <c r="J65" s="44" t="s">
        <v>383</v>
      </c>
      <c r="K65" s="46"/>
      <c r="L65" s="4" t="s">
        <v>343</v>
      </c>
      <c r="M65" s="4"/>
      <c r="N65" s="4" t="s">
        <v>63</v>
      </c>
      <c r="O65" s="7" t="s">
        <v>344</v>
      </c>
    </row>
    <row r="66" customFormat="false" ht="15" hidden="false" customHeight="false" outlineLevel="0" collapsed="false">
      <c r="A66" s="11" t="s">
        <v>388</v>
      </c>
      <c r="B66" s="16" t="s">
        <v>302</v>
      </c>
      <c r="C66" s="8" t="s">
        <v>44</v>
      </c>
      <c r="D66" s="8" t="n">
        <v>1</v>
      </c>
      <c r="E66" s="8" t="n">
        <v>1</v>
      </c>
      <c r="F66" s="49" t="n">
        <f aca="false">Patient!C10*Patient!C6*IF(Patient!C7="Male",D66,E66)/60</f>
        <v>37.3333333333333</v>
      </c>
      <c r="G66" s="16" t="s">
        <v>266</v>
      </c>
      <c r="H66" s="16"/>
      <c r="I66" s="48"/>
      <c r="J66" s="24"/>
      <c r="K66" s="46"/>
      <c r="L66" s="4" t="s">
        <v>343</v>
      </c>
      <c r="M66" s="4"/>
      <c r="N66" s="4" t="s">
        <v>63</v>
      </c>
      <c r="O66" s="7" t="s">
        <v>344</v>
      </c>
    </row>
    <row r="67" customFormat="false" ht="24.75" hidden="false" customHeight="false" outlineLevel="0" collapsed="false">
      <c r="A67" s="11" t="s">
        <v>389</v>
      </c>
      <c r="B67" s="16" t="s">
        <v>17</v>
      </c>
      <c r="C67" s="8" t="s">
        <v>44</v>
      </c>
      <c r="D67" s="8" t="n">
        <v>0.1</v>
      </c>
      <c r="E67" s="8" t="n">
        <v>0.1</v>
      </c>
      <c r="F67" s="47" t="n">
        <f aca="false">Patient!C7*IF(Patient!C2="Male",D67,E67)</f>
        <v>550.965466657922</v>
      </c>
      <c r="G67" s="16" t="s">
        <v>266</v>
      </c>
      <c r="H67" s="16"/>
      <c r="I67" s="16"/>
      <c r="J67" s="44" t="s">
        <v>390</v>
      </c>
      <c r="K67" s="46"/>
      <c r="L67" s="4" t="s">
        <v>343</v>
      </c>
      <c r="M67" s="4"/>
      <c r="N67" s="4" t="s">
        <v>63</v>
      </c>
      <c r="O67" s="7" t="s">
        <v>344</v>
      </c>
    </row>
    <row r="68" customFormat="false" ht="15" hidden="false" customHeight="false" outlineLevel="0" collapsed="false">
      <c r="A68" s="11" t="s">
        <v>391</v>
      </c>
      <c r="B68" s="16" t="s">
        <v>302</v>
      </c>
      <c r="C68" s="8" t="s">
        <v>44</v>
      </c>
      <c r="D68" s="8" t="n">
        <v>0.255</v>
      </c>
      <c r="E68" s="8" t="n">
        <v>0.27</v>
      </c>
      <c r="F68" s="47" t="n">
        <f aca="false">Patient!C6*IF(Patient!C2="Male",D68,E68)/60</f>
        <v>23.8</v>
      </c>
      <c r="G68" s="16" t="s">
        <v>15</v>
      </c>
      <c r="H68" s="16" t="s">
        <v>392</v>
      </c>
      <c r="I68" s="16"/>
      <c r="J68" s="24" t="s">
        <v>393</v>
      </c>
      <c r="K68" s="46"/>
      <c r="L68" s="4" t="s">
        <v>343</v>
      </c>
      <c r="M68" s="4"/>
      <c r="N68" s="4" t="s">
        <v>63</v>
      </c>
      <c r="O68" s="7" t="s">
        <v>344</v>
      </c>
    </row>
    <row r="69" customFormat="false" ht="15" hidden="false" customHeight="false" outlineLevel="0" collapsed="false">
      <c r="A69" s="11" t="s">
        <v>394</v>
      </c>
      <c r="B69" s="16" t="s">
        <v>17</v>
      </c>
      <c r="C69" s="8" t="s">
        <v>44</v>
      </c>
      <c r="D69" s="8" t="n">
        <v>0.14</v>
      </c>
      <c r="E69" s="8" t="n">
        <v>0.105</v>
      </c>
      <c r="F69" s="49" t="n">
        <f aca="false">Patient!C7*IF(Patient!C2="Male",D69,E69)</f>
        <v>771.351653321091</v>
      </c>
      <c r="G69" s="16" t="s">
        <v>266</v>
      </c>
      <c r="H69" s="16"/>
      <c r="I69" s="16"/>
      <c r="J69" s="44" t="s">
        <v>395</v>
      </c>
      <c r="K69" s="46"/>
      <c r="L69" s="4" t="s">
        <v>343</v>
      </c>
      <c r="M69" s="4"/>
      <c r="N69" s="4" t="s">
        <v>63</v>
      </c>
      <c r="O69" s="7" t="s">
        <v>344</v>
      </c>
    </row>
    <row r="70" customFormat="false" ht="15" hidden="false" customHeight="false" outlineLevel="0" collapsed="false">
      <c r="A70" s="11" t="s">
        <v>396</v>
      </c>
      <c r="B70" s="16" t="s">
        <v>302</v>
      </c>
      <c r="C70" s="8" t="s">
        <v>44</v>
      </c>
      <c r="D70" s="8" t="n">
        <v>0.17</v>
      </c>
      <c r="E70" s="8" t="n">
        <v>0.12</v>
      </c>
      <c r="F70" s="49" t="n">
        <f aca="false">Patient!C6*IF(Patient!C2="Male",D70,E70)/60</f>
        <v>15.8666666666667</v>
      </c>
      <c r="G70" s="16" t="s">
        <v>266</v>
      </c>
      <c r="H70" s="16"/>
      <c r="I70" s="16"/>
      <c r="J70" s="24"/>
      <c r="K70" s="46"/>
      <c r="L70" s="4" t="s">
        <v>343</v>
      </c>
      <c r="M70" s="4"/>
      <c r="N70" s="4" t="s">
        <v>63</v>
      </c>
      <c r="O70" s="7" t="s">
        <v>344</v>
      </c>
    </row>
    <row r="71" customFormat="false" ht="15" hidden="false" customHeight="false" outlineLevel="0" collapsed="false">
      <c r="A71" s="11" t="s">
        <v>397</v>
      </c>
      <c r="B71" s="16" t="s">
        <v>17</v>
      </c>
      <c r="C71" s="8" t="s">
        <v>44</v>
      </c>
      <c r="D71" s="8" t="n">
        <v>0.01</v>
      </c>
      <c r="E71" s="8" t="n">
        <v>0.01</v>
      </c>
      <c r="F71" s="49" t="n">
        <f aca="false">Patient!C7*IF(Patient!C2="Male",D71,E71)</f>
        <v>55.0965466657922</v>
      </c>
      <c r="G71" s="16" t="s">
        <v>266</v>
      </c>
      <c r="H71" s="16"/>
      <c r="I71" s="48"/>
      <c r="J71" s="44" t="s">
        <v>398</v>
      </c>
      <c r="K71" s="46"/>
      <c r="L71" s="4" t="s">
        <v>343</v>
      </c>
      <c r="M71" s="4"/>
      <c r="N71" s="4" t="s">
        <v>63</v>
      </c>
      <c r="O71" s="7" t="s">
        <v>344</v>
      </c>
    </row>
    <row r="72" customFormat="false" ht="15" hidden="false" customHeight="false" outlineLevel="0" collapsed="false">
      <c r="A72" s="11" t="s">
        <v>399</v>
      </c>
      <c r="B72" s="16" t="s">
        <v>302</v>
      </c>
      <c r="C72" s="8" t="s">
        <v>44</v>
      </c>
      <c r="D72" s="8" t="n">
        <v>0.04</v>
      </c>
      <c r="E72" s="8" t="n">
        <v>0.05</v>
      </c>
      <c r="F72" s="49" t="n">
        <f aca="false">Patient!C6*IF(Patient!C2="Male",D72,E72)/60</f>
        <v>3.73333333333333</v>
      </c>
      <c r="G72" s="16" t="s">
        <v>266</v>
      </c>
      <c r="H72" s="16"/>
      <c r="I72" s="48"/>
      <c r="J72" s="24"/>
      <c r="K72" s="46"/>
      <c r="L72" s="4" t="s">
        <v>343</v>
      </c>
      <c r="M72" s="4"/>
      <c r="N72" s="4" t="s">
        <v>63</v>
      </c>
      <c r="O72" s="7" t="s">
        <v>344</v>
      </c>
    </row>
    <row r="73" customFormat="false" ht="24.75" hidden="false" customHeight="false" outlineLevel="0" collapsed="false">
      <c r="A73" s="11" t="s">
        <v>400</v>
      </c>
      <c r="B73" s="16" t="s">
        <v>17</v>
      </c>
      <c r="C73" s="8" t="s">
        <v>44</v>
      </c>
      <c r="D73" s="8" t="n">
        <v>0.03</v>
      </c>
      <c r="E73" s="8" t="n">
        <v>0.03</v>
      </c>
      <c r="F73" s="49" t="n">
        <f aca="false">Patient!C7*IF(Patient!C19="Male",D73,E73)</f>
        <v>165.289639997377</v>
      </c>
      <c r="G73" s="16" t="s">
        <v>266</v>
      </c>
      <c r="H73" s="16"/>
      <c r="I73" s="48"/>
      <c r="J73" s="44" t="s">
        <v>383</v>
      </c>
      <c r="K73" s="46"/>
      <c r="L73" s="4" t="s">
        <v>343</v>
      </c>
      <c r="M73" s="4"/>
      <c r="N73" s="4" t="s">
        <v>63</v>
      </c>
      <c r="O73" s="7" t="s">
        <v>344</v>
      </c>
    </row>
    <row r="74" customFormat="false" ht="15" hidden="false" customHeight="false" outlineLevel="0" collapsed="false">
      <c r="A74" s="11" t="s">
        <v>401</v>
      </c>
      <c r="B74" s="16" t="s">
        <v>302</v>
      </c>
      <c r="C74" s="8" t="s">
        <v>44</v>
      </c>
      <c r="D74" s="8" t="n">
        <v>1</v>
      </c>
      <c r="E74" s="8" t="n">
        <v>1</v>
      </c>
      <c r="F74" s="49" t="e">
        <f aca="false">Patient!C6*IF(patient!#ref!="Male",D74,E74)/60</f>
        <v>#NAME?</v>
      </c>
      <c r="G74" s="16" t="s">
        <v>266</v>
      </c>
      <c r="H74" s="16"/>
      <c r="I74" s="48"/>
      <c r="J74" s="24"/>
      <c r="K74" s="46"/>
      <c r="L74" s="4" t="s">
        <v>343</v>
      </c>
      <c r="M74" s="4"/>
      <c r="N74" s="4" t="s">
        <v>63</v>
      </c>
      <c r="O74" s="7" t="s">
        <v>344</v>
      </c>
    </row>
    <row r="75" customFormat="false" ht="15" hidden="false" customHeight="false" outlineLevel="0" collapsed="false">
      <c r="A75" s="11" t="s">
        <v>402</v>
      </c>
      <c r="B75" s="16" t="s">
        <v>191</v>
      </c>
      <c r="C75" s="19" t="s">
        <v>366</v>
      </c>
      <c r="D75" s="4"/>
      <c r="E75" s="4"/>
      <c r="F75" s="8" t="s">
        <v>274</v>
      </c>
      <c r="G75" s="16" t="s">
        <v>83</v>
      </c>
      <c r="H75" s="16" t="s">
        <v>263</v>
      </c>
      <c r="I75" s="48"/>
      <c r="J75" s="24"/>
      <c r="K75" s="46"/>
      <c r="L75" s="4" t="s">
        <v>343</v>
      </c>
      <c r="M75" s="4"/>
      <c r="N75" s="4" t="s">
        <v>63</v>
      </c>
      <c r="O75" s="7" t="s">
        <v>344</v>
      </c>
    </row>
    <row r="76" customFormat="false" ht="15" hidden="false" customHeight="false" outlineLevel="0" collapsed="false">
      <c r="A76" s="11" t="s">
        <v>402</v>
      </c>
      <c r="B76" s="16" t="s">
        <v>191</v>
      </c>
      <c r="C76" s="19" t="s">
        <v>369</v>
      </c>
      <c r="D76" s="4"/>
      <c r="E76" s="4"/>
      <c r="F76" s="8" t="s">
        <v>317</v>
      </c>
      <c r="G76" s="16" t="s">
        <v>83</v>
      </c>
      <c r="H76" s="16" t="s">
        <v>263</v>
      </c>
      <c r="I76" s="48"/>
      <c r="J76" s="24"/>
      <c r="K76" s="46"/>
      <c r="L76" s="4" t="s">
        <v>343</v>
      </c>
      <c r="M76" s="4"/>
      <c r="N76" s="4" t="s">
        <v>63</v>
      </c>
      <c r="O76" s="7" t="s">
        <v>344</v>
      </c>
    </row>
    <row r="77" customFormat="false" ht="24.75" hidden="false" customHeight="false" outlineLevel="0" collapsed="false">
      <c r="A77" s="11" t="s">
        <v>403</v>
      </c>
      <c r="B77" s="16" t="s">
        <v>17</v>
      </c>
      <c r="C77" s="8" t="s">
        <v>44</v>
      </c>
      <c r="D77" s="8" t="n">
        <v>0.02</v>
      </c>
      <c r="E77" s="8" t="n">
        <v>0.02</v>
      </c>
      <c r="F77" s="49" t="e">
        <f aca="false">Patient!C7*IF(patient!#ref!="Male",D77,E77)</f>
        <v>#NAME?</v>
      </c>
      <c r="G77" s="16" t="s">
        <v>266</v>
      </c>
      <c r="H77" s="16"/>
      <c r="I77" s="48"/>
      <c r="J77" s="44" t="s">
        <v>383</v>
      </c>
      <c r="K77" s="46"/>
      <c r="L77" s="4" t="s">
        <v>343</v>
      </c>
      <c r="M77" s="4"/>
      <c r="N77" s="4" t="s">
        <v>63</v>
      </c>
      <c r="O77" s="7" t="s">
        <v>344</v>
      </c>
    </row>
    <row r="78" customFormat="false" ht="15" hidden="false" customHeight="false" outlineLevel="0" collapsed="false">
      <c r="A78" s="11" t="s">
        <v>404</v>
      </c>
      <c r="B78" s="16" t="s">
        <v>302</v>
      </c>
      <c r="C78" s="8" t="s">
        <v>44</v>
      </c>
      <c r="D78" s="8" t="n">
        <v>1</v>
      </c>
      <c r="E78" s="8" t="n">
        <v>1</v>
      </c>
      <c r="F78" s="49" t="n">
        <f aca="false">Patient!C6*IF(Patient!C20="Male",D78,E78)/60</f>
        <v>93.3333333333333</v>
      </c>
      <c r="G78" s="16" t="s">
        <v>266</v>
      </c>
      <c r="H78" s="16"/>
      <c r="I78" s="48"/>
      <c r="J78" s="24"/>
      <c r="K78" s="46"/>
      <c r="L78" s="4" t="s">
        <v>343</v>
      </c>
      <c r="M78" s="4"/>
      <c r="N78" s="4" t="s">
        <v>63</v>
      </c>
      <c r="O78" s="7" t="s">
        <v>344</v>
      </c>
    </row>
    <row r="79" customFormat="false" ht="15" hidden="false" customHeight="false" outlineLevel="0" collapsed="false">
      <c r="A79" s="11" t="s">
        <v>405</v>
      </c>
      <c r="B79" s="16" t="s">
        <v>191</v>
      </c>
      <c r="C79" s="19" t="s">
        <v>44</v>
      </c>
      <c r="D79" s="4"/>
      <c r="E79" s="4"/>
      <c r="F79" s="8" t="s">
        <v>274</v>
      </c>
      <c r="G79" s="16" t="s">
        <v>83</v>
      </c>
      <c r="H79" s="16" t="s">
        <v>263</v>
      </c>
      <c r="I79" s="48"/>
      <c r="J79" s="24" t="s">
        <v>406</v>
      </c>
      <c r="K79" s="46"/>
      <c r="L79" s="4" t="s">
        <v>343</v>
      </c>
      <c r="M79" s="4"/>
      <c r="N79" s="4" t="s">
        <v>63</v>
      </c>
      <c r="O79" s="7" t="s">
        <v>344</v>
      </c>
    </row>
    <row r="80" customFormat="false" ht="24.75" hidden="false" customHeight="false" outlineLevel="0" collapsed="false">
      <c r="A80" s="11" t="s">
        <v>407</v>
      </c>
      <c r="B80" s="16" t="s">
        <v>17</v>
      </c>
      <c r="C80" s="8" t="s">
        <v>44</v>
      </c>
      <c r="D80" s="8" t="n">
        <v>0.055</v>
      </c>
      <c r="E80" s="8" t="n">
        <v>0.055</v>
      </c>
      <c r="F80" s="49" t="n">
        <f aca="false">Patient!C7*IF(Patient!C22="Male",D80,E80)</f>
        <v>303.031006661857</v>
      </c>
      <c r="G80" s="16" t="s">
        <v>266</v>
      </c>
      <c r="H80" s="16"/>
      <c r="I80" s="48"/>
      <c r="J80" s="44" t="s">
        <v>383</v>
      </c>
      <c r="K80" s="46"/>
      <c r="L80" s="4" t="s">
        <v>343</v>
      </c>
      <c r="M80" s="4"/>
      <c r="N80" s="4" t="s">
        <v>63</v>
      </c>
      <c r="O80" s="7" t="s">
        <v>344</v>
      </c>
    </row>
    <row r="81" customFormat="false" ht="15" hidden="false" customHeight="false" outlineLevel="0" collapsed="false">
      <c r="A81" s="11" t="s">
        <v>408</v>
      </c>
      <c r="B81" s="16" t="s">
        <v>302</v>
      </c>
      <c r="C81" s="8" t="s">
        <v>44</v>
      </c>
      <c r="D81" s="8" t="n">
        <v>1</v>
      </c>
      <c r="E81" s="8" t="n">
        <v>1</v>
      </c>
      <c r="F81" s="49" t="n">
        <f aca="false">Patient!C6*IF(Patient!C23="Male",D81,E81)/60</f>
        <v>93.3333333333333</v>
      </c>
      <c r="G81" s="16" t="s">
        <v>266</v>
      </c>
      <c r="H81" s="16"/>
      <c r="I81" s="48"/>
      <c r="J81" s="24"/>
      <c r="K81" s="46"/>
      <c r="L81" s="4" t="s">
        <v>343</v>
      </c>
      <c r="M81" s="4"/>
      <c r="N81" s="4" t="s">
        <v>63</v>
      </c>
      <c r="O81" s="7" t="s">
        <v>344</v>
      </c>
    </row>
    <row r="82" customFormat="false" ht="36.75" hidden="false" customHeight="false" outlineLevel="0" collapsed="false">
      <c r="A82" s="11" t="s">
        <v>409</v>
      </c>
      <c r="B82" s="16" t="s">
        <v>191</v>
      </c>
      <c r="C82" s="19" t="s">
        <v>44</v>
      </c>
      <c r="D82" s="19"/>
      <c r="E82" s="19"/>
      <c r="F82" s="8" t="s">
        <v>274</v>
      </c>
      <c r="G82" s="16" t="s">
        <v>83</v>
      </c>
      <c r="H82" s="16" t="s">
        <v>263</v>
      </c>
      <c r="I82" s="48"/>
      <c r="J82" s="24" t="s">
        <v>410</v>
      </c>
      <c r="K82" s="46"/>
      <c r="L82" s="4" t="s">
        <v>343</v>
      </c>
      <c r="M82" s="4"/>
      <c r="N82" s="4" t="s">
        <v>63</v>
      </c>
      <c r="O82" s="7" t="s">
        <v>344</v>
      </c>
    </row>
    <row r="83" customFormat="false" ht="36.75" hidden="false" customHeight="false" outlineLevel="0" collapsed="false">
      <c r="A83" s="11" t="s">
        <v>411</v>
      </c>
      <c r="B83" s="16" t="s">
        <v>17</v>
      </c>
      <c r="C83" s="8" t="s">
        <v>44</v>
      </c>
      <c r="D83" s="8" t="n">
        <v>0.02</v>
      </c>
      <c r="E83" s="8" t="n">
        <v>0.02</v>
      </c>
      <c r="F83" s="49" t="n">
        <f aca="false">Patient!C7*IF(Patient!C2="Male",D83,E83)</f>
        <v>110.193093331584</v>
      </c>
      <c r="G83" s="16" t="s">
        <v>266</v>
      </c>
      <c r="H83" s="16"/>
      <c r="I83" s="48"/>
      <c r="J83" s="44" t="s">
        <v>362</v>
      </c>
      <c r="K83" s="46"/>
      <c r="L83" s="4" t="s">
        <v>343</v>
      </c>
      <c r="M83" s="4"/>
      <c r="N83" s="4" t="s">
        <v>63</v>
      </c>
      <c r="O83" s="7" t="s">
        <v>344</v>
      </c>
    </row>
    <row r="84" customFormat="false" ht="15" hidden="false" customHeight="false" outlineLevel="0" collapsed="false">
      <c r="A84" s="11" t="s">
        <v>412</v>
      </c>
      <c r="B84" s="16" t="s">
        <v>302</v>
      </c>
      <c r="C84" s="8" t="s">
        <v>44</v>
      </c>
      <c r="D84" s="8" t="n">
        <v>0.015</v>
      </c>
      <c r="E84" s="8" t="n">
        <v>0.015</v>
      </c>
      <c r="F84" s="49" t="n">
        <f aca="false">Patient!C6*IF(Patient!C2="Male",D84,E84)/60</f>
        <v>1.4</v>
      </c>
      <c r="G84" s="16" t="s">
        <v>413</v>
      </c>
      <c r="H84" s="16"/>
      <c r="I84" s="48"/>
      <c r="J84" s="44" t="s">
        <v>364</v>
      </c>
      <c r="K84" s="46"/>
      <c r="L84" s="4" t="s">
        <v>343</v>
      </c>
      <c r="M84" s="4"/>
      <c r="N84" s="4"/>
      <c r="O84" s="7" t="s">
        <v>344</v>
      </c>
    </row>
    <row r="85" customFormat="false" ht="60.75" hidden="false" customHeight="false" outlineLevel="0" collapsed="false">
      <c r="A85" s="11" t="s">
        <v>414</v>
      </c>
      <c r="B85" s="16" t="s">
        <v>17</v>
      </c>
      <c r="C85" s="19" t="s">
        <v>366</v>
      </c>
      <c r="D85" s="19"/>
      <c r="E85" s="19"/>
      <c r="F85" s="8" t="s">
        <v>415</v>
      </c>
      <c r="G85" s="16" t="s">
        <v>416</v>
      </c>
      <c r="H85" s="16"/>
      <c r="I85" s="48"/>
      <c r="J85" s="44" t="s">
        <v>417</v>
      </c>
      <c r="K85" s="46"/>
      <c r="L85" s="4" t="s">
        <v>343</v>
      </c>
      <c r="M85" s="4"/>
      <c r="N85" s="4" t="s">
        <v>63</v>
      </c>
      <c r="O85" s="7" t="s">
        <v>344</v>
      </c>
    </row>
    <row r="86" customFormat="false" ht="24" hidden="false" customHeight="false" outlineLevel="0" collapsed="false">
      <c r="A86" s="11" t="s">
        <v>414</v>
      </c>
      <c r="B86" s="16" t="s">
        <v>17</v>
      </c>
      <c r="C86" s="19" t="s">
        <v>369</v>
      </c>
      <c r="D86" s="19"/>
      <c r="E86" s="19"/>
      <c r="F86" s="8" t="s">
        <v>418</v>
      </c>
      <c r="G86" s="16" t="s">
        <v>416</v>
      </c>
      <c r="H86" s="16"/>
      <c r="I86" s="48"/>
      <c r="J86" s="24"/>
      <c r="K86" s="46"/>
      <c r="L86" s="4" t="s">
        <v>343</v>
      </c>
      <c r="M86" s="4"/>
      <c r="N86" s="4" t="s">
        <v>63</v>
      </c>
      <c r="O86" s="7" t="s">
        <v>344</v>
      </c>
    </row>
    <row r="87" customFormat="false" ht="36.75" hidden="false" customHeight="false" outlineLevel="0" collapsed="false">
      <c r="A87" s="11" t="s">
        <v>419</v>
      </c>
      <c r="B87" s="16" t="s">
        <v>191</v>
      </c>
      <c r="C87" s="19" t="s">
        <v>366</v>
      </c>
      <c r="D87" s="19"/>
      <c r="E87" s="19"/>
      <c r="F87" s="8" t="s">
        <v>277</v>
      </c>
      <c r="G87" s="16" t="s">
        <v>275</v>
      </c>
      <c r="H87" s="16"/>
      <c r="I87" s="48"/>
      <c r="J87" s="24" t="s">
        <v>278</v>
      </c>
      <c r="K87" s="46"/>
      <c r="L87" s="4" t="s">
        <v>343</v>
      </c>
      <c r="M87" s="4"/>
      <c r="N87" s="4" t="s">
        <v>63</v>
      </c>
      <c r="O87" s="7" t="s">
        <v>344</v>
      </c>
    </row>
    <row r="88" customFormat="false" ht="15" hidden="false" customHeight="false" outlineLevel="0" collapsed="false">
      <c r="A88" s="11" t="s">
        <v>419</v>
      </c>
      <c r="B88" s="16" t="s">
        <v>191</v>
      </c>
      <c r="C88" s="19" t="s">
        <v>369</v>
      </c>
      <c r="D88" s="19"/>
      <c r="E88" s="19"/>
      <c r="F88" s="8" t="s">
        <v>317</v>
      </c>
      <c r="G88" s="16" t="s">
        <v>275</v>
      </c>
      <c r="H88" s="16"/>
      <c r="I88" s="48"/>
      <c r="J88" s="24"/>
      <c r="K88" s="46"/>
      <c r="L88" s="4" t="s">
        <v>343</v>
      </c>
      <c r="M88" s="4"/>
      <c r="N88" s="4" t="s">
        <v>63</v>
      </c>
      <c r="O88" s="7" t="s">
        <v>344</v>
      </c>
    </row>
    <row r="89" customFormat="false" ht="15" hidden="false" customHeight="false" outlineLevel="0" collapsed="false">
      <c r="A89" s="11" t="s">
        <v>420</v>
      </c>
      <c r="B89" s="16" t="s">
        <v>302</v>
      </c>
      <c r="C89" s="8" t="s">
        <v>44</v>
      </c>
      <c r="D89" s="8"/>
      <c r="E89" s="8"/>
      <c r="F89" s="8" t="n">
        <v>94.7</v>
      </c>
      <c r="G89" s="16" t="s">
        <v>266</v>
      </c>
      <c r="H89" s="16"/>
      <c r="I89" s="48"/>
      <c r="J89" s="24"/>
      <c r="K89" s="46"/>
      <c r="L89" s="4" t="s">
        <v>343</v>
      </c>
      <c r="M89" s="4"/>
      <c r="N89" s="4" t="s">
        <v>63</v>
      </c>
      <c r="O89" s="7" t="s">
        <v>344</v>
      </c>
    </row>
    <row r="90" customFormat="false" ht="24.75" hidden="false" customHeight="false" outlineLevel="0" collapsed="false">
      <c r="A90" s="11" t="s">
        <v>421</v>
      </c>
      <c r="B90" s="16" t="s">
        <v>17</v>
      </c>
      <c r="C90" s="8" t="s">
        <v>44</v>
      </c>
      <c r="D90" s="8"/>
      <c r="E90" s="8"/>
      <c r="F90" s="6" t="n">
        <f aca="false">F46*0.5</f>
        <v>55.0965466657922</v>
      </c>
      <c r="G90" s="25" t="s">
        <v>374</v>
      </c>
      <c r="H90" s="16"/>
      <c r="I90" s="48"/>
      <c r="J90" s="44" t="s">
        <v>375</v>
      </c>
      <c r="K90" s="46"/>
      <c r="L90" s="4" t="s">
        <v>343</v>
      </c>
      <c r="M90" s="4"/>
      <c r="N90" s="4" t="s">
        <v>63</v>
      </c>
      <c r="O90" s="7" t="s">
        <v>344</v>
      </c>
    </row>
    <row r="91" customFormat="false" ht="24.75" hidden="false" customHeight="false" outlineLevel="0" collapsed="false">
      <c r="A91" s="11" t="s">
        <v>422</v>
      </c>
      <c r="B91" s="16" t="s">
        <v>302</v>
      </c>
      <c r="C91" s="8" t="s">
        <v>44</v>
      </c>
      <c r="D91" s="8"/>
      <c r="E91" s="8"/>
      <c r="F91" s="47" t="n">
        <f aca="false">F47*0.5</f>
        <v>8.86666666666667</v>
      </c>
      <c r="G91" s="16" t="s">
        <v>266</v>
      </c>
      <c r="H91" s="16"/>
      <c r="I91" s="48"/>
      <c r="J91" s="24" t="s">
        <v>377</v>
      </c>
      <c r="K91" s="46"/>
      <c r="L91" s="4" t="s">
        <v>343</v>
      </c>
      <c r="M91" s="4"/>
      <c r="N91" s="4" t="s">
        <v>63</v>
      </c>
      <c r="O91" s="7" t="s">
        <v>344</v>
      </c>
    </row>
    <row r="92" customFormat="false" ht="36.75" hidden="false" customHeight="false" outlineLevel="0" collapsed="false">
      <c r="A92" s="11" t="s">
        <v>423</v>
      </c>
      <c r="B92" s="16" t="s">
        <v>17</v>
      </c>
      <c r="C92" s="8" t="s">
        <v>44</v>
      </c>
      <c r="D92" s="8" t="n">
        <v>0.04</v>
      </c>
      <c r="E92" s="8" t="n">
        <v>0.04</v>
      </c>
      <c r="F92" s="49" t="n">
        <f aca="false">Patient!C7*IF(Patient!C2="Male",D92,E92)</f>
        <v>220.386186663169</v>
      </c>
      <c r="G92" s="16" t="s">
        <v>266</v>
      </c>
      <c r="H92" s="16"/>
      <c r="I92" s="48"/>
      <c r="J92" s="44" t="s">
        <v>362</v>
      </c>
      <c r="K92" s="46"/>
      <c r="L92" s="4" t="s">
        <v>343</v>
      </c>
      <c r="M92" s="4"/>
      <c r="N92" s="4" t="s">
        <v>63</v>
      </c>
      <c r="O92" s="7" t="s">
        <v>344</v>
      </c>
    </row>
    <row r="93" customFormat="false" ht="15" hidden="false" customHeight="false" outlineLevel="0" collapsed="false">
      <c r="A93" s="11" t="s">
        <v>424</v>
      </c>
      <c r="B93" s="16" t="s">
        <v>302</v>
      </c>
      <c r="C93" s="8" t="s">
        <v>44</v>
      </c>
      <c r="D93" s="8" t="n">
        <v>0.0525</v>
      </c>
      <c r="E93" s="8" t="n">
        <v>0.0525</v>
      </c>
      <c r="F93" s="49" t="n">
        <f aca="false">Patient!C6*IF(Patient!C2="Male",D93,E93)/60</f>
        <v>4.9</v>
      </c>
      <c r="G93" s="16" t="s">
        <v>380</v>
      </c>
      <c r="H93" s="16"/>
      <c r="I93" s="48"/>
      <c r="J93" s="44" t="s">
        <v>381</v>
      </c>
      <c r="K93" s="46"/>
      <c r="L93" s="4" t="s">
        <v>343</v>
      </c>
      <c r="M93" s="4"/>
      <c r="N93" s="4"/>
      <c r="O93" s="7" t="s">
        <v>344</v>
      </c>
    </row>
    <row r="94" customFormat="false" ht="24.75" hidden="false" customHeight="false" outlineLevel="0" collapsed="false">
      <c r="A94" s="11" t="s">
        <v>425</v>
      </c>
      <c r="B94" s="16" t="s">
        <v>17</v>
      </c>
      <c r="C94" s="8" t="s">
        <v>44</v>
      </c>
      <c r="D94" s="8" t="n">
        <v>0.03</v>
      </c>
      <c r="E94" s="8" t="n">
        <v>0.03</v>
      </c>
      <c r="F94" s="49" t="n">
        <f aca="false">Patient!C9*Patient!C7*IF(Patient!C36="Male",D94,E94)</f>
        <v>99.1737839984259</v>
      </c>
      <c r="G94" s="16" t="s">
        <v>266</v>
      </c>
      <c r="H94" s="16"/>
      <c r="I94" s="48"/>
      <c r="J94" s="44" t="s">
        <v>383</v>
      </c>
      <c r="K94" s="46"/>
      <c r="L94" s="4" t="s">
        <v>343</v>
      </c>
      <c r="M94" s="4"/>
      <c r="N94" s="4" t="s">
        <v>63</v>
      </c>
      <c r="O94" s="7" t="s">
        <v>344</v>
      </c>
    </row>
    <row r="95" customFormat="false" ht="15" hidden="false" customHeight="false" outlineLevel="0" collapsed="false">
      <c r="A95" s="11" t="s">
        <v>426</v>
      </c>
      <c r="B95" s="16" t="s">
        <v>302</v>
      </c>
      <c r="C95" s="8" t="s">
        <v>44</v>
      </c>
      <c r="D95" s="8" t="n">
        <v>1</v>
      </c>
      <c r="E95" s="8" t="n">
        <v>1</v>
      </c>
      <c r="F95" s="8" t="n">
        <f aca="false">Patient!C9*Patient!C6*IF(Patient!C37="Male",D95,E95)/60</f>
        <v>56</v>
      </c>
      <c r="G95" s="16" t="s">
        <v>266</v>
      </c>
      <c r="H95" s="16"/>
      <c r="I95" s="48"/>
      <c r="J95" s="24"/>
      <c r="K95" s="46"/>
      <c r="L95" s="4" t="s">
        <v>343</v>
      </c>
      <c r="M95" s="4"/>
      <c r="N95" s="4" t="s">
        <v>63</v>
      </c>
      <c r="O95" s="7" t="s">
        <v>344</v>
      </c>
    </row>
    <row r="96" customFormat="false" ht="24.75" hidden="false" customHeight="false" outlineLevel="0" collapsed="false">
      <c r="A96" s="11" t="s">
        <v>427</v>
      </c>
      <c r="B96" s="16" t="s">
        <v>17</v>
      </c>
      <c r="C96" s="8" t="s">
        <v>44</v>
      </c>
      <c r="D96" s="8" t="n">
        <v>0.02</v>
      </c>
      <c r="E96" s="8" t="n">
        <v>0.02</v>
      </c>
      <c r="F96" s="49" t="n">
        <f aca="false">Patient!C9*Patient!C7*IF(Patient!C38="Male",D96,E96)</f>
        <v>66.1158559989506</v>
      </c>
      <c r="G96" s="16" t="s">
        <v>266</v>
      </c>
      <c r="H96" s="16"/>
      <c r="I96" s="48"/>
      <c r="J96" s="44" t="s">
        <v>383</v>
      </c>
      <c r="K96" s="46"/>
      <c r="L96" s="4" t="s">
        <v>343</v>
      </c>
      <c r="M96" s="4"/>
      <c r="N96" s="4" t="s">
        <v>63</v>
      </c>
      <c r="O96" s="7" t="s">
        <v>344</v>
      </c>
    </row>
    <row r="97" customFormat="false" ht="15" hidden="false" customHeight="false" outlineLevel="0" collapsed="false">
      <c r="A97" s="11" t="s">
        <v>428</v>
      </c>
      <c r="B97" s="16" t="s">
        <v>302</v>
      </c>
      <c r="C97" s="8" t="s">
        <v>44</v>
      </c>
      <c r="D97" s="8" t="n">
        <v>1</v>
      </c>
      <c r="E97" s="8" t="n">
        <v>1</v>
      </c>
      <c r="F97" s="8" t="n">
        <f aca="false">Patient!C9*Patient!C6*IF(Patient!C39="Male",D97,E97)/60</f>
        <v>56</v>
      </c>
      <c r="G97" s="16" t="s">
        <v>266</v>
      </c>
      <c r="H97" s="16"/>
      <c r="I97" s="48"/>
      <c r="J97" s="24"/>
      <c r="K97" s="46"/>
      <c r="L97" s="4" t="s">
        <v>343</v>
      </c>
      <c r="M97" s="4"/>
      <c r="N97" s="4" t="s">
        <v>63</v>
      </c>
      <c r="O97" s="7" t="s">
        <v>344</v>
      </c>
    </row>
    <row r="98" customFormat="false" ht="24.75" hidden="false" customHeight="false" outlineLevel="0" collapsed="false">
      <c r="A98" s="11" t="s">
        <v>429</v>
      </c>
      <c r="B98" s="16" t="s">
        <v>17</v>
      </c>
      <c r="C98" s="8" t="s">
        <v>44</v>
      </c>
      <c r="D98" s="8" t="n">
        <v>0.055</v>
      </c>
      <c r="E98" s="8" t="n">
        <v>0.055</v>
      </c>
      <c r="F98" s="49" t="n">
        <f aca="false">Patient!C9*Patient!C7*IF(Patient!C40="Male",D98,E98)</f>
        <v>181.818603997114</v>
      </c>
      <c r="G98" s="16" t="s">
        <v>266</v>
      </c>
      <c r="H98" s="16"/>
      <c r="I98" s="16"/>
      <c r="J98" s="44" t="s">
        <v>383</v>
      </c>
      <c r="K98" s="46"/>
      <c r="L98" s="4" t="s">
        <v>343</v>
      </c>
      <c r="M98" s="4"/>
      <c r="N98" s="4" t="s">
        <v>63</v>
      </c>
      <c r="O98" s="7" t="s">
        <v>344</v>
      </c>
    </row>
    <row r="99" customFormat="false" ht="15" hidden="false" customHeight="false" outlineLevel="0" collapsed="false">
      <c r="A99" s="11" t="s">
        <v>430</v>
      </c>
      <c r="B99" s="16" t="s">
        <v>302</v>
      </c>
      <c r="C99" s="8" t="s">
        <v>44</v>
      </c>
      <c r="D99" s="8" t="n">
        <v>1</v>
      </c>
      <c r="E99" s="8" t="n">
        <v>1</v>
      </c>
      <c r="F99" s="8" t="n">
        <f aca="false">Patient!C9*Patient!C6*IF(Patient!C41="Male",D99,E99)/60</f>
        <v>56</v>
      </c>
      <c r="G99" s="16" t="s">
        <v>266</v>
      </c>
      <c r="H99" s="16"/>
      <c r="I99" s="16"/>
      <c r="J99" s="24"/>
      <c r="K99" s="46"/>
      <c r="L99" s="4" t="s">
        <v>343</v>
      </c>
      <c r="M99" s="4"/>
      <c r="N99" s="4" t="s">
        <v>63</v>
      </c>
      <c r="O99" s="7" t="s">
        <v>344</v>
      </c>
    </row>
    <row r="100" customFormat="false" ht="24.75" hidden="false" customHeight="false" outlineLevel="0" collapsed="false">
      <c r="A100" s="11" t="s">
        <v>431</v>
      </c>
      <c r="B100" s="16" t="s">
        <v>17</v>
      </c>
      <c r="C100" s="8" t="s">
        <v>44</v>
      </c>
      <c r="D100" s="8" t="n">
        <v>0.03</v>
      </c>
      <c r="E100" s="8" t="n">
        <v>0.03</v>
      </c>
      <c r="F100" s="49" t="n">
        <f aca="false">Patient!C7*IF(Patient!C2="Male",D100,E100)</f>
        <v>165.289639997377</v>
      </c>
      <c r="G100" s="16" t="s">
        <v>266</v>
      </c>
      <c r="H100" s="16"/>
      <c r="I100" s="16"/>
      <c r="J100" s="44" t="s">
        <v>390</v>
      </c>
      <c r="K100" s="46"/>
      <c r="L100" s="4" t="s">
        <v>343</v>
      </c>
      <c r="M100" s="4"/>
      <c r="N100" s="4" t="s">
        <v>63</v>
      </c>
      <c r="O100" s="7" t="s">
        <v>344</v>
      </c>
    </row>
    <row r="101" customFormat="false" ht="15" hidden="false" customHeight="false" outlineLevel="0" collapsed="false">
      <c r="A101" s="11" t="s">
        <v>432</v>
      </c>
      <c r="B101" s="16" t="s">
        <v>302</v>
      </c>
      <c r="C101" s="8" t="s">
        <v>44</v>
      </c>
      <c r="D101" s="8" t="n">
        <v>0.05</v>
      </c>
      <c r="E101" s="8" t="n">
        <v>0.05</v>
      </c>
      <c r="F101" s="49" t="n">
        <f aca="false">Patient!C6*IF(Patient!C2="Male",D101,E101)/60</f>
        <v>4.66666666666667</v>
      </c>
      <c r="G101" s="16" t="s">
        <v>266</v>
      </c>
      <c r="H101" s="16"/>
      <c r="I101" s="16"/>
      <c r="J101" s="24"/>
      <c r="K101" s="46"/>
      <c r="L101" s="4" t="s">
        <v>343</v>
      </c>
      <c r="M101" s="4"/>
      <c r="N101" s="4" t="s">
        <v>63</v>
      </c>
      <c r="O101" s="7" t="s">
        <v>344</v>
      </c>
    </row>
    <row r="102" customFormat="false" ht="15" hidden="false" customHeight="false" outlineLevel="0" collapsed="false">
      <c r="A102" s="11" t="s">
        <v>433</v>
      </c>
      <c r="B102" s="16" t="s">
        <v>17</v>
      </c>
      <c r="C102" s="8" t="s">
        <v>44</v>
      </c>
      <c r="D102" s="8" t="n">
        <v>0.038</v>
      </c>
      <c r="E102" s="8" t="n">
        <v>0.038</v>
      </c>
      <c r="F102" s="47" t="n">
        <f aca="false">Patient!C7*IF(Patient!C2="Male",D102,E102)</f>
        <v>209.36687733001</v>
      </c>
      <c r="G102" s="16" t="s">
        <v>266</v>
      </c>
      <c r="H102" s="16"/>
      <c r="I102" s="16"/>
      <c r="J102" s="24"/>
      <c r="K102" s="46"/>
      <c r="L102" s="4" t="s">
        <v>343</v>
      </c>
      <c r="M102" s="4"/>
      <c r="N102" s="4" t="s">
        <v>63</v>
      </c>
      <c r="O102" s="7" t="s">
        <v>344</v>
      </c>
    </row>
    <row r="103" customFormat="false" ht="15" hidden="false" customHeight="false" outlineLevel="0" collapsed="false">
      <c r="A103" s="11" t="s">
        <v>434</v>
      </c>
      <c r="B103" s="16" t="s">
        <v>302</v>
      </c>
      <c r="C103" s="8" t="s">
        <v>44</v>
      </c>
      <c r="D103" s="8" t="n">
        <v>0.1</v>
      </c>
      <c r="E103" s="8" t="n">
        <v>0.11</v>
      </c>
      <c r="F103" s="47" t="n">
        <f aca="false">Patient!C6*IF(Patient!C2="Male",D103,E103)/60</f>
        <v>9.33333333333333</v>
      </c>
      <c r="G103" s="16" t="s">
        <v>266</v>
      </c>
      <c r="H103" s="16"/>
      <c r="I103" s="16"/>
      <c r="J103" s="24"/>
      <c r="K103" s="46"/>
      <c r="L103" s="4" t="s">
        <v>343</v>
      </c>
      <c r="M103" s="4"/>
      <c r="N103" s="4" t="s">
        <v>63</v>
      </c>
      <c r="O103" s="7" t="s">
        <v>344</v>
      </c>
    </row>
    <row r="104" customFormat="false" ht="15" hidden="false" customHeight="false" outlineLevel="0" collapsed="false">
      <c r="A104" s="11" t="s">
        <v>435</v>
      </c>
      <c r="B104" s="16" t="s">
        <v>17</v>
      </c>
      <c r="C104" s="8" t="s">
        <v>44</v>
      </c>
      <c r="D104" s="8" t="n">
        <v>0.01</v>
      </c>
      <c r="E104" s="8" t="n">
        <v>0.01</v>
      </c>
      <c r="F104" s="47" t="n">
        <f aca="false">Patient!C7*IF(Patient!C2="Male",D104,E104)</f>
        <v>55.0965466657922</v>
      </c>
      <c r="G104" s="16" t="s">
        <v>266</v>
      </c>
      <c r="H104" s="16"/>
      <c r="I104" s="16"/>
      <c r="J104" s="24"/>
      <c r="K104" s="46"/>
      <c r="L104" s="4" t="s">
        <v>343</v>
      </c>
      <c r="M104" s="4"/>
      <c r="N104" s="4" t="s">
        <v>63</v>
      </c>
      <c r="O104" s="7" t="s">
        <v>344</v>
      </c>
    </row>
    <row r="105" customFormat="false" ht="15" hidden="false" customHeight="false" outlineLevel="0" collapsed="false">
      <c r="A105" s="11" t="s">
        <v>436</v>
      </c>
      <c r="B105" s="16" t="s">
        <v>302</v>
      </c>
      <c r="C105" s="8" t="s">
        <v>44</v>
      </c>
      <c r="D105" s="8" t="n">
        <v>0.01</v>
      </c>
      <c r="E105" s="8" t="n">
        <v>0.01</v>
      </c>
      <c r="F105" s="47" t="n">
        <f aca="false">Patient!C6*IF(Patient!C2="Male",D105,E105)/60</f>
        <v>0.933333333333333</v>
      </c>
      <c r="G105" s="16" t="s">
        <v>266</v>
      </c>
      <c r="H105" s="8"/>
      <c r="I105" s="8"/>
      <c r="J105" s="44" t="s">
        <v>437</v>
      </c>
      <c r="K105" s="46"/>
      <c r="L105" s="4" t="s">
        <v>343</v>
      </c>
      <c r="M105" s="4"/>
      <c r="N105" s="4" t="s">
        <v>63</v>
      </c>
      <c r="O105" s="7" t="s">
        <v>344</v>
      </c>
    </row>
    <row r="106" customFormat="false" ht="15" hidden="false" customHeight="false" outlineLevel="0" collapsed="false">
      <c r="A106" s="11" t="s">
        <v>438</v>
      </c>
      <c r="B106" s="16" t="s">
        <v>17</v>
      </c>
      <c r="C106" s="8" t="s">
        <v>44</v>
      </c>
      <c r="D106" s="8" t="n">
        <v>0.014</v>
      </c>
      <c r="E106" s="8" t="n">
        <v>0.014</v>
      </c>
      <c r="F106" s="47" t="n">
        <f aca="false">Patient!C7*IF(Patient!C2="Male",D106,E106)</f>
        <v>77.1351653321091</v>
      </c>
      <c r="G106" s="16" t="s">
        <v>266</v>
      </c>
      <c r="H106" s="16"/>
      <c r="I106" s="48"/>
      <c r="J106" s="24"/>
      <c r="K106" s="46"/>
      <c r="L106" s="4" t="s">
        <v>343</v>
      </c>
      <c r="M106" s="4"/>
      <c r="N106" s="4" t="s">
        <v>63</v>
      </c>
      <c r="O106" s="7" t="s">
        <v>344</v>
      </c>
    </row>
    <row r="107" customFormat="false" ht="15" hidden="false" customHeight="false" outlineLevel="0" collapsed="false">
      <c r="A107" s="11" t="s">
        <v>439</v>
      </c>
      <c r="B107" s="16" t="s">
        <v>302</v>
      </c>
      <c r="C107" s="8" t="s">
        <v>44</v>
      </c>
      <c r="D107" s="8" t="n">
        <v>0.03</v>
      </c>
      <c r="E107" s="8" t="n">
        <v>0.03</v>
      </c>
      <c r="F107" s="47" t="n">
        <f aca="false">Patient!C6*IF(Patient!C2="Male",D107,E107)/60</f>
        <v>2.8</v>
      </c>
      <c r="G107" s="16" t="s">
        <v>266</v>
      </c>
      <c r="H107" s="16"/>
      <c r="I107" s="48"/>
      <c r="J107" s="24"/>
      <c r="K107" s="46"/>
      <c r="L107" s="4" t="s">
        <v>343</v>
      </c>
      <c r="M107" s="4"/>
      <c r="N107" s="4" t="s">
        <v>63</v>
      </c>
      <c r="O107" s="7" t="s">
        <v>344</v>
      </c>
    </row>
    <row r="108" customFormat="false" ht="24.75" hidden="false" customHeight="false" outlineLevel="0" collapsed="false">
      <c r="A108" s="11" t="s">
        <v>440</v>
      </c>
      <c r="B108" s="16" t="s">
        <v>17</v>
      </c>
      <c r="C108" s="8" t="s">
        <v>44</v>
      </c>
      <c r="D108" s="8" t="n">
        <v>0.175</v>
      </c>
      <c r="E108" s="8" t="n">
        <v>0.175</v>
      </c>
      <c r="F108" s="49" t="n">
        <f aca="false">Patient!C7*IF(Patient!C2="Male",D108,E108)</f>
        <v>964.189566651363</v>
      </c>
      <c r="G108" s="16" t="s">
        <v>266</v>
      </c>
      <c r="H108" s="25"/>
      <c r="I108" s="4"/>
      <c r="J108" s="44" t="s">
        <v>390</v>
      </c>
      <c r="K108" s="53"/>
      <c r="L108" s="4" t="s">
        <v>343</v>
      </c>
      <c r="M108" s="4"/>
      <c r="N108" s="4" t="s">
        <v>63</v>
      </c>
      <c r="O108" s="7" t="s">
        <v>344</v>
      </c>
    </row>
    <row r="109" customFormat="false" ht="15" hidden="false" customHeight="false" outlineLevel="0" collapsed="false">
      <c r="A109" s="11" t="s">
        <v>441</v>
      </c>
      <c r="B109" s="16" t="s">
        <v>302</v>
      </c>
      <c r="C109" s="8" t="s">
        <v>44</v>
      </c>
      <c r="D109" s="8" t="n">
        <v>1</v>
      </c>
      <c r="E109" s="8" t="n">
        <v>1</v>
      </c>
      <c r="F109" s="49" t="n">
        <f aca="false">Patient!C6*IF(Patient!C2="Male",D109,E109)/60</f>
        <v>93.3333333333333</v>
      </c>
      <c r="G109" s="16" t="s">
        <v>266</v>
      </c>
      <c r="H109" s="25"/>
      <c r="I109" s="4"/>
      <c r="J109" s="31"/>
      <c r="K109" s="53"/>
      <c r="L109" s="4" t="s">
        <v>343</v>
      </c>
      <c r="M109" s="4"/>
      <c r="N109" s="4" t="s">
        <v>63</v>
      </c>
      <c r="O109" s="7" t="s">
        <v>344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2" activeCellId="0" sqref="F2"/>
    </sheetView>
  </sheetViews>
  <sheetFormatPr defaultRowHeight="15" zeroHeight="false" outlineLevelRow="0" outlineLevelCol="0"/>
  <cols>
    <col collapsed="false" customWidth="true" hidden="false" outlineLevel="0" max="1" min="1" style="1" width="20.71"/>
    <col collapsed="false" customWidth="true" hidden="false" outlineLevel="0" max="2" min="2" style="1" width="9.85"/>
    <col collapsed="false" customWidth="true" hidden="false" outlineLevel="0" max="5" min="3" style="54" width="18.57"/>
    <col collapsed="false" customWidth="true" hidden="false" outlineLevel="0" max="6" min="6" style="54" width="9.14"/>
    <col collapsed="false" customWidth="true" hidden="false" outlineLevel="0" max="9" min="7" style="1" width="17.28"/>
    <col collapsed="false" customWidth="true" hidden="false" outlineLevel="0" max="10" min="10" style="1" width="29.72"/>
    <col collapsed="false" customWidth="true" hidden="false" outlineLevel="0" max="11" min="11" style="1" width="21.43"/>
    <col collapsed="false" customWidth="true" hidden="false" outlineLevel="0" max="12" min="12" style="1" width="18.28"/>
    <col collapsed="false" customWidth="true" hidden="false" outlineLevel="0" max="13" min="13" style="1" width="28.86"/>
    <col collapsed="false" customWidth="true" hidden="false" outlineLevel="0" max="14" min="14" style="1" width="30.42"/>
    <col collapsed="false" customWidth="true" hidden="false" outlineLevel="0" max="1025" min="15" style="1" width="9.14"/>
  </cols>
  <sheetData>
    <row r="1" customFormat="false" ht="24" hidden="false" customHeight="false" outlineLevel="0" collapsed="false">
      <c r="A1" s="2" t="s">
        <v>30</v>
      </c>
      <c r="B1" s="10" t="s">
        <v>1</v>
      </c>
      <c r="C1" s="10" t="s">
        <v>31</v>
      </c>
      <c r="D1" s="10" t="s">
        <v>32</v>
      </c>
      <c r="E1" s="10" t="s">
        <v>33</v>
      </c>
      <c r="F1" s="10" t="s">
        <v>34</v>
      </c>
      <c r="G1" s="10" t="s">
        <v>3</v>
      </c>
      <c r="H1" s="2" t="s">
        <v>35</v>
      </c>
      <c r="I1" s="2" t="s">
        <v>36</v>
      </c>
      <c r="J1" s="2" t="s">
        <v>37</v>
      </c>
      <c r="K1" s="2" t="s">
        <v>38</v>
      </c>
      <c r="L1" s="10" t="s">
        <v>39</v>
      </c>
      <c r="M1" s="10" t="s">
        <v>40</v>
      </c>
      <c r="N1" s="10" t="s">
        <v>41</v>
      </c>
    </row>
    <row r="2" customFormat="false" ht="72.75" hidden="false" customHeight="false" outlineLevel="0" collapsed="false">
      <c r="A2" s="55" t="s">
        <v>442</v>
      </c>
      <c r="B2" s="7" t="s">
        <v>443</v>
      </c>
      <c r="C2" s="8" t="s">
        <v>44</v>
      </c>
      <c r="D2" s="8"/>
      <c r="E2" s="8"/>
      <c r="F2" s="7" t="s">
        <v>444</v>
      </c>
      <c r="G2" s="7" t="s">
        <v>445</v>
      </c>
      <c r="H2" s="3"/>
      <c r="I2" s="7"/>
      <c r="J2" s="56" t="s">
        <v>446</v>
      </c>
      <c r="K2" s="7"/>
      <c r="L2" s="7" t="s">
        <v>447</v>
      </c>
      <c r="M2" s="4"/>
      <c r="N2" s="4" t="s">
        <v>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N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0" topLeftCell="G1" activePane="topRight" state="frozen"/>
      <selection pane="topLeft" activeCell="A1" activeCellId="0" sqref="A1"/>
      <selection pane="topRight" activeCell="I11" activeCellId="0" sqref="I11"/>
    </sheetView>
  </sheetViews>
  <sheetFormatPr defaultRowHeight="15" zeroHeight="false" outlineLevelRow="0" outlineLevelCol="0"/>
  <cols>
    <col collapsed="false" customWidth="true" hidden="false" outlineLevel="0" max="1" min="1" style="0" width="29.86"/>
    <col collapsed="false" customWidth="true" hidden="false" outlineLevel="0" max="2" min="2" style="0" width="16.85"/>
    <col collapsed="false" customWidth="true" hidden="false" outlineLevel="0" max="3" min="3" style="0" width="16.71"/>
    <col collapsed="false" customWidth="true" hidden="false" outlineLevel="0" max="5" min="4" style="54" width="18.57"/>
    <col collapsed="false" customWidth="true" hidden="false" outlineLevel="0" max="6" min="6" style="0" width="12.57"/>
    <col collapsed="false" customWidth="true" hidden="false" outlineLevel="0" max="8" min="7" style="0" width="23.57"/>
    <col collapsed="false" customWidth="true" hidden="false" outlineLevel="0" max="9" min="9" style="0" width="27.93"/>
    <col collapsed="false" customWidth="true" hidden="false" outlineLevel="0" max="10" min="10" style="0" width="22.15"/>
    <col collapsed="false" customWidth="true" hidden="false" outlineLevel="0" max="11" min="11" style="0" width="46.14"/>
    <col collapsed="false" customWidth="true" hidden="false" outlineLevel="0" max="12" min="12" style="57" width="9.14"/>
    <col collapsed="false" customWidth="true" hidden="false" outlineLevel="0" max="13" min="13" style="1" width="28.86"/>
    <col collapsed="false" customWidth="true" hidden="false" outlineLevel="0" max="14" min="14" style="1" width="30.42"/>
    <col collapsed="false" customWidth="true" hidden="false" outlineLevel="0" max="1025" min="15" style="0" width="8.57"/>
  </cols>
  <sheetData>
    <row r="1" customFormat="false" ht="24" hidden="false" customHeight="false" outlineLevel="0" collapsed="false">
      <c r="A1" s="58" t="s">
        <v>30</v>
      </c>
      <c r="B1" s="10" t="s">
        <v>1</v>
      </c>
      <c r="C1" s="10" t="s">
        <v>31</v>
      </c>
      <c r="D1" s="10" t="s">
        <v>32</v>
      </c>
      <c r="E1" s="10" t="s">
        <v>33</v>
      </c>
      <c r="F1" s="10" t="s">
        <v>34</v>
      </c>
      <c r="G1" s="10" t="s">
        <v>3</v>
      </c>
      <c r="H1" s="2" t="s">
        <v>35</v>
      </c>
      <c r="I1" s="2" t="s">
        <v>36</v>
      </c>
      <c r="J1" s="2" t="s">
        <v>37</v>
      </c>
      <c r="K1" s="2" t="s">
        <v>38</v>
      </c>
      <c r="L1" s="10" t="s">
        <v>39</v>
      </c>
      <c r="M1" s="10" t="s">
        <v>40</v>
      </c>
      <c r="N1" s="10" t="s">
        <v>41</v>
      </c>
    </row>
    <row r="2" customFormat="false" ht="24" hidden="false" customHeight="false" outlineLevel="0" collapsed="false">
      <c r="A2" s="45" t="s">
        <v>448</v>
      </c>
      <c r="B2" s="7"/>
      <c r="C2" s="8"/>
      <c r="D2" s="8"/>
      <c r="E2" s="8"/>
      <c r="F2" s="7"/>
      <c r="G2" s="7"/>
      <c r="H2" s="7"/>
      <c r="I2" s="8" t="s">
        <v>449</v>
      </c>
      <c r="J2" s="7"/>
      <c r="K2" s="59"/>
      <c r="L2" s="60" t="s">
        <v>450</v>
      </c>
      <c r="M2" s="4"/>
      <c r="N2" s="4"/>
    </row>
    <row r="3" customFormat="false" ht="15" hidden="false" customHeight="false" outlineLevel="0" collapsed="false">
      <c r="A3" s="61" t="s">
        <v>451</v>
      </c>
      <c r="B3" s="7" t="s">
        <v>452</v>
      </c>
      <c r="C3" s="8" t="s">
        <v>44</v>
      </c>
      <c r="D3" s="8"/>
      <c r="E3" s="8"/>
      <c r="F3" s="7" t="n">
        <v>37</v>
      </c>
      <c r="G3" s="7" t="s">
        <v>45</v>
      </c>
      <c r="I3" s="7"/>
      <c r="J3" s="7"/>
      <c r="K3" s="59"/>
      <c r="L3" s="60" t="s">
        <v>450</v>
      </c>
      <c r="M3" s="4"/>
      <c r="N3" s="4" t="s">
        <v>63</v>
      </c>
    </row>
    <row r="4" customFormat="false" ht="15" hidden="false" customHeight="false" outlineLevel="0" collapsed="false">
      <c r="A4" s="61" t="s">
        <v>453</v>
      </c>
      <c r="B4" s="7" t="s">
        <v>454</v>
      </c>
      <c r="C4" s="8" t="s">
        <v>44</v>
      </c>
      <c r="D4" s="8"/>
      <c r="E4" s="8"/>
      <c r="F4" s="9" t="n">
        <v>0.176</v>
      </c>
      <c r="G4" s="7" t="s">
        <v>455</v>
      </c>
      <c r="H4" s="59"/>
      <c r="I4" s="7"/>
      <c r="J4" s="7" t="s">
        <v>456</v>
      </c>
      <c r="K4" s="59"/>
      <c r="L4" s="60" t="s">
        <v>450</v>
      </c>
      <c r="M4" s="4"/>
      <c r="N4" s="4" t="s">
        <v>131</v>
      </c>
    </row>
    <row r="5" s="7" customFormat="true" ht="15" hidden="false" customHeight="false" outlineLevel="0" collapsed="false">
      <c r="A5" s="45" t="s">
        <v>457</v>
      </c>
      <c r="D5" s="8"/>
      <c r="E5" s="8"/>
      <c r="I5" s="7" t="s">
        <v>458</v>
      </c>
      <c r="L5" s="60" t="s">
        <v>450</v>
      </c>
    </row>
    <row r="6" customFormat="false" ht="24" hidden="false" customHeight="false" outlineLevel="0" collapsed="false">
      <c r="A6" s="45" t="s">
        <v>459</v>
      </c>
      <c r="B6" s="14"/>
      <c r="C6" s="8"/>
      <c r="D6" s="8"/>
      <c r="E6" s="8"/>
      <c r="F6" s="14"/>
      <c r="G6" s="14"/>
      <c r="H6" s="14"/>
      <c r="I6" s="8" t="s">
        <v>460</v>
      </c>
      <c r="J6" s="14"/>
      <c r="K6" s="59"/>
      <c r="L6" s="60" t="s">
        <v>450</v>
      </c>
      <c r="M6" s="4"/>
      <c r="N6" s="4"/>
    </row>
    <row r="7" customFormat="false" ht="15" hidden="false" customHeight="false" outlineLevel="0" collapsed="false">
      <c r="A7" s="61" t="s">
        <v>461</v>
      </c>
      <c r="B7" s="7" t="s">
        <v>462</v>
      </c>
      <c r="C7" s="8" t="s">
        <v>44</v>
      </c>
      <c r="D7" s="8"/>
      <c r="E7" s="8"/>
      <c r="F7" s="7" t="n">
        <v>308</v>
      </c>
      <c r="G7" s="7" t="s">
        <v>463</v>
      </c>
      <c r="H7" s="59"/>
      <c r="I7" s="7"/>
      <c r="J7" s="7"/>
      <c r="K7" s="59"/>
      <c r="L7" s="60" t="s">
        <v>450</v>
      </c>
      <c r="M7" s="4"/>
      <c r="N7" s="4" t="s">
        <v>63</v>
      </c>
    </row>
    <row r="8" customFormat="false" ht="15" hidden="false" customHeight="false" outlineLevel="0" collapsed="false">
      <c r="A8" s="61" t="s">
        <v>464</v>
      </c>
      <c r="B8" s="7" t="s">
        <v>465</v>
      </c>
      <c r="C8" s="8" t="s">
        <v>44</v>
      </c>
      <c r="D8" s="8"/>
      <c r="E8" s="8"/>
      <c r="F8" s="7" t="n">
        <v>1.3</v>
      </c>
      <c r="G8" s="7" t="s">
        <v>466</v>
      </c>
      <c r="H8" s="59"/>
      <c r="I8" s="7"/>
      <c r="J8" s="7"/>
      <c r="K8" s="59"/>
      <c r="L8" s="60" t="s">
        <v>450</v>
      </c>
      <c r="M8" s="4"/>
      <c r="N8" s="4" t="s">
        <v>63</v>
      </c>
    </row>
    <row r="9" customFormat="false" ht="15" hidden="false" customHeight="false" outlineLevel="0" collapsed="false">
      <c r="A9" s="61" t="s">
        <v>467</v>
      </c>
      <c r="B9" s="7" t="s">
        <v>452</v>
      </c>
      <c r="C9" s="8" t="s">
        <v>44</v>
      </c>
      <c r="D9" s="8"/>
      <c r="E9" s="8"/>
      <c r="F9" s="7" t="n">
        <v>33</v>
      </c>
      <c r="G9" s="7" t="s">
        <v>45</v>
      </c>
      <c r="H9" s="59"/>
      <c r="I9" s="7"/>
      <c r="J9" s="7"/>
      <c r="K9" s="59"/>
      <c r="L9" s="60" t="s">
        <v>450</v>
      </c>
      <c r="M9" s="4"/>
      <c r="N9" s="4" t="s">
        <v>63</v>
      </c>
    </row>
    <row r="10" customFormat="false" ht="15" hidden="false" customHeight="false" outlineLevel="0" collapsed="false">
      <c r="A10" s="45" t="s">
        <v>468</v>
      </c>
      <c r="B10" s="14"/>
      <c r="C10" s="8"/>
      <c r="D10" s="8"/>
      <c r="E10" s="8"/>
      <c r="F10" s="14"/>
      <c r="G10" s="14"/>
      <c r="H10" s="14"/>
      <c r="I10" s="8" t="s">
        <v>469</v>
      </c>
      <c r="J10" s="14"/>
      <c r="K10" s="59"/>
      <c r="L10" s="60" t="s">
        <v>450</v>
      </c>
      <c r="M10" s="4"/>
      <c r="N10" s="4"/>
    </row>
    <row r="11" customFormat="false" ht="15" hidden="false" customHeight="false" outlineLevel="0" collapsed="false">
      <c r="A11" s="61" t="s">
        <v>470</v>
      </c>
      <c r="B11" s="7" t="s">
        <v>471</v>
      </c>
      <c r="C11" s="8" t="s">
        <v>44</v>
      </c>
      <c r="D11" s="8"/>
      <c r="E11" s="8"/>
      <c r="F11" s="7" t="s">
        <v>472</v>
      </c>
      <c r="G11" s="7" t="s">
        <v>473</v>
      </c>
      <c r="H11" s="59"/>
      <c r="I11" s="7" t="s">
        <v>474</v>
      </c>
      <c r="J11" s="7" t="s">
        <v>475</v>
      </c>
      <c r="K11" s="59"/>
      <c r="L11" s="60" t="s">
        <v>450</v>
      </c>
      <c r="M11" s="4"/>
      <c r="N11" s="4" t="s">
        <v>48</v>
      </c>
    </row>
    <row r="12" customFormat="false" ht="24" hidden="false" customHeight="false" outlineLevel="0" collapsed="false">
      <c r="A12" s="45" t="s">
        <v>476</v>
      </c>
      <c r="B12" s="14"/>
      <c r="C12" s="8"/>
      <c r="D12" s="8"/>
      <c r="E12" s="8"/>
      <c r="F12" s="14"/>
      <c r="G12" s="14"/>
      <c r="H12" s="14"/>
      <c r="I12" s="8" t="s">
        <v>460</v>
      </c>
      <c r="J12" s="14"/>
      <c r="K12" s="59"/>
      <c r="L12" s="60" t="s">
        <v>450</v>
      </c>
      <c r="M12" s="4"/>
      <c r="N12" s="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2" activeCellId="0" sqref="F2"/>
    </sheetView>
  </sheetViews>
  <sheetFormatPr defaultRowHeight="15" zeroHeight="false" outlineLevelRow="0" outlineLevelCol="0"/>
  <cols>
    <col collapsed="false" customWidth="true" hidden="false" outlineLevel="0" max="1" min="1" style="1" width="26.42"/>
    <col collapsed="false" customWidth="true" hidden="false" outlineLevel="0" max="2" min="2" style="1" width="17.71"/>
    <col collapsed="false" customWidth="true" hidden="false" outlineLevel="0" max="3" min="3" style="1" width="16.57"/>
    <col collapsed="false" customWidth="true" hidden="false" outlineLevel="0" max="5" min="4" style="54" width="18.57"/>
    <col collapsed="false" customWidth="true" hidden="false" outlineLevel="0" max="6" min="6" style="1" width="15.28"/>
    <col collapsed="false" customWidth="true" hidden="false" outlineLevel="0" max="7" min="7" style="1" width="31.43"/>
    <col collapsed="false" customWidth="true" hidden="false" outlineLevel="0" max="8" min="8" style="1" width="12"/>
    <col collapsed="false" customWidth="true" hidden="false" outlineLevel="0" max="9" min="9" style="1" width="5.14"/>
    <col collapsed="false" customWidth="true" hidden="false" outlineLevel="0" max="10" min="10" style="44" width="44.71"/>
    <col collapsed="false" customWidth="true" hidden="false" outlineLevel="0" max="11" min="11" style="1" width="6.71"/>
    <col collapsed="false" customWidth="true" hidden="false" outlineLevel="0" max="12" min="12" style="54" width="15.28"/>
    <col collapsed="false" customWidth="true" hidden="false" outlineLevel="0" max="13" min="13" style="1" width="28.86"/>
    <col collapsed="false" customWidth="true" hidden="false" outlineLevel="0" max="14" min="14" style="1" width="30.42"/>
    <col collapsed="false" customWidth="true" hidden="false" outlineLevel="0" max="1025" min="15" style="1" width="9.14"/>
  </cols>
  <sheetData>
    <row r="1" customFormat="false" ht="15" hidden="false" customHeight="false" outlineLevel="0" collapsed="false">
      <c r="A1" s="2" t="s">
        <v>30</v>
      </c>
      <c r="B1" s="10" t="s">
        <v>1</v>
      </c>
      <c r="C1" s="10" t="s">
        <v>31</v>
      </c>
      <c r="D1" s="10" t="s">
        <v>32</v>
      </c>
      <c r="E1" s="10" t="s">
        <v>33</v>
      </c>
      <c r="F1" s="10" t="s">
        <v>34</v>
      </c>
      <c r="G1" s="10" t="s">
        <v>3</v>
      </c>
      <c r="H1" s="2" t="s">
        <v>35</v>
      </c>
      <c r="I1" s="2" t="s">
        <v>36</v>
      </c>
      <c r="J1" s="2" t="s">
        <v>37</v>
      </c>
      <c r="K1" s="2" t="s">
        <v>38</v>
      </c>
      <c r="L1" s="10" t="s">
        <v>39</v>
      </c>
      <c r="M1" s="10" t="s">
        <v>40</v>
      </c>
      <c r="N1" s="10" t="s">
        <v>41</v>
      </c>
    </row>
    <row r="2" customFormat="false" ht="15" hidden="false" customHeight="false" outlineLevel="0" collapsed="false">
      <c r="A2" s="62" t="s">
        <v>477</v>
      </c>
      <c r="B2" s="17" t="s">
        <v>14</v>
      </c>
      <c r="C2" s="17" t="s">
        <v>44</v>
      </c>
      <c r="D2" s="8"/>
      <c r="E2" s="8"/>
      <c r="F2" s="17" t="s">
        <v>478</v>
      </c>
      <c r="G2" s="17" t="s">
        <v>479</v>
      </c>
      <c r="H2" s="17"/>
      <c r="I2" s="17"/>
      <c r="J2" s="17" t="s">
        <v>480</v>
      </c>
      <c r="K2" s="7"/>
      <c r="L2" s="7" t="s">
        <v>481</v>
      </c>
      <c r="M2" s="4"/>
      <c r="N2" s="4" t="s">
        <v>63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N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5" zeroHeight="false" outlineLevelRow="0" outlineLevelCol="0"/>
  <cols>
    <col collapsed="false" customWidth="true" hidden="false" outlineLevel="0" max="1" min="1" style="54" width="28.29"/>
    <col collapsed="false" customWidth="true" hidden="false" outlineLevel="0" max="2" min="2" style="54" width="9.85"/>
    <col collapsed="false" customWidth="true" hidden="false" outlineLevel="0" max="3" min="3" style="54" width="20"/>
    <col collapsed="false" customWidth="true" hidden="false" outlineLevel="0" max="5" min="4" style="54" width="18.57"/>
    <col collapsed="false" customWidth="true" hidden="false" outlineLevel="0" max="6" min="6" style="54" width="9.14"/>
    <col collapsed="false" customWidth="true" hidden="false" outlineLevel="0" max="8" min="7" style="54" width="17.28"/>
    <col collapsed="false" customWidth="true" hidden="false" outlineLevel="0" max="10" min="9" style="54" width="14.71"/>
    <col collapsed="false" customWidth="true" hidden="false" outlineLevel="0" max="12" min="11" style="54" width="9.14"/>
    <col collapsed="false" customWidth="true" hidden="false" outlineLevel="0" max="13" min="13" style="1" width="28.86"/>
    <col collapsed="false" customWidth="true" hidden="false" outlineLevel="0" max="14" min="14" style="1" width="30.42"/>
    <col collapsed="false" customWidth="true" hidden="false" outlineLevel="0" max="1025" min="15" style="54" width="9.14"/>
  </cols>
  <sheetData>
    <row r="1" customFormat="false" ht="24" hidden="false" customHeight="false" outlineLevel="0" collapsed="false">
      <c r="A1" s="2" t="s">
        <v>30</v>
      </c>
      <c r="B1" s="10" t="s">
        <v>1</v>
      </c>
      <c r="C1" s="10" t="s">
        <v>31</v>
      </c>
      <c r="D1" s="10" t="s">
        <v>32</v>
      </c>
      <c r="E1" s="10" t="s">
        <v>33</v>
      </c>
      <c r="F1" s="10" t="s">
        <v>34</v>
      </c>
      <c r="G1" s="10" t="s">
        <v>3</v>
      </c>
      <c r="H1" s="2" t="s">
        <v>35</v>
      </c>
      <c r="I1" s="2" t="s">
        <v>36</v>
      </c>
      <c r="J1" s="2" t="s">
        <v>37</v>
      </c>
      <c r="K1" s="2" t="s">
        <v>38</v>
      </c>
      <c r="L1" s="10" t="s">
        <v>39</v>
      </c>
      <c r="M1" s="10" t="s">
        <v>40</v>
      </c>
      <c r="N1" s="10" t="s">
        <v>41</v>
      </c>
    </row>
    <row r="2" customFormat="false" ht="15" hidden="false" customHeight="false" outlineLevel="0" collapsed="false">
      <c r="A2" s="63" t="s">
        <v>482</v>
      </c>
      <c r="B2" s="7"/>
      <c r="C2" s="7"/>
      <c r="D2" s="7"/>
      <c r="E2" s="7"/>
      <c r="F2" s="7"/>
      <c r="G2" s="7"/>
      <c r="H2" s="7"/>
      <c r="I2" s="7"/>
      <c r="J2" s="7"/>
      <c r="K2" s="7"/>
      <c r="L2" s="7"/>
      <c r="M2" s="4"/>
      <c r="N2" s="4"/>
    </row>
    <row r="3" customFormat="false" ht="15" hidden="false" customHeight="false" outlineLevel="0" collapsed="false">
      <c r="A3" s="63" t="s">
        <v>483</v>
      </c>
      <c r="B3" s="7"/>
      <c r="C3" s="7"/>
      <c r="D3" s="7"/>
      <c r="E3" s="7"/>
      <c r="F3" s="7"/>
      <c r="G3" s="7"/>
      <c r="H3" s="7"/>
      <c r="I3" s="7"/>
      <c r="J3" s="7"/>
      <c r="K3" s="7"/>
      <c r="L3" s="7"/>
      <c r="M3" s="4"/>
      <c r="N3" s="4"/>
    </row>
    <row r="4" customFormat="false" ht="15" hidden="false" customHeight="false" outlineLevel="0" collapsed="false">
      <c r="A4" s="63" t="s">
        <v>484</v>
      </c>
      <c r="B4" s="7"/>
      <c r="C4" s="7"/>
      <c r="D4" s="7"/>
      <c r="E4" s="7"/>
      <c r="F4" s="7"/>
      <c r="G4" s="7"/>
      <c r="H4" s="7"/>
      <c r="I4" s="7"/>
      <c r="J4" s="7"/>
      <c r="K4" s="7"/>
      <c r="L4" s="7"/>
      <c r="M4" s="4"/>
      <c r="N4" s="4"/>
    </row>
    <row r="5" customFormat="false" ht="15" hidden="false" customHeight="false" outlineLevel="0" collapsed="false">
      <c r="A5" s="63" t="s">
        <v>485</v>
      </c>
      <c r="B5" s="7"/>
      <c r="C5" s="7"/>
      <c r="D5" s="7"/>
      <c r="E5" s="7"/>
      <c r="F5" s="7"/>
      <c r="G5" s="7"/>
      <c r="H5" s="7"/>
      <c r="I5" s="7"/>
      <c r="J5" s="7"/>
      <c r="K5" s="7"/>
      <c r="L5" s="7"/>
      <c r="M5" s="4"/>
      <c r="N5" s="4"/>
    </row>
    <row r="6" customFormat="false" ht="15" hidden="false" customHeight="false" outlineLevel="0" collapsed="false">
      <c r="A6" s="63" t="s">
        <v>486</v>
      </c>
      <c r="B6" s="7"/>
      <c r="C6" s="7"/>
      <c r="D6" s="7"/>
      <c r="E6" s="7"/>
      <c r="F6" s="7"/>
      <c r="G6" s="7"/>
      <c r="H6" s="7"/>
      <c r="I6" s="7"/>
      <c r="J6" s="7"/>
      <c r="K6" s="7"/>
      <c r="L6" s="7"/>
      <c r="M6" s="4"/>
      <c r="N6" s="4"/>
    </row>
    <row r="7" customFormat="false" ht="15" hidden="false" customHeight="false" outlineLevel="0" collapsed="false">
      <c r="A7" s="63" t="s">
        <v>487</v>
      </c>
      <c r="B7" s="7"/>
      <c r="C7" s="7"/>
      <c r="D7" s="7"/>
      <c r="E7" s="7"/>
      <c r="F7" s="7"/>
      <c r="G7" s="7"/>
      <c r="H7" s="7"/>
      <c r="I7" s="7"/>
      <c r="J7" s="7"/>
      <c r="K7" s="7"/>
      <c r="L7" s="7"/>
      <c r="M7" s="4"/>
      <c r="N7" s="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N1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0" topLeftCell="G1" activePane="topRight" state="frozen"/>
      <selection pane="topLeft" activeCell="A1" activeCellId="0" sqref="A1"/>
      <selection pane="topRight" activeCell="F4" activeCellId="0" sqref="F4"/>
    </sheetView>
  </sheetViews>
  <sheetFormatPr defaultRowHeight="15" zeroHeight="false" outlineLevelRow="0" outlineLevelCol="0"/>
  <cols>
    <col collapsed="false" customWidth="true" hidden="false" outlineLevel="0" max="1" min="1" style="1" width="38.43"/>
    <col collapsed="false" customWidth="true" hidden="false" outlineLevel="0" max="2" min="2" style="1" width="14.85"/>
    <col collapsed="false" customWidth="true" hidden="false" outlineLevel="0" max="3" min="3" style="1" width="17.43"/>
    <col collapsed="false" customWidth="true" hidden="false" outlineLevel="0" max="5" min="4" style="54" width="18.57"/>
    <col collapsed="false" customWidth="true" hidden="false" outlineLevel="0" max="6" min="6" style="64" width="19.71"/>
    <col collapsed="false" customWidth="true" hidden="false" outlineLevel="0" max="7" min="7" style="64" width="24.57"/>
    <col collapsed="false" customWidth="true" hidden="false" outlineLevel="0" max="8" min="8" style="1" width="28.57"/>
    <col collapsed="false" customWidth="true" hidden="false" outlineLevel="0" max="9" min="9" style="1" width="40"/>
    <col collapsed="false" customWidth="true" hidden="false" outlineLevel="0" max="10" min="10" style="1" width="41.85"/>
    <col collapsed="false" customWidth="true" hidden="false" outlineLevel="0" max="11" min="11" style="1" width="51.14"/>
    <col collapsed="false" customWidth="true" hidden="false" outlineLevel="0" max="12" min="12" style="9" width="19.43"/>
    <col collapsed="false" customWidth="true" hidden="false" outlineLevel="0" max="13" min="13" style="1" width="28.86"/>
    <col collapsed="false" customWidth="true" hidden="false" outlineLevel="0" max="14" min="14" style="1" width="30.42"/>
    <col collapsed="false" customWidth="true" hidden="false" outlineLevel="0" max="1025" min="15" style="1" width="9.14"/>
  </cols>
  <sheetData>
    <row r="1" customFormat="false" ht="15" hidden="false" customHeight="false" outlineLevel="0" collapsed="false">
      <c r="A1" s="2" t="s">
        <v>30</v>
      </c>
      <c r="B1" s="10" t="s">
        <v>1</v>
      </c>
      <c r="C1" s="10" t="s">
        <v>31</v>
      </c>
      <c r="D1" s="10" t="s">
        <v>32</v>
      </c>
      <c r="E1" s="10" t="s">
        <v>33</v>
      </c>
      <c r="F1" s="10" t="s">
        <v>34</v>
      </c>
      <c r="G1" s="10" t="s">
        <v>3</v>
      </c>
      <c r="H1" s="2" t="s">
        <v>35</v>
      </c>
      <c r="I1" s="2" t="s">
        <v>36</v>
      </c>
      <c r="J1" s="2" t="s">
        <v>37</v>
      </c>
      <c r="K1" s="2" t="s">
        <v>38</v>
      </c>
      <c r="L1" s="10" t="s">
        <v>39</v>
      </c>
      <c r="M1" s="10" t="s">
        <v>40</v>
      </c>
      <c r="N1" s="10" t="s">
        <v>41</v>
      </c>
    </row>
    <row r="2" customFormat="false" ht="15" hidden="false" customHeight="false" outlineLevel="0" collapsed="false">
      <c r="A2" s="11" t="s">
        <v>488</v>
      </c>
      <c r="B2" s="8"/>
      <c r="C2" s="8" t="s">
        <v>44</v>
      </c>
      <c r="D2" s="8"/>
      <c r="E2" s="8"/>
      <c r="F2" s="8" t="n">
        <v>0.2</v>
      </c>
      <c r="G2" s="8" t="s">
        <v>15</v>
      </c>
      <c r="H2" s="8" t="n">
        <v>317</v>
      </c>
      <c r="I2" s="8" t="s">
        <v>489</v>
      </c>
      <c r="J2" s="8"/>
      <c r="K2" s="3"/>
      <c r="L2" s="4" t="s">
        <v>490</v>
      </c>
      <c r="M2" s="4"/>
      <c r="N2" s="4" t="s">
        <v>53</v>
      </c>
    </row>
    <row r="3" customFormat="false" ht="15" hidden="false" customHeight="false" outlineLevel="0" collapsed="false">
      <c r="A3" s="11" t="s">
        <v>491</v>
      </c>
      <c r="B3" s="8" t="s">
        <v>492</v>
      </c>
      <c r="C3" s="8" t="s">
        <v>44</v>
      </c>
      <c r="D3" s="8"/>
      <c r="E3" s="8"/>
      <c r="F3" s="8" t="n">
        <v>180</v>
      </c>
      <c r="G3" s="8" t="s">
        <v>15</v>
      </c>
      <c r="H3" s="8" t="n">
        <v>315</v>
      </c>
      <c r="I3" s="8"/>
      <c r="J3" s="8"/>
      <c r="K3" s="14"/>
      <c r="L3" s="4" t="s">
        <v>490</v>
      </c>
      <c r="M3" s="4"/>
      <c r="N3" s="4" t="s">
        <v>63</v>
      </c>
    </row>
    <row r="4" customFormat="false" ht="15" hidden="false" customHeight="false" outlineLevel="0" collapsed="false">
      <c r="A4" s="11" t="s">
        <v>493</v>
      </c>
      <c r="B4" s="8" t="s">
        <v>14</v>
      </c>
      <c r="C4" s="8" t="s">
        <v>44</v>
      </c>
      <c r="D4" s="8"/>
      <c r="E4" s="8"/>
      <c r="F4" s="49" t="n">
        <f aca="false">Cardiovascular!F47*60</f>
        <v>1064</v>
      </c>
      <c r="G4" s="17" t="s">
        <v>266</v>
      </c>
      <c r="H4" s="8" t="n">
        <v>91</v>
      </c>
      <c r="I4" s="8"/>
      <c r="J4" s="8"/>
      <c r="K4" s="3"/>
      <c r="L4" s="4" t="s">
        <v>490</v>
      </c>
      <c r="M4" s="4"/>
      <c r="N4" s="4" t="s">
        <v>63</v>
      </c>
    </row>
    <row r="5" customFormat="false" ht="15" hidden="false" customHeight="false" outlineLevel="0" collapsed="false">
      <c r="A5" s="11" t="s">
        <v>494</v>
      </c>
      <c r="B5" s="8" t="s">
        <v>14</v>
      </c>
      <c r="C5" s="8" t="s">
        <v>44</v>
      </c>
      <c r="D5" s="8"/>
      <c r="E5" s="8"/>
      <c r="F5" s="8" t="n">
        <f aca="false">F4*0.6</f>
        <v>638.4</v>
      </c>
      <c r="G5" s="17" t="s">
        <v>104</v>
      </c>
      <c r="H5" s="8" t="n">
        <v>91</v>
      </c>
      <c r="I5" s="8" t="s">
        <v>495</v>
      </c>
      <c r="J5" s="8"/>
      <c r="K5" s="3"/>
      <c r="L5" s="4" t="s">
        <v>490</v>
      </c>
      <c r="M5" s="4"/>
      <c r="N5" s="4" t="s">
        <v>63</v>
      </c>
    </row>
    <row r="6" customFormat="false" ht="24" hidden="false" customHeight="false" outlineLevel="0" collapsed="false">
      <c r="A6" s="11" t="s">
        <v>496</v>
      </c>
      <c r="B6" s="8" t="s">
        <v>497</v>
      </c>
      <c r="C6" s="8" t="s">
        <v>44</v>
      </c>
      <c r="D6" s="8"/>
      <c r="E6" s="8"/>
      <c r="F6" s="49" t="n">
        <v>0.08</v>
      </c>
      <c r="G6" s="8" t="s">
        <v>15</v>
      </c>
      <c r="H6" s="8" t="n">
        <v>320</v>
      </c>
      <c r="I6" s="8"/>
      <c r="J6" s="8" t="s">
        <v>498</v>
      </c>
      <c r="K6" s="3"/>
      <c r="L6" s="4" t="s">
        <v>490</v>
      </c>
      <c r="M6" s="4"/>
      <c r="N6" s="4" t="s">
        <v>131</v>
      </c>
    </row>
    <row r="7" customFormat="false" ht="24" hidden="false" customHeight="false" outlineLevel="0" collapsed="false">
      <c r="A7" s="45" t="s">
        <v>499</v>
      </c>
      <c r="B7" s="25" t="s">
        <v>302</v>
      </c>
      <c r="C7" s="8" t="s">
        <v>44</v>
      </c>
      <c r="D7" s="8"/>
      <c r="E7" s="8"/>
      <c r="F7" s="25" t="n">
        <v>22</v>
      </c>
      <c r="G7" s="25" t="s">
        <v>500</v>
      </c>
      <c r="H7" s="25" t="s">
        <v>501</v>
      </c>
      <c r="J7" s="25" t="s">
        <v>502</v>
      </c>
      <c r="K7" s="4"/>
      <c r="L7" s="4" t="s">
        <v>490</v>
      </c>
      <c r="M7" s="4"/>
      <c r="N7" s="4"/>
    </row>
    <row r="8" customFormat="false" ht="24" hidden="false" customHeight="false" outlineLevel="0" collapsed="false">
      <c r="A8" s="11" t="s">
        <v>503</v>
      </c>
      <c r="B8" s="25" t="s">
        <v>504</v>
      </c>
      <c r="C8" s="8" t="s">
        <v>44</v>
      </c>
      <c r="D8" s="8"/>
      <c r="E8" s="8"/>
      <c r="F8" s="25" t="s">
        <v>505</v>
      </c>
      <c r="G8" s="25" t="s">
        <v>104</v>
      </c>
      <c r="H8" s="25" t="s">
        <v>506</v>
      </c>
      <c r="I8" s="25"/>
      <c r="J8" s="8"/>
      <c r="K8" s="4"/>
      <c r="L8" s="4" t="s">
        <v>490</v>
      </c>
      <c r="M8" s="4"/>
      <c r="N8" s="4" t="s">
        <v>48</v>
      </c>
    </row>
    <row r="9" customFormat="false" ht="15" hidden="false" customHeight="false" outlineLevel="0" collapsed="false">
      <c r="A9" s="11" t="s">
        <v>507</v>
      </c>
      <c r="B9" s="25" t="s">
        <v>508</v>
      </c>
      <c r="C9" s="8" t="s">
        <v>44</v>
      </c>
      <c r="D9" s="8"/>
      <c r="E9" s="8"/>
      <c r="F9" s="25" t="s">
        <v>505</v>
      </c>
      <c r="G9" s="25" t="s">
        <v>104</v>
      </c>
      <c r="H9" s="25" t="s">
        <v>509</v>
      </c>
      <c r="I9" s="25"/>
      <c r="J9" s="8"/>
      <c r="K9" s="4"/>
      <c r="L9" s="4" t="s">
        <v>490</v>
      </c>
      <c r="M9" s="4"/>
      <c r="N9" s="4" t="s">
        <v>48</v>
      </c>
    </row>
    <row r="10" customFormat="false" ht="15" hidden="false" customHeight="false" outlineLevel="0" collapsed="false">
      <c r="A10" s="11" t="s">
        <v>510</v>
      </c>
      <c r="B10" s="8" t="s">
        <v>492</v>
      </c>
      <c r="C10" s="8" t="s">
        <v>44</v>
      </c>
      <c r="D10" s="8"/>
      <c r="E10" s="8"/>
      <c r="F10" s="8" t="n">
        <v>1.5</v>
      </c>
      <c r="G10" s="8" t="s">
        <v>15</v>
      </c>
      <c r="H10" s="8" t="n">
        <v>315</v>
      </c>
      <c r="I10" s="8"/>
      <c r="J10" s="8"/>
      <c r="K10" s="3"/>
      <c r="L10" s="4" t="s">
        <v>490</v>
      </c>
      <c r="M10" s="4"/>
      <c r="N10" s="4" t="s">
        <v>53</v>
      </c>
    </row>
    <row r="11" customFormat="false" ht="24" hidden="false" customHeight="false" outlineLevel="0" collapsed="false">
      <c r="A11" s="11" t="s">
        <v>511</v>
      </c>
      <c r="B11" s="25"/>
      <c r="C11" s="8" t="s">
        <v>44</v>
      </c>
      <c r="D11" s="8"/>
      <c r="E11" s="8"/>
      <c r="F11" s="25" t="s">
        <v>512</v>
      </c>
      <c r="G11" s="25" t="s">
        <v>513</v>
      </c>
      <c r="H11" s="25" t="s">
        <v>514</v>
      </c>
      <c r="I11" s="25"/>
      <c r="J11" s="8"/>
      <c r="K11" s="4"/>
      <c r="L11" s="4" t="s">
        <v>490</v>
      </c>
      <c r="M11" s="4"/>
      <c r="N11" s="4" t="s">
        <v>131</v>
      </c>
    </row>
    <row r="12" customFormat="false" ht="15" hidden="false" customHeight="false" outlineLevel="0" collapsed="false">
      <c r="A12" s="45" t="s">
        <v>515</v>
      </c>
      <c r="B12" s="8"/>
      <c r="C12" s="8"/>
      <c r="D12" s="8"/>
      <c r="E12" s="8"/>
      <c r="F12" s="8"/>
      <c r="G12" s="8"/>
      <c r="H12" s="8"/>
      <c r="I12" s="8"/>
      <c r="J12" s="8"/>
      <c r="K12" s="3"/>
      <c r="L12" s="4" t="s">
        <v>490</v>
      </c>
      <c r="M12" s="4"/>
      <c r="N12" s="4"/>
    </row>
    <row r="13" customFormat="false" ht="15" hidden="false" customHeight="false" outlineLevel="0" collapsed="false">
      <c r="A13" s="11" t="s">
        <v>516</v>
      </c>
      <c r="B13" s="25" t="s">
        <v>137</v>
      </c>
      <c r="C13" s="65" t="s">
        <v>44</v>
      </c>
      <c r="D13" s="8"/>
      <c r="E13" s="8"/>
      <c r="F13" s="66" t="s">
        <v>517</v>
      </c>
      <c r="G13" s="66" t="s">
        <v>104</v>
      </c>
      <c r="H13" s="66" t="s">
        <v>514</v>
      </c>
      <c r="I13" s="66"/>
      <c r="J13" s="65"/>
      <c r="K13" s="66"/>
      <c r="L13" s="67" t="s">
        <v>490</v>
      </c>
      <c r="M13" s="4"/>
      <c r="N13" s="4" t="s">
        <v>63</v>
      </c>
    </row>
    <row r="14" customFormat="false" ht="15" hidden="false" customHeight="false" outlineLevel="0" collapsed="false">
      <c r="A14" s="11" t="s">
        <v>518</v>
      </c>
      <c r="B14" s="25" t="s">
        <v>497</v>
      </c>
      <c r="C14" s="17" t="s">
        <v>44</v>
      </c>
      <c r="D14" s="8"/>
      <c r="E14" s="8"/>
      <c r="F14" s="17" t="n">
        <v>0.0417</v>
      </c>
      <c r="G14" s="17" t="s">
        <v>15</v>
      </c>
      <c r="H14" s="17" t="n">
        <v>321</v>
      </c>
      <c r="I14" s="17" t="s">
        <v>519</v>
      </c>
      <c r="J14" s="17"/>
      <c r="K14" s="68"/>
      <c r="L14" s="4" t="s">
        <v>490</v>
      </c>
      <c r="M14" s="69"/>
      <c r="N14" s="4" t="s">
        <v>131</v>
      </c>
    </row>
    <row r="15" customFormat="false" ht="15" hidden="false" customHeight="false" outlineLevel="0" collapsed="false">
      <c r="A15" s="11" t="s">
        <v>520</v>
      </c>
      <c r="B15" s="4" t="s">
        <v>191</v>
      </c>
      <c r="C15" s="70" t="s">
        <v>44</v>
      </c>
      <c r="D15" s="8"/>
      <c r="E15" s="8"/>
      <c r="F15" s="71" t="n">
        <v>18</v>
      </c>
      <c r="G15" s="70" t="s">
        <v>15</v>
      </c>
      <c r="H15" s="71" t="n">
        <v>318</v>
      </c>
      <c r="I15" s="70"/>
      <c r="J15" s="70"/>
      <c r="K15" s="72"/>
      <c r="L15" s="71" t="s">
        <v>490</v>
      </c>
      <c r="M15" s="4"/>
      <c r="N15" s="4" t="s">
        <v>63</v>
      </c>
    </row>
    <row r="16" customFormat="false" ht="15" hidden="false" customHeight="false" outlineLevel="0" collapsed="false">
      <c r="A16" s="11" t="s">
        <v>521</v>
      </c>
      <c r="B16" s="67" t="s">
        <v>191</v>
      </c>
      <c r="C16" s="65" t="s">
        <v>44</v>
      </c>
      <c r="D16" s="8"/>
      <c r="E16" s="8"/>
      <c r="F16" s="67" t="n">
        <v>0</v>
      </c>
      <c r="G16" s="65" t="s">
        <v>15</v>
      </c>
      <c r="H16" s="67" t="n">
        <v>318</v>
      </c>
      <c r="I16" s="65"/>
      <c r="J16" s="65"/>
      <c r="K16" s="73"/>
      <c r="L16" s="67" t="s">
        <v>490</v>
      </c>
      <c r="M16" s="4"/>
      <c r="N16" s="4" t="s">
        <v>63</v>
      </c>
    </row>
    <row r="17" customFormat="false" ht="24" hidden="false" customHeight="false" outlineLevel="0" collapsed="false">
      <c r="A17" s="74" t="s">
        <v>522</v>
      </c>
      <c r="B17" s="67" t="s">
        <v>497</v>
      </c>
      <c r="C17" s="17" t="s">
        <v>44</v>
      </c>
      <c r="D17" s="8"/>
      <c r="E17" s="8"/>
      <c r="F17" s="17" t="n">
        <v>0.0763</v>
      </c>
      <c r="G17" s="17" t="s">
        <v>15</v>
      </c>
      <c r="H17" s="17" t="n">
        <v>321</v>
      </c>
      <c r="I17" s="17" t="s">
        <v>523</v>
      </c>
      <c r="J17" s="17"/>
      <c r="K17" s="68"/>
      <c r="L17" s="4" t="s">
        <v>490</v>
      </c>
      <c r="M17" s="69"/>
      <c r="N17" s="4" t="s">
        <v>131</v>
      </c>
    </row>
    <row r="18" customFormat="false" ht="15" hidden="false" customHeight="false" outlineLevel="0" collapsed="false">
      <c r="A18" s="74" t="s">
        <v>524</v>
      </c>
      <c r="B18" s="17"/>
      <c r="C18" s="75" t="s">
        <v>44</v>
      </c>
      <c r="D18" s="8"/>
      <c r="E18" s="8"/>
      <c r="F18" s="75" t="n">
        <v>0.2</v>
      </c>
      <c r="G18" s="75" t="s">
        <v>15</v>
      </c>
      <c r="H18" s="75" t="n">
        <v>317</v>
      </c>
      <c r="I18" s="75" t="s">
        <v>489</v>
      </c>
      <c r="J18" s="70"/>
      <c r="K18" s="72"/>
      <c r="L18" s="71" t="s">
        <v>490</v>
      </c>
      <c r="M18" s="4"/>
      <c r="N18" s="4" t="s">
        <v>53</v>
      </c>
    </row>
    <row r="19" customFormat="false" ht="15" hidden="false" customHeight="false" outlineLevel="0" collapsed="false">
      <c r="A19" s="11" t="s">
        <v>525</v>
      </c>
      <c r="B19" s="71" t="s">
        <v>191</v>
      </c>
      <c r="C19" s="70" t="s">
        <v>44</v>
      </c>
      <c r="D19" s="8"/>
      <c r="E19" s="8"/>
      <c r="F19" s="71" t="n">
        <v>60</v>
      </c>
      <c r="G19" s="70" t="s">
        <v>15</v>
      </c>
      <c r="H19" s="71" t="n">
        <v>318</v>
      </c>
      <c r="I19" s="70"/>
      <c r="J19" s="70"/>
      <c r="K19" s="72"/>
      <c r="L19" s="4" t="s">
        <v>490</v>
      </c>
      <c r="M19" s="4"/>
      <c r="N19" s="4" t="s">
        <v>63</v>
      </c>
    </row>
    <row r="20" customFormat="false" ht="15" hidden="false" customHeight="false" outlineLevel="0" collapsed="false">
      <c r="A20" s="11" t="s">
        <v>526</v>
      </c>
      <c r="B20" s="4" t="s">
        <v>191</v>
      </c>
      <c r="C20" s="8" t="s">
        <v>44</v>
      </c>
      <c r="D20" s="8"/>
      <c r="E20" s="8"/>
      <c r="F20" s="4" t="n">
        <v>-32</v>
      </c>
      <c r="G20" s="8" t="s">
        <v>15</v>
      </c>
      <c r="H20" s="4" t="n">
        <v>318</v>
      </c>
      <c r="I20" s="8"/>
      <c r="J20" s="8"/>
      <c r="K20" s="3"/>
      <c r="L20" s="4" t="s">
        <v>490</v>
      </c>
      <c r="M20" s="4"/>
      <c r="N20" s="4" t="s">
        <v>63</v>
      </c>
    </row>
    <row r="21" customFormat="false" ht="15" hidden="false" customHeight="false" outlineLevel="0" collapsed="false">
      <c r="A21" s="11" t="s">
        <v>527</v>
      </c>
      <c r="B21" s="8" t="s">
        <v>528</v>
      </c>
      <c r="C21" s="8" t="s">
        <v>44</v>
      </c>
      <c r="D21" s="8"/>
      <c r="E21" s="8"/>
      <c r="F21" s="8" t="n">
        <v>12.5</v>
      </c>
      <c r="G21" s="8" t="s">
        <v>15</v>
      </c>
      <c r="H21" s="8" t="n">
        <v>318</v>
      </c>
      <c r="I21" s="8" t="s">
        <v>529</v>
      </c>
      <c r="J21" s="8"/>
      <c r="K21" s="3"/>
      <c r="L21" s="4" t="s">
        <v>490</v>
      </c>
      <c r="M21" s="4"/>
      <c r="N21" s="4" t="s">
        <v>63</v>
      </c>
    </row>
    <row r="22" customFormat="false" ht="15" hidden="false" customHeight="false" outlineLevel="0" collapsed="false">
      <c r="A22" s="11" t="s">
        <v>530</v>
      </c>
      <c r="B22" s="8" t="s">
        <v>492</v>
      </c>
      <c r="C22" s="8" t="s">
        <v>44</v>
      </c>
      <c r="D22" s="8"/>
      <c r="E22" s="8"/>
      <c r="F22" s="8" t="n">
        <v>90</v>
      </c>
      <c r="G22" s="8" t="s">
        <v>15</v>
      </c>
      <c r="H22" s="8" t="n">
        <v>315</v>
      </c>
      <c r="I22" s="8" t="s">
        <v>531</v>
      </c>
      <c r="J22" s="8"/>
      <c r="K22" s="14"/>
      <c r="L22" s="4" t="s">
        <v>490</v>
      </c>
      <c r="M22" s="4"/>
      <c r="N22" s="4" t="s">
        <v>63</v>
      </c>
    </row>
    <row r="23" customFormat="false" ht="36" hidden="false" customHeight="false" outlineLevel="0" collapsed="false">
      <c r="A23" s="11" t="s">
        <v>532</v>
      </c>
      <c r="B23" s="8" t="s">
        <v>533</v>
      </c>
      <c r="C23" s="8" t="s">
        <v>44</v>
      </c>
      <c r="D23" s="8"/>
      <c r="E23" s="8"/>
      <c r="F23" s="8" t="s">
        <v>534</v>
      </c>
      <c r="G23" s="8" t="s">
        <v>535</v>
      </c>
      <c r="H23" s="8" t="n">
        <v>44</v>
      </c>
      <c r="I23" s="8" t="s">
        <v>536</v>
      </c>
      <c r="J23" s="8"/>
      <c r="K23" s="14"/>
      <c r="L23" s="4" t="s">
        <v>490</v>
      </c>
      <c r="M23" s="4"/>
      <c r="N23" s="4" t="s">
        <v>48</v>
      </c>
    </row>
    <row r="24" customFormat="false" ht="24" hidden="false" customHeight="false" outlineLevel="0" collapsed="false">
      <c r="A24" s="45" t="s">
        <v>537</v>
      </c>
      <c r="B24" s="8" t="s">
        <v>538</v>
      </c>
      <c r="C24" s="8" t="s">
        <v>44</v>
      </c>
      <c r="D24" s="8"/>
      <c r="E24" s="8"/>
      <c r="F24" s="8" t="n">
        <v>3.67647</v>
      </c>
      <c r="G24" s="8" t="s">
        <v>539</v>
      </c>
      <c r="H24" s="8"/>
      <c r="I24" s="8"/>
      <c r="J24" s="8" t="s">
        <v>540</v>
      </c>
      <c r="K24" s="14"/>
      <c r="L24" s="4" t="s">
        <v>490</v>
      </c>
      <c r="M24" s="4"/>
      <c r="N24" s="4"/>
    </row>
    <row r="25" customFormat="false" ht="15" hidden="false" customHeight="false" outlineLevel="0" collapsed="false">
      <c r="A25" s="11" t="s">
        <v>541</v>
      </c>
      <c r="B25" s="8" t="s">
        <v>191</v>
      </c>
      <c r="C25" s="8" t="s">
        <v>44</v>
      </c>
      <c r="D25" s="8"/>
      <c r="E25" s="8"/>
      <c r="F25" s="8" t="n">
        <v>10</v>
      </c>
      <c r="G25" s="8" t="s">
        <v>15</v>
      </c>
      <c r="H25" s="8" t="n">
        <v>318</v>
      </c>
      <c r="I25" s="8"/>
      <c r="J25" s="8"/>
      <c r="K25" s="3"/>
      <c r="L25" s="4" t="s">
        <v>490</v>
      </c>
      <c r="M25" s="4"/>
      <c r="N25" s="4" t="s">
        <v>63</v>
      </c>
    </row>
    <row r="26" customFormat="false" ht="15" hidden="false" customHeight="false" outlineLevel="0" collapsed="false">
      <c r="A26" s="11" t="s">
        <v>542</v>
      </c>
      <c r="B26" s="8" t="s">
        <v>191</v>
      </c>
      <c r="C26" s="8" t="s">
        <v>44</v>
      </c>
      <c r="D26" s="8"/>
      <c r="E26" s="8"/>
      <c r="F26" s="8" t="n">
        <v>10</v>
      </c>
      <c r="G26" s="8" t="s">
        <v>15</v>
      </c>
      <c r="H26" s="8" t="s">
        <v>543</v>
      </c>
      <c r="I26" s="8"/>
      <c r="J26" s="8"/>
      <c r="K26" s="3"/>
      <c r="L26" s="4" t="s">
        <v>490</v>
      </c>
      <c r="M26" s="4"/>
      <c r="N26" s="4" t="s">
        <v>63</v>
      </c>
    </row>
    <row r="27" customFormat="false" ht="15" hidden="false" customHeight="false" outlineLevel="0" collapsed="false">
      <c r="A27" s="11" t="s">
        <v>544</v>
      </c>
      <c r="B27" s="4" t="s">
        <v>191</v>
      </c>
      <c r="C27" s="8" t="s">
        <v>44</v>
      </c>
      <c r="D27" s="8"/>
      <c r="E27" s="8"/>
      <c r="F27" s="4" t="n">
        <v>13</v>
      </c>
      <c r="G27" s="8" t="s">
        <v>15</v>
      </c>
      <c r="H27" s="4" t="n">
        <v>340</v>
      </c>
      <c r="I27" s="8"/>
      <c r="J27" s="8"/>
      <c r="K27" s="3"/>
      <c r="L27" s="4" t="s">
        <v>490</v>
      </c>
      <c r="M27" s="4"/>
      <c r="N27" s="4" t="s">
        <v>63</v>
      </c>
    </row>
    <row r="28" customFormat="false" ht="12" hidden="false" customHeight="true" outlineLevel="0" collapsed="false">
      <c r="A28" s="11" t="s">
        <v>545</v>
      </c>
      <c r="B28" s="4" t="s">
        <v>191</v>
      </c>
      <c r="C28" s="8" t="s">
        <v>44</v>
      </c>
      <c r="D28" s="8"/>
      <c r="E28" s="8"/>
      <c r="F28" s="4" t="n">
        <v>-32</v>
      </c>
      <c r="G28" s="8" t="s">
        <v>15</v>
      </c>
      <c r="H28" s="4" t="n">
        <v>340</v>
      </c>
      <c r="I28" s="8"/>
      <c r="J28" s="8"/>
      <c r="K28" s="3"/>
      <c r="L28" s="4" t="s">
        <v>490</v>
      </c>
      <c r="M28" s="4"/>
      <c r="N28" s="4" t="s">
        <v>63</v>
      </c>
    </row>
    <row r="29" customFormat="false" ht="15" hidden="false" customHeight="false" outlineLevel="0" collapsed="false">
      <c r="A29" s="11" t="s">
        <v>546</v>
      </c>
      <c r="B29" s="8" t="s">
        <v>528</v>
      </c>
      <c r="C29" s="8" t="s">
        <v>44</v>
      </c>
      <c r="D29" s="8"/>
      <c r="E29" s="8"/>
      <c r="F29" s="8" t="n">
        <v>6.2</v>
      </c>
      <c r="G29" s="8" t="s">
        <v>15</v>
      </c>
      <c r="H29" s="8" t="s">
        <v>543</v>
      </c>
      <c r="I29" s="8" t="s">
        <v>529</v>
      </c>
      <c r="J29" s="8"/>
      <c r="K29" s="3"/>
      <c r="L29" s="4" t="s">
        <v>490</v>
      </c>
      <c r="M29" s="4"/>
      <c r="N29" s="4" t="s">
        <v>63</v>
      </c>
    </row>
    <row r="30" customFormat="false" ht="15" hidden="false" customHeight="false" outlineLevel="0" collapsed="false">
      <c r="A30" s="11" t="s">
        <v>547</v>
      </c>
      <c r="B30" s="8" t="s">
        <v>14</v>
      </c>
      <c r="C30" s="8" t="s">
        <v>44</v>
      </c>
      <c r="D30" s="8"/>
      <c r="E30" s="8"/>
      <c r="F30" s="8" t="n">
        <v>62</v>
      </c>
      <c r="G30" s="8" t="s">
        <v>15</v>
      </c>
      <c r="H30" s="8" t="n">
        <v>339</v>
      </c>
      <c r="I30" s="8" t="s">
        <v>548</v>
      </c>
      <c r="J30" s="8"/>
      <c r="K30" s="3"/>
      <c r="L30" s="4" t="s">
        <v>490</v>
      </c>
      <c r="M30" s="4"/>
      <c r="N30" s="4" t="s">
        <v>63</v>
      </c>
    </row>
    <row r="31" customFormat="false" ht="15" hidden="false" customHeight="false" outlineLevel="0" collapsed="false">
      <c r="A31" s="45" t="s">
        <v>549</v>
      </c>
      <c r="B31" s="8" t="s">
        <v>550</v>
      </c>
      <c r="C31" s="8" t="s">
        <v>44</v>
      </c>
      <c r="D31" s="8"/>
      <c r="E31" s="8"/>
      <c r="F31" s="8" t="n">
        <v>2.5</v>
      </c>
      <c r="G31" s="8" t="s">
        <v>266</v>
      </c>
      <c r="H31" s="8"/>
      <c r="I31" s="8"/>
      <c r="J31" s="8" t="s">
        <v>551</v>
      </c>
      <c r="K31" s="3"/>
      <c r="L31" s="4" t="s">
        <v>490</v>
      </c>
      <c r="M31" s="4"/>
      <c r="N31" s="4"/>
    </row>
    <row r="32" customFormat="false" ht="24" hidden="false" customHeight="false" outlineLevel="0" collapsed="false">
      <c r="A32" s="45" t="s">
        <v>552</v>
      </c>
      <c r="B32" s="8" t="s">
        <v>538</v>
      </c>
      <c r="C32" s="8" t="s">
        <v>44</v>
      </c>
      <c r="D32" s="8"/>
      <c r="E32" s="8"/>
      <c r="F32" s="8" t="n">
        <v>2.91747</v>
      </c>
      <c r="G32" s="8" t="s">
        <v>539</v>
      </c>
      <c r="H32" s="8"/>
      <c r="I32" s="8"/>
      <c r="J32" s="8" t="s">
        <v>540</v>
      </c>
      <c r="K32" s="3"/>
      <c r="L32" s="4" t="s">
        <v>490</v>
      </c>
      <c r="M32" s="4"/>
      <c r="N32" s="4"/>
    </row>
    <row r="33" customFormat="false" ht="15" hidden="false" customHeight="false" outlineLevel="0" collapsed="false">
      <c r="A33" s="45" t="s">
        <v>553</v>
      </c>
      <c r="B33" s="4" t="s">
        <v>191</v>
      </c>
      <c r="C33" s="8" t="s">
        <v>44</v>
      </c>
      <c r="D33" s="8"/>
      <c r="E33" s="8"/>
      <c r="F33" s="4" t="n">
        <v>6</v>
      </c>
      <c r="G33" s="8" t="s">
        <v>15</v>
      </c>
      <c r="H33" s="4" t="n">
        <v>340</v>
      </c>
      <c r="I33" s="8"/>
      <c r="J33" s="8"/>
      <c r="K33" s="3"/>
      <c r="L33" s="4" t="s">
        <v>490</v>
      </c>
      <c r="M33" s="4"/>
      <c r="N33" s="4"/>
    </row>
    <row r="34" customFormat="false" ht="15" hidden="false" customHeight="false" outlineLevel="0" collapsed="false">
      <c r="A34" s="11" t="s">
        <v>554</v>
      </c>
      <c r="B34" s="4" t="s">
        <v>191</v>
      </c>
      <c r="C34" s="8" t="s">
        <v>44</v>
      </c>
      <c r="D34" s="8"/>
      <c r="E34" s="8"/>
      <c r="F34" s="4" t="n">
        <v>-15</v>
      </c>
      <c r="G34" s="8" t="s">
        <v>15</v>
      </c>
      <c r="H34" s="4" t="n">
        <v>340</v>
      </c>
      <c r="I34" s="8"/>
      <c r="J34" s="8"/>
      <c r="K34" s="3"/>
      <c r="L34" s="4" t="s">
        <v>490</v>
      </c>
      <c r="M34" s="4"/>
      <c r="N34" s="4" t="s">
        <v>63</v>
      </c>
    </row>
    <row r="35" customFormat="false" ht="15" hidden="false" customHeight="false" outlineLevel="0" collapsed="false">
      <c r="A35" s="11" t="s">
        <v>555</v>
      </c>
      <c r="B35" s="4" t="s">
        <v>497</v>
      </c>
      <c r="C35" s="17" t="s">
        <v>44</v>
      </c>
      <c r="D35" s="8"/>
      <c r="E35" s="8"/>
      <c r="F35" s="17" t="n">
        <v>0.0417</v>
      </c>
      <c r="G35" s="17" t="s">
        <v>15</v>
      </c>
      <c r="H35" s="17" t="n">
        <v>321</v>
      </c>
      <c r="I35" s="17" t="s">
        <v>519</v>
      </c>
      <c r="J35" s="17"/>
      <c r="K35" s="68"/>
      <c r="L35" s="4" t="s">
        <v>490</v>
      </c>
      <c r="M35" s="4"/>
      <c r="N35" s="4" t="s">
        <v>131</v>
      </c>
    </row>
    <row r="36" customFormat="false" ht="15" hidden="false" customHeight="false" outlineLevel="0" collapsed="false">
      <c r="A36" s="11" t="s">
        <v>556</v>
      </c>
      <c r="B36" s="4" t="s">
        <v>191</v>
      </c>
      <c r="C36" s="8" t="s">
        <v>44</v>
      </c>
      <c r="D36" s="8"/>
      <c r="E36" s="8"/>
      <c r="F36" s="4" t="n">
        <v>18</v>
      </c>
      <c r="G36" s="8" t="s">
        <v>15</v>
      </c>
      <c r="H36" s="4" t="n">
        <v>318</v>
      </c>
      <c r="I36" s="8"/>
      <c r="J36" s="8"/>
      <c r="K36" s="3"/>
      <c r="L36" s="4" t="s">
        <v>490</v>
      </c>
      <c r="M36" s="4"/>
      <c r="N36" s="4" t="s">
        <v>63</v>
      </c>
    </row>
    <row r="37" customFormat="false" ht="15" hidden="false" customHeight="false" outlineLevel="0" collapsed="false">
      <c r="A37" s="11" t="s">
        <v>557</v>
      </c>
      <c r="B37" s="67" t="s">
        <v>191</v>
      </c>
      <c r="C37" s="65" t="s">
        <v>44</v>
      </c>
      <c r="D37" s="8"/>
      <c r="E37" s="8"/>
      <c r="F37" s="67" t="n">
        <v>0</v>
      </c>
      <c r="G37" s="65" t="s">
        <v>15</v>
      </c>
      <c r="H37" s="67" t="n">
        <v>318</v>
      </c>
      <c r="I37" s="65"/>
      <c r="J37" s="8"/>
      <c r="K37" s="3"/>
      <c r="L37" s="4" t="s">
        <v>490</v>
      </c>
      <c r="M37" s="4"/>
      <c r="N37" s="4" t="s">
        <v>63</v>
      </c>
    </row>
    <row r="38" customFormat="false" ht="24" hidden="false" customHeight="false" outlineLevel="0" collapsed="false">
      <c r="A38" s="74" t="s">
        <v>558</v>
      </c>
      <c r="B38" s="67" t="s">
        <v>497</v>
      </c>
      <c r="C38" s="17" t="s">
        <v>44</v>
      </c>
      <c r="D38" s="8"/>
      <c r="E38" s="8"/>
      <c r="F38" s="17" t="n">
        <v>0.0763</v>
      </c>
      <c r="G38" s="17" t="s">
        <v>15</v>
      </c>
      <c r="H38" s="17" t="n">
        <v>321</v>
      </c>
      <c r="I38" s="17" t="s">
        <v>523</v>
      </c>
      <c r="J38" s="17"/>
      <c r="K38" s="68"/>
      <c r="L38" s="4" t="s">
        <v>490</v>
      </c>
      <c r="M38" s="4"/>
      <c r="N38" s="4" t="s">
        <v>131</v>
      </c>
    </row>
    <row r="39" customFormat="false" ht="15" hidden="false" customHeight="false" outlineLevel="0" collapsed="false">
      <c r="A39" s="74" t="s">
        <v>559</v>
      </c>
      <c r="B39" s="17"/>
      <c r="C39" s="17" t="s">
        <v>44</v>
      </c>
      <c r="D39" s="8"/>
      <c r="E39" s="8"/>
      <c r="F39" s="17" t="n">
        <v>0.2</v>
      </c>
      <c r="G39" s="17" t="s">
        <v>15</v>
      </c>
      <c r="H39" s="17" t="n">
        <v>317</v>
      </c>
      <c r="I39" s="17" t="s">
        <v>489</v>
      </c>
      <c r="J39" s="76"/>
      <c r="K39" s="3"/>
      <c r="L39" s="4" t="s">
        <v>490</v>
      </c>
      <c r="M39" s="4"/>
      <c r="N39" s="4" t="s">
        <v>53</v>
      </c>
    </row>
    <row r="40" customFormat="false" ht="15" hidden="false" customHeight="false" outlineLevel="0" collapsed="false">
      <c r="A40" s="11" t="s">
        <v>560</v>
      </c>
      <c r="B40" s="71" t="s">
        <v>191</v>
      </c>
      <c r="C40" s="70" t="s">
        <v>44</v>
      </c>
      <c r="D40" s="8"/>
      <c r="E40" s="8"/>
      <c r="F40" s="71" t="n">
        <v>60</v>
      </c>
      <c r="G40" s="70" t="s">
        <v>15</v>
      </c>
      <c r="H40" s="71" t="n">
        <v>318</v>
      </c>
      <c r="I40" s="70"/>
      <c r="J40" s="8"/>
      <c r="K40" s="3"/>
      <c r="L40" s="4" t="s">
        <v>490</v>
      </c>
      <c r="M40" s="4"/>
      <c r="N40" s="4" t="s">
        <v>63</v>
      </c>
    </row>
    <row r="41" customFormat="false" ht="15" hidden="false" customHeight="false" outlineLevel="0" collapsed="false">
      <c r="A41" s="11" t="s">
        <v>561</v>
      </c>
      <c r="B41" s="4" t="s">
        <v>191</v>
      </c>
      <c r="C41" s="8" t="s">
        <v>44</v>
      </c>
      <c r="D41" s="8"/>
      <c r="E41" s="8"/>
      <c r="F41" s="4" t="n">
        <v>-32</v>
      </c>
      <c r="G41" s="8" t="s">
        <v>15</v>
      </c>
      <c r="H41" s="4" t="n">
        <v>318</v>
      </c>
      <c r="I41" s="8"/>
      <c r="J41" s="8"/>
      <c r="K41" s="3"/>
      <c r="L41" s="4" t="s">
        <v>490</v>
      </c>
      <c r="M41" s="4"/>
      <c r="N41" s="4" t="s">
        <v>63</v>
      </c>
    </row>
    <row r="42" customFormat="false" ht="15" hidden="false" customHeight="false" outlineLevel="0" collapsed="false">
      <c r="A42" s="11" t="s">
        <v>562</v>
      </c>
      <c r="B42" s="8" t="s">
        <v>528</v>
      </c>
      <c r="C42" s="8" t="s">
        <v>44</v>
      </c>
      <c r="D42" s="8"/>
      <c r="E42" s="8"/>
      <c r="F42" s="8" t="n">
        <v>6.25</v>
      </c>
      <c r="G42" s="8" t="s">
        <v>15</v>
      </c>
      <c r="H42" s="8" t="n">
        <v>318</v>
      </c>
      <c r="I42" s="8" t="s">
        <v>529</v>
      </c>
      <c r="J42" s="8"/>
      <c r="K42" s="3"/>
      <c r="L42" s="4" t="s">
        <v>490</v>
      </c>
      <c r="M42" s="4"/>
      <c r="N42" s="4" t="s">
        <v>63</v>
      </c>
    </row>
    <row r="43" customFormat="false" ht="15" hidden="false" customHeight="false" outlineLevel="0" collapsed="false">
      <c r="A43" s="11" t="s">
        <v>563</v>
      </c>
      <c r="B43" s="8" t="s">
        <v>492</v>
      </c>
      <c r="C43" s="8" t="s">
        <v>44</v>
      </c>
      <c r="D43" s="8"/>
      <c r="E43" s="8"/>
      <c r="F43" s="8" t="n">
        <v>90</v>
      </c>
      <c r="G43" s="8" t="s">
        <v>15</v>
      </c>
      <c r="H43" s="8" t="n">
        <v>315</v>
      </c>
      <c r="I43" s="8" t="s">
        <v>531</v>
      </c>
      <c r="J43" s="8"/>
      <c r="K43" s="14"/>
      <c r="L43" s="4" t="s">
        <v>490</v>
      </c>
      <c r="M43" s="4"/>
      <c r="N43" s="4" t="s">
        <v>63</v>
      </c>
    </row>
    <row r="44" customFormat="false" ht="36" hidden="false" customHeight="false" outlineLevel="0" collapsed="false">
      <c r="A44" s="11" t="s">
        <v>564</v>
      </c>
      <c r="B44" s="8" t="s">
        <v>533</v>
      </c>
      <c r="C44" s="8" t="s">
        <v>44</v>
      </c>
      <c r="D44" s="8"/>
      <c r="E44" s="8"/>
      <c r="F44" s="8" t="s">
        <v>534</v>
      </c>
      <c r="G44" s="8" t="s">
        <v>535</v>
      </c>
      <c r="H44" s="8" t="n">
        <v>44</v>
      </c>
      <c r="I44" s="8" t="s">
        <v>536</v>
      </c>
      <c r="J44" s="8"/>
      <c r="K44" s="14"/>
      <c r="L44" s="4" t="s">
        <v>490</v>
      </c>
      <c r="M44" s="4"/>
      <c r="N44" s="4" t="s">
        <v>48</v>
      </c>
    </row>
    <row r="45" customFormat="false" ht="24" hidden="false" customHeight="false" outlineLevel="0" collapsed="false">
      <c r="A45" s="45" t="s">
        <v>565</v>
      </c>
      <c r="B45" s="8" t="s">
        <v>538</v>
      </c>
      <c r="C45" s="8" t="s">
        <v>44</v>
      </c>
      <c r="D45" s="8"/>
      <c r="E45" s="8"/>
      <c r="F45" s="8" t="n">
        <v>3.67647</v>
      </c>
      <c r="G45" s="8" t="s">
        <v>539</v>
      </c>
      <c r="H45" s="8"/>
      <c r="I45" s="8"/>
      <c r="J45" s="8" t="s">
        <v>540</v>
      </c>
      <c r="K45" s="14"/>
      <c r="L45" s="4" t="s">
        <v>490</v>
      </c>
      <c r="M45" s="4"/>
      <c r="N45" s="4"/>
    </row>
    <row r="46" customFormat="false" ht="15" hidden="false" customHeight="false" outlineLevel="0" collapsed="false">
      <c r="A46" s="11" t="s">
        <v>566</v>
      </c>
      <c r="B46" s="8" t="s">
        <v>191</v>
      </c>
      <c r="C46" s="8" t="s">
        <v>44</v>
      </c>
      <c r="D46" s="8"/>
      <c r="E46" s="8"/>
      <c r="F46" s="8" t="n">
        <v>10</v>
      </c>
      <c r="G46" s="8" t="s">
        <v>15</v>
      </c>
      <c r="H46" s="8" t="n">
        <v>318</v>
      </c>
      <c r="I46" s="8"/>
      <c r="J46" s="8"/>
      <c r="K46" s="3"/>
      <c r="L46" s="4" t="s">
        <v>490</v>
      </c>
      <c r="M46" s="4"/>
      <c r="N46" s="4" t="s">
        <v>63</v>
      </c>
    </row>
    <row r="47" customFormat="false" ht="15" hidden="false" customHeight="false" outlineLevel="0" collapsed="false">
      <c r="A47" s="11" t="s">
        <v>567</v>
      </c>
      <c r="B47" s="8" t="s">
        <v>191</v>
      </c>
      <c r="C47" s="8" t="s">
        <v>44</v>
      </c>
      <c r="D47" s="8"/>
      <c r="E47" s="8"/>
      <c r="F47" s="8" t="n">
        <v>10</v>
      </c>
      <c r="G47" s="8" t="s">
        <v>15</v>
      </c>
      <c r="H47" s="8" t="s">
        <v>543</v>
      </c>
      <c r="I47" s="8"/>
      <c r="J47" s="8"/>
      <c r="K47" s="3"/>
      <c r="L47" s="4" t="s">
        <v>490</v>
      </c>
      <c r="M47" s="4"/>
      <c r="N47" s="4" t="s">
        <v>63</v>
      </c>
    </row>
    <row r="48" customFormat="false" ht="15" hidden="false" customHeight="false" outlineLevel="0" collapsed="false">
      <c r="A48" s="11" t="s">
        <v>568</v>
      </c>
      <c r="B48" s="4" t="s">
        <v>191</v>
      </c>
      <c r="C48" s="8" t="s">
        <v>44</v>
      </c>
      <c r="D48" s="8"/>
      <c r="E48" s="8"/>
      <c r="F48" s="4" t="n">
        <v>13</v>
      </c>
      <c r="G48" s="8" t="s">
        <v>15</v>
      </c>
      <c r="H48" s="4" t="n">
        <v>340</v>
      </c>
      <c r="I48" s="8"/>
      <c r="J48" s="8"/>
      <c r="K48" s="3"/>
      <c r="L48" s="4" t="s">
        <v>490</v>
      </c>
      <c r="M48" s="4"/>
      <c r="N48" s="4" t="s">
        <v>63</v>
      </c>
    </row>
    <row r="49" customFormat="false" ht="12" hidden="false" customHeight="true" outlineLevel="0" collapsed="false">
      <c r="A49" s="11" t="s">
        <v>569</v>
      </c>
      <c r="B49" s="4" t="s">
        <v>191</v>
      </c>
      <c r="C49" s="8" t="s">
        <v>44</v>
      </c>
      <c r="D49" s="8"/>
      <c r="E49" s="8"/>
      <c r="F49" s="4" t="n">
        <v>-32</v>
      </c>
      <c r="G49" s="8" t="s">
        <v>15</v>
      </c>
      <c r="H49" s="4" t="n">
        <v>340</v>
      </c>
      <c r="I49" s="8"/>
      <c r="J49" s="8"/>
      <c r="K49" s="3"/>
      <c r="L49" s="4" t="s">
        <v>490</v>
      </c>
      <c r="M49" s="4"/>
      <c r="N49" s="4" t="s">
        <v>63</v>
      </c>
    </row>
    <row r="50" customFormat="false" ht="15" hidden="false" customHeight="false" outlineLevel="0" collapsed="false">
      <c r="A50" s="11" t="s">
        <v>570</v>
      </c>
      <c r="B50" s="8" t="s">
        <v>528</v>
      </c>
      <c r="C50" s="8" t="s">
        <v>44</v>
      </c>
      <c r="D50" s="8"/>
      <c r="E50" s="8"/>
      <c r="F50" s="8" t="n">
        <v>6.2</v>
      </c>
      <c r="G50" s="8" t="s">
        <v>15</v>
      </c>
      <c r="H50" s="8" t="s">
        <v>543</v>
      </c>
      <c r="I50" s="8" t="s">
        <v>529</v>
      </c>
      <c r="J50" s="8"/>
      <c r="K50" s="3"/>
      <c r="L50" s="4" t="s">
        <v>490</v>
      </c>
      <c r="M50" s="4"/>
      <c r="N50" s="4" t="s">
        <v>63</v>
      </c>
    </row>
    <row r="51" customFormat="false" ht="15" hidden="false" customHeight="false" outlineLevel="0" collapsed="false">
      <c r="A51" s="11" t="s">
        <v>571</v>
      </c>
      <c r="B51" s="8" t="s">
        <v>14</v>
      </c>
      <c r="C51" s="8" t="s">
        <v>44</v>
      </c>
      <c r="D51" s="8"/>
      <c r="E51" s="8"/>
      <c r="F51" s="8" t="n">
        <v>62</v>
      </c>
      <c r="G51" s="8" t="s">
        <v>15</v>
      </c>
      <c r="H51" s="8" t="n">
        <v>339</v>
      </c>
      <c r="I51" s="8" t="s">
        <v>548</v>
      </c>
      <c r="J51" s="8"/>
      <c r="K51" s="3"/>
      <c r="L51" s="4" t="s">
        <v>490</v>
      </c>
      <c r="M51" s="4"/>
      <c r="N51" s="4" t="s">
        <v>63</v>
      </c>
    </row>
    <row r="52" customFormat="false" ht="15" hidden="false" customHeight="false" outlineLevel="0" collapsed="false">
      <c r="A52" s="45" t="s">
        <v>572</v>
      </c>
      <c r="B52" s="8" t="s">
        <v>550</v>
      </c>
      <c r="C52" s="8" t="s">
        <v>44</v>
      </c>
      <c r="D52" s="8"/>
      <c r="E52" s="8"/>
      <c r="F52" s="8" t="n">
        <v>2.5</v>
      </c>
      <c r="G52" s="8" t="s">
        <v>266</v>
      </c>
      <c r="H52" s="8"/>
      <c r="I52" s="8"/>
      <c r="J52" s="8"/>
      <c r="K52" s="3"/>
      <c r="L52" s="4" t="s">
        <v>490</v>
      </c>
      <c r="M52" s="4"/>
      <c r="N52" s="4"/>
    </row>
    <row r="53" customFormat="false" ht="24" hidden="false" customHeight="false" outlineLevel="0" collapsed="false">
      <c r="A53" s="45" t="s">
        <v>573</v>
      </c>
      <c r="B53" s="8" t="s">
        <v>538</v>
      </c>
      <c r="C53" s="8" t="s">
        <v>44</v>
      </c>
      <c r="D53" s="8"/>
      <c r="E53" s="8"/>
      <c r="F53" s="8" t="n">
        <v>2.91747</v>
      </c>
      <c r="G53" s="8" t="s">
        <v>539</v>
      </c>
      <c r="H53" s="8"/>
      <c r="I53" s="8"/>
      <c r="J53" s="8" t="s">
        <v>540</v>
      </c>
      <c r="K53" s="3"/>
      <c r="L53" s="4" t="s">
        <v>490</v>
      </c>
      <c r="M53" s="4"/>
      <c r="N53" s="4"/>
    </row>
    <row r="54" customFormat="false" ht="15" hidden="false" customHeight="false" outlineLevel="0" collapsed="false">
      <c r="A54" s="45" t="s">
        <v>574</v>
      </c>
      <c r="B54" s="4" t="s">
        <v>191</v>
      </c>
      <c r="C54" s="8" t="s">
        <v>44</v>
      </c>
      <c r="D54" s="8"/>
      <c r="E54" s="8"/>
      <c r="F54" s="4" t="n">
        <v>6</v>
      </c>
      <c r="G54" s="8" t="s">
        <v>15</v>
      </c>
      <c r="H54" s="4" t="n">
        <v>340</v>
      </c>
      <c r="I54" s="8"/>
      <c r="J54" s="8"/>
      <c r="K54" s="3"/>
      <c r="L54" s="4" t="s">
        <v>490</v>
      </c>
      <c r="M54" s="4"/>
      <c r="N54" s="4"/>
    </row>
    <row r="55" customFormat="false" ht="15" hidden="false" customHeight="false" outlineLevel="0" collapsed="false">
      <c r="A55" s="11" t="s">
        <v>575</v>
      </c>
      <c r="B55" s="4" t="s">
        <v>191</v>
      </c>
      <c r="C55" s="8" t="s">
        <v>44</v>
      </c>
      <c r="D55" s="8"/>
      <c r="E55" s="8"/>
      <c r="F55" s="4" t="n">
        <v>-15</v>
      </c>
      <c r="G55" s="8" t="s">
        <v>15</v>
      </c>
      <c r="H55" s="4" t="n">
        <v>340</v>
      </c>
      <c r="I55" s="8"/>
      <c r="J55" s="8"/>
      <c r="K55" s="3"/>
      <c r="L55" s="4" t="s">
        <v>490</v>
      </c>
      <c r="M55" s="4"/>
      <c r="N55" s="4" t="s">
        <v>63</v>
      </c>
    </row>
    <row r="56" customFormat="false" ht="15" hidden="false" customHeight="false" outlineLevel="0" collapsed="false">
      <c r="A56" s="27" t="s">
        <v>340</v>
      </c>
      <c r="B56" s="10" t="s">
        <v>1</v>
      </c>
      <c r="C56" s="10" t="s">
        <v>31</v>
      </c>
      <c r="D56" s="10" t="s">
        <v>32</v>
      </c>
      <c r="E56" s="10" t="s">
        <v>33</v>
      </c>
      <c r="F56" s="10" t="s">
        <v>116</v>
      </c>
      <c r="G56" s="28" t="s">
        <v>117</v>
      </c>
      <c r="H56" s="28" t="s">
        <v>118</v>
      </c>
      <c r="I56" s="2" t="s">
        <v>36</v>
      </c>
      <c r="J56" s="2" t="s">
        <v>37</v>
      </c>
      <c r="K56" s="28" t="s">
        <v>38</v>
      </c>
      <c r="L56" s="10" t="s">
        <v>39</v>
      </c>
      <c r="M56" s="10" t="s">
        <v>40</v>
      </c>
      <c r="N56" s="10" t="s">
        <v>41</v>
      </c>
    </row>
    <row r="57" customFormat="false" ht="30" hidden="false" customHeight="true" outlineLevel="0" collapsed="false">
      <c r="A57" s="11" t="s">
        <v>576</v>
      </c>
      <c r="B57" s="4" t="s">
        <v>17</v>
      </c>
      <c r="C57" s="8" t="s">
        <v>44</v>
      </c>
      <c r="D57" s="8"/>
      <c r="E57" s="8"/>
      <c r="F57" s="4" t="s">
        <v>577</v>
      </c>
      <c r="G57" s="25" t="s">
        <v>374</v>
      </c>
      <c r="H57" s="4"/>
      <c r="I57" s="8" t="s">
        <v>578</v>
      </c>
      <c r="J57" s="3" t="s">
        <v>579</v>
      </c>
      <c r="K57" s="3"/>
      <c r="L57" s="4" t="s">
        <v>580</v>
      </c>
      <c r="M57" s="4"/>
      <c r="N57" s="4" t="s">
        <v>63</v>
      </c>
    </row>
    <row r="58" customFormat="false" ht="48" hidden="false" customHeight="false" outlineLevel="0" collapsed="false">
      <c r="A58" s="11" t="s">
        <v>581</v>
      </c>
      <c r="B58" s="4" t="s">
        <v>17</v>
      </c>
      <c r="C58" s="8" t="s">
        <v>44</v>
      </c>
      <c r="D58" s="8"/>
      <c r="E58" s="8"/>
      <c r="F58" s="4" t="s">
        <v>582</v>
      </c>
      <c r="G58" s="25" t="s">
        <v>374</v>
      </c>
      <c r="H58" s="4"/>
      <c r="I58" s="8" t="s">
        <v>583</v>
      </c>
      <c r="J58" s="3"/>
      <c r="K58" s="3"/>
      <c r="L58" s="4" t="s">
        <v>580</v>
      </c>
      <c r="M58" s="4"/>
      <c r="N58" s="4" t="s">
        <v>63</v>
      </c>
    </row>
    <row r="59" customFormat="false" ht="48" hidden="false" customHeight="false" outlineLevel="0" collapsed="false">
      <c r="A59" s="11" t="s">
        <v>584</v>
      </c>
      <c r="B59" s="4" t="s">
        <v>17</v>
      </c>
      <c r="C59" s="8" t="s">
        <v>44</v>
      </c>
      <c r="D59" s="8"/>
      <c r="E59" s="8"/>
      <c r="F59" s="4" t="s">
        <v>582</v>
      </c>
      <c r="G59" s="25" t="s">
        <v>374</v>
      </c>
      <c r="H59" s="4"/>
      <c r="I59" s="8" t="s">
        <v>583</v>
      </c>
      <c r="J59" s="3"/>
      <c r="K59" s="3"/>
      <c r="L59" s="4" t="s">
        <v>580</v>
      </c>
      <c r="M59" s="4"/>
      <c r="N59" s="4" t="s">
        <v>63</v>
      </c>
    </row>
    <row r="60" customFormat="false" ht="48" hidden="false" customHeight="false" outlineLevel="0" collapsed="false">
      <c r="A60" s="11" t="s">
        <v>585</v>
      </c>
      <c r="B60" s="4" t="s">
        <v>17</v>
      </c>
      <c r="C60" s="8" t="s">
        <v>44</v>
      </c>
      <c r="D60" s="8"/>
      <c r="E60" s="8"/>
      <c r="F60" s="4" t="s">
        <v>586</v>
      </c>
      <c r="G60" s="25" t="s">
        <v>374</v>
      </c>
      <c r="H60" s="4"/>
      <c r="I60" s="8" t="s">
        <v>587</v>
      </c>
      <c r="J60" s="3"/>
      <c r="K60" s="3"/>
      <c r="L60" s="4" t="s">
        <v>580</v>
      </c>
      <c r="M60" s="4"/>
      <c r="N60" s="4" t="s">
        <v>63</v>
      </c>
    </row>
    <row r="61" customFormat="false" ht="48" hidden="false" customHeight="false" outlineLevel="0" collapsed="false">
      <c r="A61" s="11" t="s">
        <v>588</v>
      </c>
      <c r="B61" s="4" t="s">
        <v>17</v>
      </c>
      <c r="C61" s="8" t="s">
        <v>44</v>
      </c>
      <c r="D61" s="8"/>
      <c r="E61" s="8"/>
      <c r="F61" s="4" t="s">
        <v>586</v>
      </c>
      <c r="G61" s="25" t="s">
        <v>374</v>
      </c>
      <c r="H61" s="4"/>
      <c r="I61" s="8" t="s">
        <v>587</v>
      </c>
      <c r="J61" s="3"/>
      <c r="K61" s="3"/>
      <c r="L61" s="4" t="s">
        <v>580</v>
      </c>
      <c r="M61" s="4"/>
      <c r="N61" s="4" t="s">
        <v>53</v>
      </c>
    </row>
    <row r="62" customFormat="false" ht="48" hidden="false" customHeight="false" outlineLevel="0" collapsed="false">
      <c r="A62" s="11" t="s">
        <v>589</v>
      </c>
      <c r="B62" s="4" t="s">
        <v>17</v>
      </c>
      <c r="C62" s="8" t="s">
        <v>44</v>
      </c>
      <c r="D62" s="8"/>
      <c r="E62" s="8"/>
      <c r="F62" s="4" t="s">
        <v>586</v>
      </c>
      <c r="G62" s="25" t="s">
        <v>374</v>
      </c>
      <c r="H62" s="4"/>
      <c r="I62" s="8" t="s">
        <v>587</v>
      </c>
      <c r="J62" s="3"/>
      <c r="K62" s="3"/>
      <c r="L62" s="4" t="s">
        <v>580</v>
      </c>
      <c r="M62" s="4"/>
      <c r="N62" s="4" t="s">
        <v>53</v>
      </c>
    </row>
    <row r="63" customFormat="false" ht="48" hidden="false" customHeight="false" outlineLevel="0" collapsed="false">
      <c r="A63" s="11" t="s">
        <v>590</v>
      </c>
      <c r="B63" s="4" t="s">
        <v>17</v>
      </c>
      <c r="C63" s="8" t="s">
        <v>44</v>
      </c>
      <c r="D63" s="8"/>
      <c r="E63" s="8"/>
      <c r="F63" s="4" t="s">
        <v>586</v>
      </c>
      <c r="G63" s="25" t="s">
        <v>374</v>
      </c>
      <c r="H63" s="4"/>
      <c r="I63" s="8" t="s">
        <v>587</v>
      </c>
      <c r="J63" s="3"/>
      <c r="K63" s="3"/>
      <c r="L63" s="4" t="s">
        <v>580</v>
      </c>
      <c r="M63" s="4"/>
      <c r="N63" s="4" t="s">
        <v>53</v>
      </c>
    </row>
    <row r="64" customFormat="false" ht="48" hidden="false" customHeight="false" outlineLevel="0" collapsed="false">
      <c r="A64" s="11" t="s">
        <v>591</v>
      </c>
      <c r="B64" s="4" t="s">
        <v>17</v>
      </c>
      <c r="C64" s="8" t="s">
        <v>44</v>
      </c>
      <c r="D64" s="8"/>
      <c r="E64" s="8"/>
      <c r="F64" s="4" t="s">
        <v>586</v>
      </c>
      <c r="G64" s="25" t="s">
        <v>374</v>
      </c>
      <c r="H64" s="4"/>
      <c r="I64" s="8" t="s">
        <v>587</v>
      </c>
      <c r="J64" s="3"/>
      <c r="K64" s="3"/>
      <c r="L64" s="4" t="s">
        <v>580</v>
      </c>
      <c r="M64" s="4"/>
      <c r="N64" s="4" t="s">
        <v>53</v>
      </c>
    </row>
    <row r="65" customFormat="false" ht="48" hidden="false" customHeight="false" outlineLevel="0" collapsed="false">
      <c r="A65" s="11" t="s">
        <v>592</v>
      </c>
      <c r="B65" s="4" t="s">
        <v>17</v>
      </c>
      <c r="C65" s="8" t="s">
        <v>44</v>
      </c>
      <c r="D65" s="8"/>
      <c r="E65" s="8"/>
      <c r="F65" s="4" t="s">
        <v>582</v>
      </c>
      <c r="G65" s="25" t="s">
        <v>374</v>
      </c>
      <c r="H65" s="4"/>
      <c r="I65" s="8" t="s">
        <v>593</v>
      </c>
      <c r="J65" s="3"/>
      <c r="K65" s="3"/>
      <c r="L65" s="4" t="s">
        <v>580</v>
      </c>
      <c r="M65" s="4"/>
      <c r="N65" s="4" t="s">
        <v>63</v>
      </c>
    </row>
    <row r="66" customFormat="false" ht="36" hidden="false" customHeight="false" outlineLevel="0" collapsed="false">
      <c r="A66" s="11" t="s">
        <v>594</v>
      </c>
      <c r="B66" s="4" t="s">
        <v>17</v>
      </c>
      <c r="C66" s="8" t="s">
        <v>44</v>
      </c>
      <c r="D66" s="8"/>
      <c r="E66" s="8"/>
      <c r="F66" s="4" t="n">
        <v>0.71</v>
      </c>
      <c r="G66" s="8" t="s">
        <v>595</v>
      </c>
      <c r="H66" s="4" t="n">
        <v>150</v>
      </c>
      <c r="I66" s="25" t="s">
        <v>596</v>
      </c>
      <c r="J66" s="3"/>
      <c r="K66" s="3"/>
      <c r="L66" s="4" t="s">
        <v>580</v>
      </c>
      <c r="M66" s="4"/>
      <c r="N66" s="4" t="s">
        <v>53</v>
      </c>
    </row>
    <row r="67" customFormat="false" ht="36" hidden="false" customHeight="false" outlineLevel="0" collapsed="false">
      <c r="A67" s="11" t="s">
        <v>597</v>
      </c>
      <c r="B67" s="4" t="s">
        <v>17</v>
      </c>
      <c r="C67" s="8" t="s">
        <v>44</v>
      </c>
      <c r="D67" s="8"/>
      <c r="E67" s="8"/>
      <c r="F67" s="4" t="s">
        <v>577</v>
      </c>
      <c r="G67" s="25" t="s">
        <v>374</v>
      </c>
      <c r="H67" s="4"/>
      <c r="I67" s="8" t="s">
        <v>578</v>
      </c>
      <c r="J67" s="3" t="s">
        <v>579</v>
      </c>
      <c r="K67" s="3"/>
      <c r="L67" s="4" t="s">
        <v>580</v>
      </c>
      <c r="M67" s="4"/>
      <c r="N67" s="4" t="s">
        <v>63</v>
      </c>
    </row>
    <row r="68" customFormat="false" ht="48" hidden="false" customHeight="false" outlineLevel="0" collapsed="false">
      <c r="A68" s="11" t="s">
        <v>598</v>
      </c>
      <c r="B68" s="4" t="s">
        <v>17</v>
      </c>
      <c r="C68" s="8" t="s">
        <v>44</v>
      </c>
      <c r="D68" s="8"/>
      <c r="E68" s="8"/>
      <c r="F68" s="4" t="s">
        <v>582</v>
      </c>
      <c r="G68" s="25" t="s">
        <v>374</v>
      </c>
      <c r="H68" s="4"/>
      <c r="I68" s="8" t="s">
        <v>583</v>
      </c>
      <c r="J68" s="3"/>
      <c r="K68" s="3"/>
      <c r="L68" s="4" t="s">
        <v>580</v>
      </c>
      <c r="M68" s="4"/>
      <c r="N68" s="4" t="s">
        <v>63</v>
      </c>
    </row>
    <row r="69" customFormat="false" ht="48" hidden="false" customHeight="false" outlineLevel="0" collapsed="false">
      <c r="A69" s="11" t="s">
        <v>599</v>
      </c>
      <c r="B69" s="4" t="s">
        <v>17</v>
      </c>
      <c r="C69" s="8" t="s">
        <v>44</v>
      </c>
      <c r="D69" s="8"/>
      <c r="E69" s="8"/>
      <c r="F69" s="4" t="s">
        <v>582</v>
      </c>
      <c r="G69" s="25" t="s">
        <v>374</v>
      </c>
      <c r="H69" s="4"/>
      <c r="I69" s="8" t="s">
        <v>583</v>
      </c>
      <c r="J69" s="3"/>
      <c r="K69" s="3"/>
      <c r="L69" s="4" t="s">
        <v>580</v>
      </c>
      <c r="M69" s="4"/>
      <c r="N69" s="4" t="s">
        <v>63</v>
      </c>
    </row>
    <row r="70" customFormat="false" ht="48" hidden="false" customHeight="false" outlineLevel="0" collapsed="false">
      <c r="A70" s="11" t="s">
        <v>600</v>
      </c>
      <c r="B70" s="4" t="s">
        <v>17</v>
      </c>
      <c r="C70" s="8" t="s">
        <v>44</v>
      </c>
      <c r="D70" s="8"/>
      <c r="E70" s="8"/>
      <c r="F70" s="4" t="s">
        <v>586</v>
      </c>
      <c r="G70" s="25" t="s">
        <v>374</v>
      </c>
      <c r="H70" s="4"/>
      <c r="I70" s="8" t="s">
        <v>587</v>
      </c>
      <c r="J70" s="3"/>
      <c r="K70" s="3"/>
      <c r="L70" s="4" t="s">
        <v>580</v>
      </c>
      <c r="M70" s="4"/>
      <c r="N70" s="4" t="s">
        <v>63</v>
      </c>
    </row>
    <row r="71" customFormat="false" ht="48" hidden="false" customHeight="false" outlineLevel="0" collapsed="false">
      <c r="A71" s="11" t="s">
        <v>601</v>
      </c>
      <c r="B71" s="4" t="s">
        <v>17</v>
      </c>
      <c r="C71" s="8" t="s">
        <v>44</v>
      </c>
      <c r="D71" s="8"/>
      <c r="E71" s="8"/>
      <c r="F71" s="4" t="s">
        <v>586</v>
      </c>
      <c r="G71" s="25" t="s">
        <v>374</v>
      </c>
      <c r="H71" s="4"/>
      <c r="I71" s="8" t="s">
        <v>587</v>
      </c>
      <c r="J71" s="3"/>
      <c r="K71" s="3"/>
      <c r="L71" s="4" t="s">
        <v>580</v>
      </c>
      <c r="M71" s="4"/>
      <c r="N71" s="4" t="s">
        <v>53</v>
      </c>
    </row>
    <row r="72" customFormat="false" ht="48" hidden="false" customHeight="false" outlineLevel="0" collapsed="false">
      <c r="A72" s="11" t="s">
        <v>602</v>
      </c>
      <c r="B72" s="4" t="s">
        <v>17</v>
      </c>
      <c r="C72" s="8" t="s">
        <v>44</v>
      </c>
      <c r="D72" s="8"/>
      <c r="E72" s="8"/>
      <c r="F72" s="4" t="s">
        <v>586</v>
      </c>
      <c r="G72" s="25" t="s">
        <v>374</v>
      </c>
      <c r="H72" s="4"/>
      <c r="I72" s="8" t="s">
        <v>587</v>
      </c>
      <c r="J72" s="3"/>
      <c r="K72" s="3"/>
      <c r="L72" s="4" t="s">
        <v>580</v>
      </c>
      <c r="M72" s="4"/>
      <c r="N72" s="4" t="s">
        <v>53</v>
      </c>
    </row>
    <row r="73" customFormat="false" ht="48" hidden="false" customHeight="false" outlineLevel="0" collapsed="false">
      <c r="A73" s="11" t="s">
        <v>603</v>
      </c>
      <c r="B73" s="4" t="s">
        <v>17</v>
      </c>
      <c r="C73" s="8" t="s">
        <v>44</v>
      </c>
      <c r="D73" s="8"/>
      <c r="E73" s="8"/>
      <c r="F73" s="4" t="s">
        <v>586</v>
      </c>
      <c r="G73" s="25" t="s">
        <v>374</v>
      </c>
      <c r="H73" s="4"/>
      <c r="I73" s="8" t="s">
        <v>587</v>
      </c>
      <c r="J73" s="3"/>
      <c r="K73" s="3"/>
      <c r="L73" s="4" t="s">
        <v>580</v>
      </c>
      <c r="M73" s="4"/>
      <c r="N73" s="4" t="s">
        <v>53</v>
      </c>
    </row>
    <row r="74" customFormat="false" ht="48" hidden="false" customHeight="false" outlineLevel="0" collapsed="false">
      <c r="A74" s="11" t="s">
        <v>604</v>
      </c>
      <c r="B74" s="4" t="s">
        <v>17</v>
      </c>
      <c r="C74" s="8" t="s">
        <v>44</v>
      </c>
      <c r="D74" s="8"/>
      <c r="E74" s="8"/>
      <c r="F74" s="4" t="s">
        <v>586</v>
      </c>
      <c r="G74" s="25" t="s">
        <v>374</v>
      </c>
      <c r="H74" s="4"/>
      <c r="I74" s="8" t="s">
        <v>587</v>
      </c>
      <c r="J74" s="3"/>
      <c r="K74" s="3"/>
      <c r="L74" s="4" t="s">
        <v>580</v>
      </c>
      <c r="M74" s="4"/>
      <c r="N74" s="4" t="s">
        <v>53</v>
      </c>
    </row>
    <row r="75" customFormat="false" ht="48" hidden="false" customHeight="false" outlineLevel="0" collapsed="false">
      <c r="A75" s="11" t="s">
        <v>605</v>
      </c>
      <c r="B75" s="4" t="s">
        <v>17</v>
      </c>
      <c r="C75" s="8" t="s">
        <v>44</v>
      </c>
      <c r="D75" s="8"/>
      <c r="E75" s="8"/>
      <c r="F75" s="4" t="s">
        <v>582</v>
      </c>
      <c r="G75" s="25" t="s">
        <v>374</v>
      </c>
      <c r="H75" s="4"/>
      <c r="I75" s="8" t="s">
        <v>593</v>
      </c>
      <c r="J75" s="3"/>
      <c r="K75" s="3"/>
      <c r="L75" s="4" t="s">
        <v>580</v>
      </c>
      <c r="M75" s="4"/>
      <c r="N75" s="4" t="s">
        <v>63</v>
      </c>
    </row>
    <row r="76" customFormat="false" ht="36" hidden="false" customHeight="false" outlineLevel="0" collapsed="false">
      <c r="A76" s="11" t="s">
        <v>606</v>
      </c>
      <c r="B76" s="4" t="s">
        <v>17</v>
      </c>
      <c r="C76" s="8" t="s">
        <v>44</v>
      </c>
      <c r="D76" s="8"/>
      <c r="E76" s="8"/>
      <c r="F76" s="4" t="n">
        <v>0.71</v>
      </c>
      <c r="G76" s="8" t="s">
        <v>595</v>
      </c>
      <c r="H76" s="4"/>
      <c r="I76" s="25" t="s">
        <v>596</v>
      </c>
      <c r="J76" s="3"/>
      <c r="K76" s="3"/>
      <c r="L76" s="4" t="s">
        <v>580</v>
      </c>
      <c r="M76" s="4"/>
      <c r="N76" s="4" t="s">
        <v>53</v>
      </c>
    </row>
    <row r="77" customFormat="false" ht="15" hidden="false" customHeight="false" outlineLevel="0" collapsed="false">
      <c r="A77" s="11" t="s">
        <v>607</v>
      </c>
      <c r="B77" s="4" t="s">
        <v>191</v>
      </c>
      <c r="C77" s="8" t="s">
        <v>44</v>
      </c>
      <c r="D77" s="8"/>
      <c r="E77" s="8"/>
      <c r="F77" s="4" t="n">
        <v>100</v>
      </c>
      <c r="G77" s="8" t="s">
        <v>15</v>
      </c>
      <c r="H77" s="4" t="n">
        <v>321</v>
      </c>
      <c r="I77" s="8"/>
      <c r="J77" s="3" t="s">
        <v>608</v>
      </c>
      <c r="K77" s="3"/>
      <c r="L77" s="4" t="s">
        <v>580</v>
      </c>
      <c r="M77" s="4"/>
      <c r="N77" s="4" t="s">
        <v>63</v>
      </c>
    </row>
    <row r="78" customFormat="false" ht="15" hidden="false" customHeight="false" outlineLevel="0" collapsed="false">
      <c r="A78" s="11" t="s">
        <v>609</v>
      </c>
      <c r="B78" s="4" t="s">
        <v>191</v>
      </c>
      <c r="C78" s="8" t="s">
        <v>44</v>
      </c>
      <c r="D78" s="8"/>
      <c r="E78" s="8"/>
      <c r="F78" s="4" t="n">
        <v>8</v>
      </c>
      <c r="G78" s="8" t="s">
        <v>15</v>
      </c>
      <c r="H78" s="4" t="n">
        <v>321</v>
      </c>
      <c r="I78" s="8"/>
      <c r="J78" s="3" t="s">
        <v>608</v>
      </c>
      <c r="K78" s="3"/>
      <c r="L78" s="4" t="s">
        <v>580</v>
      </c>
      <c r="M78" s="4"/>
      <c r="N78" s="4" t="s">
        <v>63</v>
      </c>
    </row>
    <row r="79" customFormat="false" ht="15" hidden="false" customHeight="false" outlineLevel="0" collapsed="false">
      <c r="A79" s="11" t="s">
        <v>610</v>
      </c>
      <c r="B79" s="4" t="s">
        <v>191</v>
      </c>
      <c r="C79" s="8" t="s">
        <v>44</v>
      </c>
      <c r="D79" s="8"/>
      <c r="E79" s="8"/>
      <c r="F79" s="4" t="n">
        <v>85</v>
      </c>
      <c r="G79" s="8" t="s">
        <v>15</v>
      </c>
      <c r="H79" s="4" t="n">
        <v>321</v>
      </c>
      <c r="I79" s="8"/>
      <c r="J79" s="3" t="s">
        <v>608</v>
      </c>
      <c r="K79" s="3"/>
      <c r="L79" s="4" t="s">
        <v>580</v>
      </c>
      <c r="M79" s="4"/>
      <c r="N79" s="4" t="s">
        <v>63</v>
      </c>
    </row>
    <row r="80" customFormat="false" ht="15" hidden="false" customHeight="false" outlineLevel="0" collapsed="false">
      <c r="A80" s="11" t="s">
        <v>611</v>
      </c>
      <c r="B80" s="4" t="s">
        <v>191</v>
      </c>
      <c r="C80" s="8" t="s">
        <v>44</v>
      </c>
      <c r="D80" s="8"/>
      <c r="E80" s="8"/>
      <c r="F80" s="4" t="n">
        <v>60</v>
      </c>
      <c r="G80" s="8" t="s">
        <v>15</v>
      </c>
      <c r="H80" s="4" t="n">
        <v>318</v>
      </c>
      <c r="I80" s="8"/>
      <c r="J80" s="3" t="s">
        <v>612</v>
      </c>
      <c r="K80" s="3"/>
      <c r="L80" s="4" t="s">
        <v>580</v>
      </c>
      <c r="M80" s="4"/>
      <c r="N80" s="4" t="s">
        <v>63</v>
      </c>
    </row>
    <row r="81" customFormat="false" ht="15" hidden="false" customHeight="false" outlineLevel="0" collapsed="false">
      <c r="A81" s="11" t="s">
        <v>613</v>
      </c>
      <c r="B81" s="4" t="s">
        <v>191</v>
      </c>
      <c r="C81" s="8" t="s">
        <v>44</v>
      </c>
      <c r="D81" s="8"/>
      <c r="E81" s="8"/>
      <c r="F81" s="4" t="n">
        <v>59</v>
      </c>
      <c r="G81" s="8" t="s">
        <v>15</v>
      </c>
      <c r="H81" s="4" t="n">
        <v>321</v>
      </c>
      <c r="I81" s="8"/>
      <c r="J81" s="3" t="s">
        <v>608</v>
      </c>
      <c r="K81" s="3"/>
      <c r="L81" s="4" t="s">
        <v>580</v>
      </c>
      <c r="M81" s="4"/>
      <c r="N81" s="4" t="s">
        <v>63</v>
      </c>
    </row>
    <row r="82" customFormat="false" ht="15" hidden="false" customHeight="false" outlineLevel="0" collapsed="false">
      <c r="A82" s="77" t="s">
        <v>614</v>
      </c>
      <c r="B82" s="71" t="s">
        <v>191</v>
      </c>
      <c r="C82" s="70" t="s">
        <v>44</v>
      </c>
      <c r="D82" s="8"/>
      <c r="E82" s="8"/>
      <c r="F82" s="71" t="s">
        <v>615</v>
      </c>
      <c r="G82" s="70" t="s">
        <v>15</v>
      </c>
      <c r="H82" s="4" t="s">
        <v>616</v>
      </c>
      <c r="J82" s="3" t="s">
        <v>608</v>
      </c>
      <c r="K82" s="3"/>
      <c r="L82" s="4" t="s">
        <v>580</v>
      </c>
      <c r="M82" s="4"/>
      <c r="N82" s="4" t="s">
        <v>63</v>
      </c>
    </row>
    <row r="83" customFormat="false" ht="15" hidden="false" customHeight="false" outlineLevel="0" collapsed="false">
      <c r="A83" s="11" t="s">
        <v>617</v>
      </c>
      <c r="B83" s="4" t="s">
        <v>191</v>
      </c>
      <c r="C83" s="8" t="s">
        <v>44</v>
      </c>
      <c r="D83" s="8"/>
      <c r="E83" s="8"/>
      <c r="F83" s="4" t="n">
        <v>18</v>
      </c>
      <c r="G83" s="8" t="s">
        <v>15</v>
      </c>
      <c r="H83" s="4" t="n">
        <v>318</v>
      </c>
      <c r="I83" s="8"/>
      <c r="J83" s="3" t="s">
        <v>618</v>
      </c>
      <c r="K83" s="3"/>
      <c r="L83" s="4" t="s">
        <v>580</v>
      </c>
      <c r="M83" s="4"/>
      <c r="N83" s="4" t="s">
        <v>63</v>
      </c>
    </row>
    <row r="84" customFormat="false" ht="15" hidden="false" customHeight="false" outlineLevel="0" collapsed="false">
      <c r="A84" s="11" t="s">
        <v>619</v>
      </c>
      <c r="B84" s="4" t="s">
        <v>191</v>
      </c>
      <c r="C84" s="8" t="s">
        <v>44</v>
      </c>
      <c r="D84" s="8"/>
      <c r="E84" s="8"/>
      <c r="F84" s="4" t="n">
        <v>6</v>
      </c>
      <c r="G84" s="8" t="s">
        <v>15</v>
      </c>
      <c r="H84" s="4" t="n">
        <v>340</v>
      </c>
      <c r="I84" s="8"/>
      <c r="J84" s="3"/>
      <c r="K84" s="3"/>
      <c r="L84" s="4" t="s">
        <v>580</v>
      </c>
      <c r="M84" s="4"/>
      <c r="N84" s="4" t="s">
        <v>63</v>
      </c>
    </row>
    <row r="85" customFormat="false" ht="15" hidden="false" customHeight="false" outlineLevel="0" collapsed="false">
      <c r="A85" s="11" t="s">
        <v>620</v>
      </c>
      <c r="B85" s="4" t="s">
        <v>191</v>
      </c>
      <c r="C85" s="8" t="s">
        <v>44</v>
      </c>
      <c r="D85" s="8"/>
      <c r="E85" s="8"/>
      <c r="F85" s="4" t="n">
        <v>100</v>
      </c>
      <c r="G85" s="8" t="s">
        <v>15</v>
      </c>
      <c r="H85" s="4" t="n">
        <v>321</v>
      </c>
      <c r="I85" s="8"/>
      <c r="J85" s="3" t="s">
        <v>608</v>
      </c>
      <c r="K85" s="3"/>
      <c r="L85" s="4" t="s">
        <v>580</v>
      </c>
      <c r="M85" s="4"/>
      <c r="N85" s="4" t="s">
        <v>63</v>
      </c>
    </row>
    <row r="86" customFormat="false" ht="15" hidden="false" customHeight="false" outlineLevel="0" collapsed="false">
      <c r="A86" s="11" t="s">
        <v>621</v>
      </c>
      <c r="B86" s="4" t="s">
        <v>191</v>
      </c>
      <c r="C86" s="8" t="s">
        <v>44</v>
      </c>
      <c r="D86" s="8"/>
      <c r="E86" s="8"/>
      <c r="F86" s="4" t="n">
        <v>8</v>
      </c>
      <c r="G86" s="8" t="s">
        <v>15</v>
      </c>
      <c r="H86" s="4" t="n">
        <v>321</v>
      </c>
      <c r="I86" s="8"/>
      <c r="J86" s="3" t="s">
        <v>608</v>
      </c>
      <c r="K86" s="3"/>
      <c r="L86" s="4" t="s">
        <v>580</v>
      </c>
      <c r="M86" s="4"/>
      <c r="N86" s="4" t="s">
        <v>63</v>
      </c>
    </row>
    <row r="87" customFormat="false" ht="15" hidden="false" customHeight="false" outlineLevel="0" collapsed="false">
      <c r="A87" s="11" t="s">
        <v>622</v>
      </c>
      <c r="B87" s="4" t="s">
        <v>191</v>
      </c>
      <c r="C87" s="8" t="s">
        <v>44</v>
      </c>
      <c r="D87" s="8"/>
      <c r="E87" s="8"/>
      <c r="F87" s="4" t="n">
        <v>85</v>
      </c>
      <c r="G87" s="8" t="s">
        <v>15</v>
      </c>
      <c r="H87" s="4" t="n">
        <v>321</v>
      </c>
      <c r="I87" s="8"/>
      <c r="J87" s="3" t="s">
        <v>608</v>
      </c>
      <c r="K87" s="3"/>
      <c r="L87" s="4" t="s">
        <v>580</v>
      </c>
      <c r="M87" s="4"/>
      <c r="N87" s="4" t="s">
        <v>63</v>
      </c>
    </row>
    <row r="88" customFormat="false" ht="15" hidden="false" customHeight="false" outlineLevel="0" collapsed="false">
      <c r="A88" s="11" t="s">
        <v>623</v>
      </c>
      <c r="B88" s="4" t="s">
        <v>191</v>
      </c>
      <c r="C88" s="8" t="s">
        <v>44</v>
      </c>
      <c r="D88" s="8"/>
      <c r="E88" s="8"/>
      <c r="F88" s="4" t="n">
        <v>60</v>
      </c>
      <c r="G88" s="8" t="s">
        <v>15</v>
      </c>
      <c r="H88" s="4" t="n">
        <v>318</v>
      </c>
      <c r="I88" s="8"/>
      <c r="J88" s="3" t="s">
        <v>612</v>
      </c>
      <c r="K88" s="3"/>
      <c r="L88" s="4" t="s">
        <v>580</v>
      </c>
      <c r="M88" s="4"/>
      <c r="N88" s="4" t="s">
        <v>63</v>
      </c>
    </row>
    <row r="89" customFormat="false" ht="15" hidden="false" customHeight="false" outlineLevel="0" collapsed="false">
      <c r="A89" s="11" t="s">
        <v>624</v>
      </c>
      <c r="B89" s="4" t="s">
        <v>191</v>
      </c>
      <c r="C89" s="8" t="s">
        <v>44</v>
      </c>
      <c r="D89" s="8"/>
      <c r="E89" s="8"/>
      <c r="F89" s="4" t="n">
        <v>59</v>
      </c>
      <c r="G89" s="8" t="s">
        <v>15</v>
      </c>
      <c r="H89" s="4" t="n">
        <v>321</v>
      </c>
      <c r="I89" s="8"/>
      <c r="J89" s="3" t="s">
        <v>608</v>
      </c>
      <c r="K89" s="3"/>
      <c r="L89" s="4" t="s">
        <v>580</v>
      </c>
      <c r="M89" s="4"/>
      <c r="N89" s="4" t="s">
        <v>63</v>
      </c>
    </row>
    <row r="90" customFormat="false" ht="15" hidden="false" customHeight="false" outlineLevel="0" collapsed="false">
      <c r="A90" s="11" t="s">
        <v>625</v>
      </c>
      <c r="B90" s="4" t="s">
        <v>191</v>
      </c>
      <c r="C90" s="8" t="s">
        <v>44</v>
      </c>
      <c r="D90" s="8"/>
      <c r="E90" s="8"/>
      <c r="F90" s="4" t="s">
        <v>615</v>
      </c>
      <c r="G90" s="8" t="s">
        <v>15</v>
      </c>
      <c r="H90" s="4" t="s">
        <v>616</v>
      </c>
      <c r="I90" s="8"/>
      <c r="J90" s="3" t="s">
        <v>608</v>
      </c>
      <c r="K90" s="3"/>
      <c r="L90" s="4" t="s">
        <v>580</v>
      </c>
      <c r="M90" s="4"/>
      <c r="N90" s="4" t="s">
        <v>63</v>
      </c>
    </row>
    <row r="91" customFormat="false" ht="15" hidden="false" customHeight="false" outlineLevel="0" collapsed="false">
      <c r="A91" s="11" t="s">
        <v>626</v>
      </c>
      <c r="B91" s="4" t="s">
        <v>191</v>
      </c>
      <c r="C91" s="8" t="s">
        <v>44</v>
      </c>
      <c r="D91" s="8"/>
      <c r="E91" s="8"/>
      <c r="F91" s="4" t="n">
        <v>18</v>
      </c>
      <c r="G91" s="8" t="s">
        <v>15</v>
      </c>
      <c r="H91" s="4" t="n">
        <v>318</v>
      </c>
      <c r="I91" s="8"/>
      <c r="J91" s="3" t="s">
        <v>618</v>
      </c>
      <c r="K91" s="3"/>
      <c r="L91" s="4" t="s">
        <v>580</v>
      </c>
      <c r="M91" s="4"/>
      <c r="N91" s="4" t="s">
        <v>63</v>
      </c>
    </row>
    <row r="92" customFormat="false" ht="15" hidden="false" customHeight="false" outlineLevel="0" collapsed="false">
      <c r="A92" s="11" t="s">
        <v>627</v>
      </c>
      <c r="B92" s="4" t="s">
        <v>191</v>
      </c>
      <c r="C92" s="8" t="s">
        <v>44</v>
      </c>
      <c r="D92" s="8"/>
      <c r="E92" s="8"/>
      <c r="F92" s="4" t="n">
        <v>6</v>
      </c>
      <c r="G92" s="8" t="s">
        <v>15</v>
      </c>
      <c r="H92" s="4" t="n">
        <v>340</v>
      </c>
      <c r="I92" s="8"/>
      <c r="J92" s="3"/>
      <c r="K92" s="3"/>
      <c r="L92" s="4" t="s">
        <v>580</v>
      </c>
      <c r="M92" s="4"/>
      <c r="N92" s="4" t="s">
        <v>63</v>
      </c>
    </row>
    <row r="93" customFormat="false" ht="15" hidden="false" customHeight="false" outlineLevel="0" collapsed="false">
      <c r="A93" s="11" t="s">
        <v>628</v>
      </c>
      <c r="B93" s="4" t="s">
        <v>629</v>
      </c>
      <c r="C93" s="8" t="s">
        <v>44</v>
      </c>
      <c r="D93" s="8"/>
      <c r="E93" s="8"/>
      <c r="F93" s="4" t="n">
        <v>550</v>
      </c>
      <c r="G93" s="8" t="s">
        <v>15</v>
      </c>
      <c r="H93" s="4" t="n">
        <v>309</v>
      </c>
      <c r="I93" s="8"/>
      <c r="J93" s="3" t="s">
        <v>630</v>
      </c>
      <c r="K93" s="3"/>
      <c r="L93" s="4" t="s">
        <v>580</v>
      </c>
      <c r="M93" s="4"/>
      <c r="N93" s="4" t="s">
        <v>63</v>
      </c>
    </row>
    <row r="94" customFormat="false" ht="15" hidden="false" customHeight="false" outlineLevel="0" collapsed="false">
      <c r="A94" s="11" t="s">
        <v>631</v>
      </c>
      <c r="B94" s="8" t="s">
        <v>492</v>
      </c>
      <c r="C94" s="8" t="s">
        <v>44</v>
      </c>
      <c r="D94" s="8"/>
      <c r="E94" s="8"/>
      <c r="F94" s="8" t="n">
        <v>0.75</v>
      </c>
      <c r="G94" s="8" t="s">
        <v>15</v>
      </c>
      <c r="H94" s="8" t="s">
        <v>632</v>
      </c>
      <c r="I94" s="8"/>
      <c r="J94" s="3"/>
      <c r="K94" s="3"/>
      <c r="L94" s="4" t="s">
        <v>580</v>
      </c>
      <c r="M94" s="4"/>
      <c r="N94" s="4" t="s">
        <v>53</v>
      </c>
    </row>
    <row r="95" customFormat="false" ht="15" hidden="false" customHeight="false" outlineLevel="0" collapsed="false">
      <c r="A95" s="11" t="s">
        <v>633</v>
      </c>
      <c r="B95" s="4" t="s">
        <v>629</v>
      </c>
      <c r="C95" s="8" t="s">
        <v>44</v>
      </c>
      <c r="D95" s="8"/>
      <c r="E95" s="8"/>
      <c r="F95" s="4" t="n">
        <v>550</v>
      </c>
      <c r="G95" s="8" t="s">
        <v>15</v>
      </c>
      <c r="H95" s="4" t="n">
        <v>309</v>
      </c>
      <c r="I95" s="8"/>
      <c r="J95" s="3" t="s">
        <v>630</v>
      </c>
      <c r="K95" s="3"/>
      <c r="L95" s="4" t="s">
        <v>580</v>
      </c>
      <c r="M95" s="4"/>
      <c r="N95" s="4" t="s">
        <v>63</v>
      </c>
    </row>
    <row r="96" customFormat="false" ht="15" hidden="false" customHeight="false" outlineLevel="0" collapsed="false">
      <c r="A96" s="11" t="s">
        <v>634</v>
      </c>
      <c r="B96" s="8" t="s">
        <v>492</v>
      </c>
      <c r="C96" s="8" t="s">
        <v>44</v>
      </c>
      <c r="D96" s="8"/>
      <c r="E96" s="8"/>
      <c r="F96" s="8" t="n">
        <v>0.75</v>
      </c>
      <c r="G96" s="8" t="s">
        <v>15</v>
      </c>
      <c r="H96" s="8" t="s">
        <v>632</v>
      </c>
      <c r="I96" s="8"/>
      <c r="J96" s="3"/>
      <c r="K96" s="3"/>
      <c r="L96" s="4" t="s">
        <v>580</v>
      </c>
      <c r="M96" s="4"/>
      <c r="N96" s="4" t="s">
        <v>53</v>
      </c>
    </row>
    <row r="97" customFormat="false" ht="24" hidden="false" customHeight="false" outlineLevel="0" collapsed="false">
      <c r="A97" s="11" t="s">
        <v>635</v>
      </c>
      <c r="B97" s="25" t="s">
        <v>137</v>
      </c>
      <c r="C97" s="8" t="s">
        <v>44</v>
      </c>
      <c r="D97" s="8"/>
      <c r="E97" s="8"/>
      <c r="F97" s="25" t="n">
        <v>0</v>
      </c>
      <c r="G97" s="25" t="s">
        <v>636</v>
      </c>
      <c r="I97" s="25" t="s">
        <v>637</v>
      </c>
      <c r="J97" s="25" t="s">
        <v>638</v>
      </c>
      <c r="K97" s="4" t="s">
        <v>639</v>
      </c>
      <c r="L97" s="4" t="s">
        <v>580</v>
      </c>
      <c r="M97" s="4"/>
      <c r="N97" s="4" t="s">
        <v>53</v>
      </c>
    </row>
    <row r="98" customFormat="false" ht="24" hidden="false" customHeight="false" outlineLevel="0" collapsed="false">
      <c r="A98" s="11" t="s">
        <v>640</v>
      </c>
      <c r="B98" s="25" t="s">
        <v>137</v>
      </c>
      <c r="C98" s="8" t="s">
        <v>44</v>
      </c>
      <c r="D98" s="8"/>
      <c r="E98" s="8"/>
      <c r="F98" s="25" t="n">
        <v>0.0667</v>
      </c>
      <c r="G98" s="25" t="s">
        <v>641</v>
      </c>
      <c r="H98" s="17"/>
      <c r="I98" s="17" t="s">
        <v>642</v>
      </c>
      <c r="J98" s="25" t="s">
        <v>643</v>
      </c>
      <c r="K98" s="4"/>
      <c r="L98" s="4" t="s">
        <v>580</v>
      </c>
      <c r="M98" s="4"/>
      <c r="N98" s="4" t="s">
        <v>53</v>
      </c>
    </row>
    <row r="99" customFormat="false" ht="24" hidden="false" customHeight="false" outlineLevel="0" collapsed="false">
      <c r="A99" s="11" t="s">
        <v>644</v>
      </c>
      <c r="B99" s="25" t="s">
        <v>137</v>
      </c>
      <c r="C99" s="8" t="s">
        <v>44</v>
      </c>
      <c r="D99" s="8"/>
      <c r="E99" s="8"/>
      <c r="F99" s="25" t="n">
        <v>0.081</v>
      </c>
      <c r="G99" s="25" t="s">
        <v>104</v>
      </c>
      <c r="H99" s="25" t="s">
        <v>645</v>
      </c>
      <c r="I99" s="25" t="s">
        <v>646</v>
      </c>
      <c r="J99" s="25" t="s">
        <v>643</v>
      </c>
      <c r="K99" s="4"/>
      <c r="L99" s="4" t="s">
        <v>580</v>
      </c>
      <c r="M99" s="4"/>
      <c r="N99" s="4" t="s">
        <v>53</v>
      </c>
    </row>
    <row r="100" customFormat="false" ht="24" hidden="false" customHeight="false" outlineLevel="0" collapsed="false">
      <c r="A100" s="11" t="s">
        <v>647</v>
      </c>
      <c r="B100" s="25" t="s">
        <v>137</v>
      </c>
      <c r="C100" s="8" t="s">
        <v>44</v>
      </c>
      <c r="D100" s="8"/>
      <c r="E100" s="8"/>
      <c r="F100" s="25" t="s">
        <v>648</v>
      </c>
      <c r="G100" s="25" t="s">
        <v>104</v>
      </c>
      <c r="H100" s="17" t="s">
        <v>649</v>
      </c>
      <c r="I100" s="25" t="s">
        <v>650</v>
      </c>
      <c r="J100" s="4"/>
      <c r="K100" s="4"/>
      <c r="L100" s="4" t="s">
        <v>580</v>
      </c>
      <c r="M100" s="4"/>
      <c r="N100" s="4" t="s">
        <v>53</v>
      </c>
    </row>
    <row r="101" customFormat="false" ht="24" hidden="false" customHeight="false" outlineLevel="0" collapsed="false">
      <c r="A101" s="11" t="s">
        <v>651</v>
      </c>
      <c r="B101" s="25" t="s">
        <v>137</v>
      </c>
      <c r="C101" s="8" t="s">
        <v>44</v>
      </c>
      <c r="D101" s="8"/>
      <c r="E101" s="8"/>
      <c r="F101" s="25" t="s">
        <v>652</v>
      </c>
      <c r="G101" s="25" t="s">
        <v>104</v>
      </c>
      <c r="H101" s="25" t="s">
        <v>649</v>
      </c>
      <c r="I101" s="25" t="s">
        <v>653</v>
      </c>
      <c r="J101" s="4"/>
      <c r="K101" s="4"/>
      <c r="L101" s="4" t="s">
        <v>580</v>
      </c>
      <c r="M101" s="4"/>
      <c r="N101" s="4" t="s">
        <v>53</v>
      </c>
    </row>
    <row r="102" customFormat="false" ht="36" hidden="false" customHeight="false" outlineLevel="0" collapsed="false">
      <c r="A102" s="11" t="s">
        <v>654</v>
      </c>
      <c r="B102" s="25" t="s">
        <v>137</v>
      </c>
      <c r="C102" s="8" t="s">
        <v>44</v>
      </c>
      <c r="D102" s="8"/>
      <c r="E102" s="8"/>
      <c r="F102" s="25" t="n">
        <v>0</v>
      </c>
      <c r="G102" s="25" t="s">
        <v>104</v>
      </c>
      <c r="H102" s="25" t="s">
        <v>655</v>
      </c>
      <c r="I102" s="25"/>
      <c r="J102" s="25" t="s">
        <v>656</v>
      </c>
      <c r="K102" s="4"/>
      <c r="L102" s="4" t="s">
        <v>580</v>
      </c>
      <c r="M102" s="4"/>
      <c r="N102" s="4" t="s">
        <v>53</v>
      </c>
    </row>
    <row r="103" customFormat="false" ht="24" hidden="false" customHeight="false" outlineLevel="0" collapsed="false">
      <c r="A103" s="11" t="s">
        <v>657</v>
      </c>
      <c r="B103" s="25" t="s">
        <v>137</v>
      </c>
      <c r="C103" s="8" t="s">
        <v>44</v>
      </c>
      <c r="D103" s="8"/>
      <c r="E103" s="8"/>
      <c r="F103" s="25" t="s">
        <v>658</v>
      </c>
      <c r="G103" s="25" t="s">
        <v>104</v>
      </c>
      <c r="H103" s="25" t="s">
        <v>514</v>
      </c>
      <c r="I103" s="25" t="s">
        <v>659</v>
      </c>
      <c r="J103" s="4"/>
      <c r="K103" s="4"/>
      <c r="L103" s="4" t="s">
        <v>580</v>
      </c>
      <c r="M103" s="4"/>
      <c r="N103" s="4" t="s">
        <v>53</v>
      </c>
    </row>
    <row r="104" customFormat="false" ht="24" hidden="false" customHeight="false" outlineLevel="0" collapsed="false">
      <c r="A104" s="11" t="s">
        <v>660</v>
      </c>
      <c r="B104" s="25" t="s">
        <v>137</v>
      </c>
      <c r="C104" s="8" t="s">
        <v>44</v>
      </c>
      <c r="D104" s="8"/>
      <c r="E104" s="8"/>
      <c r="F104" s="25" t="s">
        <v>661</v>
      </c>
      <c r="G104" s="25" t="s">
        <v>104</v>
      </c>
      <c r="H104" s="25" t="s">
        <v>514</v>
      </c>
      <c r="I104" s="25" t="s">
        <v>662</v>
      </c>
      <c r="J104" s="4"/>
      <c r="K104" s="4"/>
      <c r="L104" s="4" t="s">
        <v>580</v>
      </c>
      <c r="M104" s="4"/>
      <c r="N104" s="4" t="s">
        <v>53</v>
      </c>
    </row>
    <row r="105" customFormat="false" ht="24" hidden="false" customHeight="false" outlineLevel="0" collapsed="false">
      <c r="A105" s="11" t="s">
        <v>663</v>
      </c>
      <c r="B105" s="25" t="s">
        <v>137</v>
      </c>
      <c r="C105" s="8" t="s">
        <v>44</v>
      </c>
      <c r="D105" s="8"/>
      <c r="E105" s="8"/>
      <c r="F105" s="25" t="n">
        <v>0</v>
      </c>
      <c r="G105" s="25" t="s">
        <v>664</v>
      </c>
      <c r="H105" s="17" t="s">
        <v>665</v>
      </c>
      <c r="I105" s="25" t="s">
        <v>666</v>
      </c>
      <c r="J105" s="25" t="s">
        <v>638</v>
      </c>
      <c r="K105" s="4" t="s">
        <v>639</v>
      </c>
      <c r="L105" s="4" t="s">
        <v>580</v>
      </c>
      <c r="M105" s="4"/>
      <c r="N105" s="4" t="s">
        <v>53</v>
      </c>
    </row>
    <row r="106" customFormat="false" ht="24" hidden="false" customHeight="false" outlineLevel="0" collapsed="false">
      <c r="A106" s="11" t="s">
        <v>667</v>
      </c>
      <c r="B106" s="25" t="s">
        <v>137</v>
      </c>
      <c r="C106" s="8" t="s">
        <v>44</v>
      </c>
      <c r="D106" s="8"/>
      <c r="E106" s="8"/>
      <c r="F106" s="25" t="s">
        <v>668</v>
      </c>
      <c r="G106" s="25" t="s">
        <v>104</v>
      </c>
      <c r="H106" s="25" t="s">
        <v>514</v>
      </c>
      <c r="I106" s="25" t="s">
        <v>669</v>
      </c>
      <c r="J106" s="4"/>
      <c r="K106" s="4"/>
      <c r="L106" s="4" t="s">
        <v>580</v>
      </c>
      <c r="M106" s="4"/>
      <c r="N106" s="4" t="s">
        <v>53</v>
      </c>
    </row>
    <row r="107" customFormat="false" ht="15" hidden="false" customHeight="false" outlineLevel="0" collapsed="false">
      <c r="A107" s="11" t="s">
        <v>670</v>
      </c>
      <c r="B107" s="25" t="s">
        <v>137</v>
      </c>
      <c r="C107" s="8" t="s">
        <v>44</v>
      </c>
      <c r="D107" s="8"/>
      <c r="E107" s="8"/>
      <c r="F107" s="78" t="s">
        <v>671</v>
      </c>
      <c r="G107" s="25" t="s">
        <v>104</v>
      </c>
      <c r="H107" s="17" t="s">
        <v>514</v>
      </c>
      <c r="I107" s="17"/>
      <c r="J107" s="4"/>
      <c r="K107" s="4"/>
      <c r="L107" s="4" t="s">
        <v>580</v>
      </c>
      <c r="M107" s="4"/>
      <c r="N107" s="4" t="s">
        <v>53</v>
      </c>
    </row>
    <row r="108" customFormat="false" ht="15" hidden="false" customHeight="false" outlineLevel="0" collapsed="false">
      <c r="A108" s="27" t="s">
        <v>672</v>
      </c>
      <c r="B108" s="2" t="s">
        <v>1</v>
      </c>
      <c r="C108" s="10" t="s">
        <v>31</v>
      </c>
      <c r="D108" s="10" t="s">
        <v>32</v>
      </c>
      <c r="E108" s="10" t="s">
        <v>33</v>
      </c>
      <c r="F108" s="10" t="s">
        <v>116</v>
      </c>
      <c r="G108" s="28" t="s">
        <v>117</v>
      </c>
      <c r="H108" s="28" t="s">
        <v>118</v>
      </c>
      <c r="I108" s="2" t="s">
        <v>36</v>
      </c>
      <c r="J108" s="2" t="s">
        <v>37</v>
      </c>
      <c r="K108" s="28" t="s">
        <v>38</v>
      </c>
      <c r="L108" s="10" t="s">
        <v>39</v>
      </c>
      <c r="M108" s="10" t="s">
        <v>40</v>
      </c>
      <c r="N108" s="10" t="s">
        <v>41</v>
      </c>
    </row>
    <row r="109" customFormat="false" ht="36" hidden="false" customHeight="false" outlineLevel="0" collapsed="false">
      <c r="A109" s="11" t="s">
        <v>673</v>
      </c>
      <c r="B109" s="25" t="s">
        <v>674</v>
      </c>
      <c r="C109" s="8" t="s">
        <v>44</v>
      </c>
      <c r="D109" s="8"/>
      <c r="E109" s="8"/>
      <c r="F109" s="25" t="n">
        <v>0</v>
      </c>
      <c r="G109" s="25" t="s">
        <v>636</v>
      </c>
      <c r="H109" s="25"/>
      <c r="I109" s="25" t="s">
        <v>675</v>
      </c>
      <c r="J109" s="25" t="s">
        <v>676</v>
      </c>
      <c r="K109" s="20"/>
      <c r="L109" s="9" t="s">
        <v>677</v>
      </c>
      <c r="M109" s="4"/>
      <c r="N109" s="4" t="s">
        <v>131</v>
      </c>
    </row>
    <row r="110" customFormat="false" ht="24" hidden="false" customHeight="false" outlineLevel="0" collapsed="false">
      <c r="A110" s="11" t="s">
        <v>678</v>
      </c>
      <c r="B110" s="25" t="s">
        <v>674</v>
      </c>
      <c r="C110" s="8" t="s">
        <v>44</v>
      </c>
      <c r="D110" s="8"/>
      <c r="E110" s="8"/>
      <c r="F110" s="25" t="n">
        <v>2.41E-005</v>
      </c>
      <c r="G110" s="17" t="s">
        <v>679</v>
      </c>
      <c r="H110" s="17" t="s">
        <v>679</v>
      </c>
      <c r="I110" s="25" t="s">
        <v>675</v>
      </c>
      <c r="J110" s="25" t="s">
        <v>680</v>
      </c>
      <c r="K110" s="3"/>
      <c r="L110" s="4" t="s">
        <v>677</v>
      </c>
      <c r="M110" s="4"/>
      <c r="N110" s="4" t="s">
        <v>93</v>
      </c>
    </row>
    <row r="111" customFormat="false" ht="24" hidden="false" customHeight="false" outlineLevel="0" collapsed="false">
      <c r="A111" s="11" t="s">
        <v>681</v>
      </c>
      <c r="B111" s="8"/>
      <c r="C111" s="8" t="s">
        <v>44</v>
      </c>
      <c r="D111" s="8"/>
      <c r="E111" s="8"/>
      <c r="F111" s="19" t="s">
        <v>682</v>
      </c>
      <c r="G111" s="16" t="s">
        <v>683</v>
      </c>
      <c r="H111" s="16" t="n">
        <v>401</v>
      </c>
      <c r="I111" s="16"/>
      <c r="J111" s="31"/>
      <c r="K111" s="20"/>
      <c r="L111" s="4" t="s">
        <v>677</v>
      </c>
      <c r="M111" s="4"/>
      <c r="N111" s="4" t="s">
        <v>131</v>
      </c>
    </row>
    <row r="112" customFormat="false" ht="36" hidden="false" customHeight="false" outlineLevel="0" collapsed="false">
      <c r="A112" s="11" t="s">
        <v>684</v>
      </c>
      <c r="B112" s="25" t="s">
        <v>674</v>
      </c>
      <c r="C112" s="8" t="s">
        <v>44</v>
      </c>
      <c r="D112" s="8"/>
      <c r="E112" s="8"/>
      <c r="F112" s="25" t="n">
        <v>0.0011</v>
      </c>
      <c r="G112" s="16" t="s">
        <v>104</v>
      </c>
      <c r="H112" s="17" t="s">
        <v>685</v>
      </c>
      <c r="I112" s="17" t="s">
        <v>675</v>
      </c>
      <c r="J112" s="25" t="s">
        <v>676</v>
      </c>
      <c r="K112" s="3"/>
      <c r="L112" s="4" t="s">
        <v>677</v>
      </c>
      <c r="M112" s="4"/>
      <c r="N112" s="4" t="s">
        <v>131</v>
      </c>
    </row>
    <row r="113" customFormat="false" ht="15" hidden="false" customHeight="false" outlineLevel="0" collapsed="false">
      <c r="A113" s="11" t="s">
        <v>686</v>
      </c>
      <c r="B113" s="8" t="s">
        <v>687</v>
      </c>
      <c r="C113" s="8" t="s">
        <v>44</v>
      </c>
      <c r="D113" s="8"/>
      <c r="E113" s="8"/>
      <c r="F113" s="8" t="n">
        <v>0.122</v>
      </c>
      <c r="G113" s="16" t="s">
        <v>104</v>
      </c>
      <c r="H113" s="16" t="n">
        <v>10</v>
      </c>
      <c r="I113" s="16" t="s">
        <v>688</v>
      </c>
      <c r="J113" s="31"/>
      <c r="K113" s="20"/>
      <c r="L113" s="4" t="s">
        <v>677</v>
      </c>
      <c r="M113" s="4"/>
      <c r="N113" s="4" t="s">
        <v>131</v>
      </c>
    </row>
    <row r="114" customFormat="false" ht="15" hidden="false" customHeight="false" outlineLevel="0" collapsed="false">
      <c r="A114" s="11" t="s">
        <v>689</v>
      </c>
      <c r="B114" s="8" t="s">
        <v>687</v>
      </c>
      <c r="C114" s="8" t="s">
        <v>44</v>
      </c>
      <c r="D114" s="8"/>
      <c r="E114" s="8"/>
      <c r="F114" s="8" t="n">
        <v>274.59</v>
      </c>
      <c r="G114" s="16" t="s">
        <v>104</v>
      </c>
      <c r="H114" s="16" t="n">
        <v>10</v>
      </c>
      <c r="I114" s="16" t="s">
        <v>690</v>
      </c>
      <c r="J114" s="31"/>
      <c r="K114" s="20"/>
      <c r="L114" s="4" t="s">
        <v>677</v>
      </c>
      <c r="M114" s="4"/>
      <c r="N114" s="4" t="s">
        <v>53</v>
      </c>
    </row>
    <row r="115" customFormat="false" ht="15" hidden="false" customHeight="false" outlineLevel="0" collapsed="false">
      <c r="A115" s="11" t="s">
        <v>691</v>
      </c>
      <c r="B115" s="8" t="s">
        <v>687</v>
      </c>
      <c r="C115" s="8" t="s">
        <v>44</v>
      </c>
      <c r="D115" s="8"/>
      <c r="E115" s="8"/>
      <c r="F115" s="8" t="n">
        <v>274.46796</v>
      </c>
      <c r="G115" s="16" t="s">
        <v>104</v>
      </c>
      <c r="H115" s="16" t="n">
        <v>10</v>
      </c>
      <c r="I115" s="16" t="s">
        <v>692</v>
      </c>
      <c r="J115" s="31"/>
      <c r="K115" s="20"/>
      <c r="L115" s="4" t="s">
        <v>677</v>
      </c>
      <c r="M115" s="4"/>
      <c r="N115" s="4" t="s">
        <v>63</v>
      </c>
    </row>
    <row r="116" customFormat="false" ht="36" hidden="false" customHeight="false" outlineLevel="0" collapsed="false">
      <c r="A116" s="11" t="s">
        <v>693</v>
      </c>
      <c r="B116" s="25" t="s">
        <v>674</v>
      </c>
      <c r="C116" s="8" t="s">
        <v>44</v>
      </c>
      <c r="D116" s="8"/>
      <c r="E116" s="8"/>
      <c r="F116" s="25" t="n">
        <v>0.0235</v>
      </c>
      <c r="G116" s="17" t="s">
        <v>694</v>
      </c>
      <c r="H116" s="17" t="s">
        <v>695</v>
      </c>
      <c r="I116" s="17"/>
      <c r="J116" s="25" t="s">
        <v>676</v>
      </c>
      <c r="K116" s="3"/>
      <c r="L116" s="4" t="s">
        <v>677</v>
      </c>
      <c r="M116" s="4"/>
      <c r="N116" s="4" t="s">
        <v>131</v>
      </c>
    </row>
    <row r="117" customFormat="false" ht="24" hidden="false" customHeight="false" outlineLevel="0" collapsed="false">
      <c r="A117" s="11" t="s">
        <v>696</v>
      </c>
      <c r="B117" s="8" t="s">
        <v>687</v>
      </c>
      <c r="C117" s="8" t="s">
        <v>44</v>
      </c>
      <c r="D117" s="8"/>
      <c r="E117" s="8"/>
      <c r="F117" s="8" t="s">
        <v>697</v>
      </c>
      <c r="G117" s="16" t="s">
        <v>698</v>
      </c>
      <c r="H117" s="16" t="n">
        <v>160</v>
      </c>
      <c r="I117" s="16" t="s">
        <v>699</v>
      </c>
      <c r="J117" s="31"/>
      <c r="K117" s="20"/>
      <c r="L117" s="4" t="s">
        <v>677</v>
      </c>
      <c r="M117" s="4"/>
      <c r="N117" s="4" t="s">
        <v>63</v>
      </c>
    </row>
    <row r="118" customFormat="false" ht="15" hidden="false" customHeight="false" outlineLevel="0" collapsed="false">
      <c r="A118" s="11" t="s">
        <v>700</v>
      </c>
      <c r="B118" s="8" t="s">
        <v>687</v>
      </c>
      <c r="C118" s="8" t="s">
        <v>44</v>
      </c>
      <c r="D118" s="8"/>
      <c r="E118" s="8"/>
      <c r="F118" s="8" t="n">
        <v>10</v>
      </c>
      <c r="G118" s="16" t="s">
        <v>698</v>
      </c>
      <c r="H118" s="16" t="n">
        <v>160</v>
      </c>
      <c r="I118" s="16" t="s">
        <v>701</v>
      </c>
      <c r="J118" s="31"/>
      <c r="K118" s="20"/>
      <c r="L118" s="4" t="s">
        <v>677</v>
      </c>
      <c r="M118" s="4"/>
      <c r="N118" s="4" t="s">
        <v>63</v>
      </c>
    </row>
    <row r="119" customFormat="false" ht="24" hidden="false" customHeight="false" outlineLevel="0" collapsed="false">
      <c r="A119" s="11" t="s">
        <v>702</v>
      </c>
      <c r="B119" s="8" t="s">
        <v>687</v>
      </c>
      <c r="C119" s="8" t="s">
        <v>44</v>
      </c>
      <c r="D119" s="8"/>
      <c r="E119" s="8"/>
      <c r="F119" s="8" t="s">
        <v>703</v>
      </c>
      <c r="G119" s="16" t="s">
        <v>698</v>
      </c>
      <c r="H119" s="16" t="n">
        <v>160</v>
      </c>
      <c r="I119" s="16" t="s">
        <v>704</v>
      </c>
      <c r="J119" s="31"/>
      <c r="K119" s="20"/>
      <c r="L119" s="4" t="s">
        <v>677</v>
      </c>
      <c r="M119" s="4"/>
      <c r="N119" s="4" t="s">
        <v>63</v>
      </c>
    </row>
    <row r="120" customFormat="false" ht="36" hidden="false" customHeight="false" outlineLevel="0" collapsed="false">
      <c r="A120" s="11" t="s">
        <v>705</v>
      </c>
      <c r="B120" s="25" t="s">
        <v>674</v>
      </c>
      <c r="C120" s="8" t="s">
        <v>44</v>
      </c>
      <c r="D120" s="8"/>
      <c r="E120" s="8"/>
      <c r="F120" s="25" t="n">
        <v>2.39</v>
      </c>
      <c r="G120" s="17" t="s">
        <v>694</v>
      </c>
      <c r="H120" s="17" t="s">
        <v>514</v>
      </c>
      <c r="I120" s="17"/>
      <c r="J120" s="25" t="s">
        <v>676</v>
      </c>
      <c r="K120" s="3"/>
      <c r="L120" s="4" t="s">
        <v>677</v>
      </c>
      <c r="M120" s="4"/>
      <c r="N120" s="4" t="s">
        <v>131</v>
      </c>
    </row>
    <row r="121" customFormat="false" ht="24" hidden="false" customHeight="false" outlineLevel="0" collapsed="false">
      <c r="A121" s="11" t="s">
        <v>706</v>
      </c>
      <c r="B121" s="8" t="s">
        <v>707</v>
      </c>
      <c r="C121" s="8" t="s">
        <v>44</v>
      </c>
      <c r="D121" s="8"/>
      <c r="E121" s="8"/>
      <c r="F121" s="25" t="s">
        <v>708</v>
      </c>
      <c r="G121" s="16" t="s">
        <v>104</v>
      </c>
      <c r="H121" s="17" t="s">
        <v>514</v>
      </c>
      <c r="I121" s="16"/>
      <c r="J121" s="25" t="s">
        <v>709</v>
      </c>
      <c r="K121" s="20"/>
      <c r="L121" s="4" t="s">
        <v>677</v>
      </c>
      <c r="M121" s="4"/>
      <c r="N121" s="4" t="s">
        <v>131</v>
      </c>
    </row>
    <row r="122" customFormat="false" ht="24" hidden="false" customHeight="false" outlineLevel="0" collapsed="false">
      <c r="A122" s="11" t="s">
        <v>710</v>
      </c>
      <c r="B122" s="8" t="s">
        <v>707</v>
      </c>
      <c r="C122" s="8" t="s">
        <v>44</v>
      </c>
      <c r="D122" s="8"/>
      <c r="E122" s="8"/>
      <c r="F122" s="25" t="s">
        <v>708</v>
      </c>
      <c r="G122" s="16" t="s">
        <v>104</v>
      </c>
      <c r="H122" s="17" t="s">
        <v>514</v>
      </c>
      <c r="I122" s="16"/>
      <c r="J122" s="25" t="s">
        <v>709</v>
      </c>
      <c r="K122" s="20"/>
      <c r="L122" s="4" t="s">
        <v>677</v>
      </c>
      <c r="M122" s="4"/>
      <c r="N122" s="4" t="s">
        <v>131</v>
      </c>
    </row>
    <row r="123" customFormat="false" ht="15" hidden="false" customHeight="false" outlineLevel="0" collapsed="false">
      <c r="A123" s="11" t="s">
        <v>711</v>
      </c>
      <c r="B123" s="8" t="s">
        <v>707</v>
      </c>
      <c r="C123" s="8" t="s">
        <v>44</v>
      </c>
      <c r="D123" s="8"/>
      <c r="E123" s="8"/>
      <c r="F123" s="25" t="n">
        <v>0</v>
      </c>
      <c r="G123" s="16" t="s">
        <v>15</v>
      </c>
      <c r="H123" s="16" t="n">
        <v>341</v>
      </c>
      <c r="I123" s="3"/>
      <c r="J123" s="16" t="s">
        <v>712</v>
      </c>
      <c r="K123" s="20"/>
      <c r="L123" s="4" t="s">
        <v>677</v>
      </c>
      <c r="M123" s="4"/>
      <c r="N123" s="4" t="s">
        <v>131</v>
      </c>
    </row>
    <row r="124" customFormat="false" ht="48" hidden="false" customHeight="false" outlineLevel="0" collapsed="false">
      <c r="A124" s="11" t="s">
        <v>713</v>
      </c>
      <c r="B124" s="25" t="s">
        <v>674</v>
      </c>
      <c r="C124" s="8" t="s">
        <v>44</v>
      </c>
      <c r="D124" s="8"/>
      <c r="E124" s="8"/>
      <c r="F124" s="25" t="n">
        <v>0</v>
      </c>
      <c r="G124" s="17" t="s">
        <v>714</v>
      </c>
      <c r="H124" s="17" t="s">
        <v>715</v>
      </c>
      <c r="I124" s="3"/>
      <c r="J124" s="17" t="s">
        <v>716</v>
      </c>
      <c r="K124" s="3"/>
      <c r="L124" s="4" t="s">
        <v>677</v>
      </c>
      <c r="M124" s="4"/>
      <c r="N124" s="4" t="s">
        <v>63</v>
      </c>
    </row>
    <row r="125" customFormat="false" ht="24" hidden="false" customHeight="false" outlineLevel="0" collapsed="false">
      <c r="A125" s="11" t="s">
        <v>717</v>
      </c>
      <c r="B125" s="8" t="s">
        <v>687</v>
      </c>
      <c r="C125" s="8" t="s">
        <v>44</v>
      </c>
      <c r="D125" s="8"/>
      <c r="E125" s="8"/>
      <c r="F125" s="8" t="n">
        <v>0</v>
      </c>
      <c r="G125" s="16" t="s">
        <v>104</v>
      </c>
      <c r="H125" s="16" t="n">
        <v>290</v>
      </c>
      <c r="I125" s="3"/>
      <c r="J125" s="16" t="s">
        <v>718</v>
      </c>
      <c r="K125" s="20"/>
      <c r="L125" s="4" t="s">
        <v>677</v>
      </c>
      <c r="M125" s="4"/>
      <c r="N125" s="4" t="s">
        <v>63</v>
      </c>
    </row>
    <row r="126" customFormat="false" ht="15" hidden="false" customHeight="false" outlineLevel="0" collapsed="false">
      <c r="A126" s="11" t="s">
        <v>719</v>
      </c>
      <c r="B126" s="8" t="s">
        <v>687</v>
      </c>
      <c r="C126" s="8" t="s">
        <v>44</v>
      </c>
      <c r="D126" s="8"/>
      <c r="E126" s="8"/>
      <c r="F126" s="8" t="n">
        <v>180</v>
      </c>
      <c r="G126" s="16" t="s">
        <v>104</v>
      </c>
      <c r="H126" s="16" t="n">
        <v>10</v>
      </c>
      <c r="I126" s="16" t="s">
        <v>720</v>
      </c>
      <c r="J126" s="31"/>
      <c r="K126" s="20"/>
      <c r="L126" s="4" t="s">
        <v>677</v>
      </c>
      <c r="M126" s="4"/>
      <c r="N126" s="4" t="s">
        <v>63</v>
      </c>
    </row>
    <row r="127" customFormat="false" ht="15" hidden="false" customHeight="false" outlineLevel="0" collapsed="false">
      <c r="A127" s="11" t="s">
        <v>721</v>
      </c>
      <c r="B127" s="8"/>
      <c r="C127" s="8" t="s">
        <v>44</v>
      </c>
      <c r="D127" s="8"/>
      <c r="E127" s="8"/>
      <c r="F127" s="8" t="n">
        <v>1</v>
      </c>
      <c r="G127" s="16" t="s">
        <v>722</v>
      </c>
      <c r="H127" s="16" t="n">
        <v>401</v>
      </c>
      <c r="J127" s="31"/>
      <c r="K127" s="20"/>
      <c r="L127" s="4" t="s">
        <v>677</v>
      </c>
      <c r="M127" s="4"/>
      <c r="N127" s="4" t="s">
        <v>63</v>
      </c>
    </row>
    <row r="128" customFormat="false" ht="15" hidden="false" customHeight="false" outlineLevel="0" collapsed="false">
      <c r="A128" s="11" t="s">
        <v>723</v>
      </c>
      <c r="B128" s="8" t="s">
        <v>687</v>
      </c>
      <c r="C128" s="8" t="s">
        <v>44</v>
      </c>
      <c r="D128" s="8"/>
      <c r="E128" s="8"/>
      <c r="F128" s="8" t="n">
        <v>180</v>
      </c>
      <c r="G128" s="16" t="s">
        <v>104</v>
      </c>
      <c r="H128" s="16" t="n">
        <v>10</v>
      </c>
      <c r="I128" s="16" t="s">
        <v>724</v>
      </c>
      <c r="J128" s="31"/>
      <c r="K128" s="20"/>
      <c r="L128" s="4" t="s">
        <v>677</v>
      </c>
      <c r="M128" s="4"/>
      <c r="N128" s="4" t="s">
        <v>63</v>
      </c>
    </row>
    <row r="129" customFormat="false" ht="24" hidden="false" customHeight="false" outlineLevel="0" collapsed="false">
      <c r="A129" s="11" t="s">
        <v>725</v>
      </c>
      <c r="B129" s="8"/>
      <c r="C129" s="8" t="s">
        <v>44</v>
      </c>
      <c r="D129" s="8"/>
      <c r="E129" s="8"/>
      <c r="F129" s="19" t="n">
        <v>0.01</v>
      </c>
      <c r="G129" s="16" t="s">
        <v>722</v>
      </c>
      <c r="H129" s="16" t="n">
        <v>401</v>
      </c>
      <c r="J129" s="16" t="s">
        <v>726</v>
      </c>
      <c r="K129" s="20"/>
      <c r="L129" s="4" t="s">
        <v>677</v>
      </c>
      <c r="M129" s="4"/>
      <c r="N129" s="4" t="s">
        <v>53</v>
      </c>
    </row>
    <row r="130" customFormat="false" ht="36" hidden="false" customHeight="false" outlineLevel="0" collapsed="false">
      <c r="A130" s="11" t="s">
        <v>727</v>
      </c>
      <c r="B130" s="25" t="s">
        <v>674</v>
      </c>
      <c r="C130" s="8" t="s">
        <v>44</v>
      </c>
      <c r="D130" s="8"/>
      <c r="E130" s="8"/>
      <c r="F130" s="25" t="n">
        <v>0.0443</v>
      </c>
      <c r="G130" s="17" t="s">
        <v>728</v>
      </c>
      <c r="H130" s="17" t="s">
        <v>665</v>
      </c>
      <c r="I130" s="17"/>
      <c r="J130" s="25"/>
      <c r="K130" s="3"/>
      <c r="L130" s="4" t="s">
        <v>677</v>
      </c>
      <c r="M130" s="4"/>
      <c r="N130" s="4" t="s">
        <v>108</v>
      </c>
    </row>
    <row r="131" customFormat="false" ht="36" hidden="false" customHeight="false" outlineLevel="0" collapsed="false">
      <c r="A131" s="11" t="s">
        <v>729</v>
      </c>
      <c r="B131" s="25" t="s">
        <v>674</v>
      </c>
      <c r="C131" s="8" t="s">
        <v>44</v>
      </c>
      <c r="D131" s="8"/>
      <c r="E131" s="8"/>
      <c r="F131" s="25" t="n">
        <v>0.0097</v>
      </c>
      <c r="G131" s="17" t="s">
        <v>694</v>
      </c>
      <c r="H131" s="17" t="s">
        <v>695</v>
      </c>
      <c r="I131" s="17"/>
      <c r="J131" s="25" t="s">
        <v>676</v>
      </c>
      <c r="K131" s="3"/>
      <c r="L131" s="4" t="s">
        <v>677</v>
      </c>
      <c r="M131" s="4"/>
      <c r="N131" s="4" t="s">
        <v>108</v>
      </c>
    </row>
    <row r="132" customFormat="false" ht="15" hidden="false" customHeight="false" outlineLevel="0" collapsed="false">
      <c r="A132" s="11" t="s">
        <v>730</v>
      </c>
      <c r="B132" s="8" t="s">
        <v>687</v>
      </c>
      <c r="C132" s="8" t="s">
        <v>44</v>
      </c>
      <c r="D132" s="8"/>
      <c r="E132" s="8"/>
      <c r="F132" s="8" t="n">
        <v>3.45</v>
      </c>
      <c r="G132" s="16" t="s">
        <v>104</v>
      </c>
      <c r="H132" s="16" t="n">
        <v>10</v>
      </c>
      <c r="I132" s="16" t="s">
        <v>731</v>
      </c>
      <c r="J132" s="31"/>
      <c r="K132" s="20"/>
      <c r="L132" s="4" t="s">
        <v>677</v>
      </c>
      <c r="M132" s="4"/>
      <c r="N132" s="4" t="s">
        <v>53</v>
      </c>
    </row>
    <row r="133" customFormat="false" ht="15" hidden="false" customHeight="false" outlineLevel="0" collapsed="false">
      <c r="A133" s="11" t="s">
        <v>732</v>
      </c>
      <c r="B133" s="8" t="s">
        <v>687</v>
      </c>
      <c r="C133" s="8" t="s">
        <v>44</v>
      </c>
      <c r="D133" s="8"/>
      <c r="E133" s="8"/>
      <c r="F133" s="8" t="n">
        <v>575</v>
      </c>
      <c r="G133" s="16" t="s">
        <v>104</v>
      </c>
      <c r="H133" s="16" t="n">
        <v>10</v>
      </c>
      <c r="I133" s="16" t="s">
        <v>733</v>
      </c>
      <c r="J133" s="31"/>
      <c r="K133" s="20"/>
      <c r="L133" s="4" t="s">
        <v>677</v>
      </c>
      <c r="M133" s="4"/>
      <c r="N133" s="4" t="s">
        <v>63</v>
      </c>
    </row>
    <row r="134" customFormat="false" ht="15" hidden="false" customHeight="false" outlineLevel="0" collapsed="false">
      <c r="A134" s="11" t="s">
        <v>734</v>
      </c>
      <c r="B134" s="8"/>
      <c r="C134" s="8" t="s">
        <v>44</v>
      </c>
      <c r="D134" s="8"/>
      <c r="E134" s="8"/>
      <c r="F134" s="8" t="n">
        <v>1</v>
      </c>
      <c r="G134" s="8" t="s">
        <v>15</v>
      </c>
      <c r="H134" s="16" t="n">
        <v>317</v>
      </c>
      <c r="J134" s="31"/>
      <c r="K134" s="20"/>
      <c r="L134" s="4" t="s">
        <v>677</v>
      </c>
      <c r="M134" s="4"/>
      <c r="N134" s="4" t="s">
        <v>53</v>
      </c>
    </row>
    <row r="135" customFormat="false" ht="15" hidden="false" customHeight="false" outlineLevel="0" collapsed="false">
      <c r="A135" s="11" t="s">
        <v>735</v>
      </c>
      <c r="B135" s="8" t="s">
        <v>687</v>
      </c>
      <c r="C135" s="8" t="s">
        <v>44</v>
      </c>
      <c r="D135" s="8"/>
      <c r="E135" s="8"/>
      <c r="F135" s="8" t="n">
        <v>571.55</v>
      </c>
      <c r="G135" s="16" t="s">
        <v>104</v>
      </c>
      <c r="H135" s="16" t="n">
        <v>10</v>
      </c>
      <c r="I135" s="16" t="s">
        <v>736</v>
      </c>
      <c r="J135" s="31"/>
      <c r="K135" s="20"/>
      <c r="L135" s="4" t="s">
        <v>677</v>
      </c>
      <c r="M135" s="4"/>
      <c r="N135" s="4" t="s">
        <v>63</v>
      </c>
    </row>
    <row r="136" customFormat="false" ht="36" hidden="false" customHeight="false" outlineLevel="0" collapsed="false">
      <c r="A136" s="11" t="s">
        <v>737</v>
      </c>
      <c r="B136" s="25" t="s">
        <v>674</v>
      </c>
      <c r="C136" s="8" t="s">
        <v>44</v>
      </c>
      <c r="D136" s="8"/>
      <c r="E136" s="8"/>
      <c r="F136" s="25" t="n">
        <v>0.0088</v>
      </c>
      <c r="G136" s="17" t="s">
        <v>694</v>
      </c>
      <c r="H136" s="17" t="s">
        <v>695</v>
      </c>
      <c r="I136" s="17"/>
      <c r="J136" s="25" t="s">
        <v>676</v>
      </c>
      <c r="K136" s="3"/>
      <c r="L136" s="4" t="s">
        <v>677</v>
      </c>
      <c r="M136" s="4"/>
      <c r="N136" s="4" t="s">
        <v>108</v>
      </c>
    </row>
    <row r="137" customFormat="false" ht="15" hidden="false" customHeight="false" outlineLevel="0" collapsed="false">
      <c r="A137" s="11" t="s">
        <v>738</v>
      </c>
      <c r="B137" s="8" t="s">
        <v>687</v>
      </c>
      <c r="C137" s="8" t="s">
        <v>44</v>
      </c>
      <c r="D137" s="8"/>
      <c r="E137" s="8"/>
      <c r="F137" s="8" t="n">
        <v>5.32</v>
      </c>
      <c r="G137" s="16" t="s">
        <v>104</v>
      </c>
      <c r="H137" s="16" t="n">
        <v>10</v>
      </c>
      <c r="I137" s="16" t="s">
        <v>731</v>
      </c>
      <c r="J137" s="31"/>
      <c r="K137" s="20"/>
      <c r="L137" s="4" t="s">
        <v>677</v>
      </c>
      <c r="M137" s="4"/>
      <c r="N137" s="4" t="s">
        <v>63</v>
      </c>
    </row>
    <row r="138" customFormat="false" ht="15" hidden="false" customHeight="false" outlineLevel="0" collapsed="false">
      <c r="A138" s="11" t="s">
        <v>739</v>
      </c>
      <c r="B138" s="8" t="s">
        <v>687</v>
      </c>
      <c r="C138" s="8" t="s">
        <v>44</v>
      </c>
      <c r="D138" s="8"/>
      <c r="E138" s="8"/>
      <c r="F138" s="8" t="n">
        <v>638</v>
      </c>
      <c r="G138" s="16" t="s">
        <v>104</v>
      </c>
      <c r="H138" s="16" t="n">
        <v>10</v>
      </c>
      <c r="I138" s="16" t="s">
        <v>740</v>
      </c>
      <c r="J138" s="31"/>
      <c r="K138" s="20"/>
      <c r="L138" s="4" t="s">
        <v>677</v>
      </c>
      <c r="M138" s="4"/>
      <c r="N138" s="4" t="s">
        <v>63</v>
      </c>
    </row>
    <row r="139" customFormat="false" ht="15" hidden="false" customHeight="false" outlineLevel="0" collapsed="false">
      <c r="A139" s="11" t="s">
        <v>741</v>
      </c>
      <c r="B139" s="8"/>
      <c r="C139" s="8" t="s">
        <v>44</v>
      </c>
      <c r="D139" s="8"/>
      <c r="E139" s="8"/>
      <c r="F139" s="8" t="n">
        <v>0.992</v>
      </c>
      <c r="G139" s="8" t="s">
        <v>15</v>
      </c>
      <c r="H139" s="16" t="n">
        <v>317</v>
      </c>
      <c r="J139" s="31"/>
      <c r="K139" s="20"/>
      <c r="L139" s="4" t="s">
        <v>677</v>
      </c>
      <c r="M139" s="4"/>
      <c r="N139" s="4" t="s">
        <v>53</v>
      </c>
    </row>
    <row r="140" customFormat="false" ht="15" hidden="false" customHeight="false" outlineLevel="0" collapsed="false">
      <c r="A140" s="11" t="s">
        <v>742</v>
      </c>
      <c r="B140" s="8" t="s">
        <v>687</v>
      </c>
      <c r="C140" s="8" t="s">
        <v>44</v>
      </c>
      <c r="D140" s="8"/>
      <c r="E140" s="8"/>
      <c r="F140" s="8" t="n">
        <v>632.78</v>
      </c>
      <c r="G140" s="16" t="s">
        <v>104</v>
      </c>
      <c r="H140" s="16" t="n">
        <v>10</v>
      </c>
      <c r="I140" s="16" t="s">
        <v>736</v>
      </c>
      <c r="J140" s="31"/>
      <c r="K140" s="20"/>
      <c r="L140" s="4" t="s">
        <v>677</v>
      </c>
      <c r="M140" s="4"/>
      <c r="N140" s="4" t="s">
        <v>63</v>
      </c>
    </row>
    <row r="141" customFormat="false" ht="36" hidden="false" customHeight="false" outlineLevel="0" collapsed="false">
      <c r="A141" s="11" t="s">
        <v>743</v>
      </c>
      <c r="B141" s="25" t="s">
        <v>674</v>
      </c>
      <c r="C141" s="8" t="s">
        <v>44</v>
      </c>
      <c r="D141" s="8"/>
      <c r="E141" s="8"/>
      <c r="F141" s="25" t="n">
        <v>0.778</v>
      </c>
      <c r="G141" s="17" t="s">
        <v>694</v>
      </c>
      <c r="H141" s="17" t="s">
        <v>695</v>
      </c>
      <c r="I141" s="17"/>
      <c r="J141" s="25" t="s">
        <v>676</v>
      </c>
      <c r="K141" s="3"/>
      <c r="L141" s="4" t="s">
        <v>677</v>
      </c>
      <c r="M141" s="4"/>
      <c r="N141" s="4" t="s">
        <v>131</v>
      </c>
    </row>
    <row r="142" customFormat="false" ht="15" hidden="false" customHeight="false" outlineLevel="0" collapsed="false">
      <c r="A142" s="11" t="s">
        <v>744</v>
      </c>
      <c r="B142" s="8" t="s">
        <v>707</v>
      </c>
      <c r="C142" s="8" t="s">
        <v>44</v>
      </c>
      <c r="D142" s="8"/>
      <c r="E142" s="8"/>
      <c r="F142" s="19" t="n">
        <v>18</v>
      </c>
      <c r="G142" s="16" t="s">
        <v>266</v>
      </c>
      <c r="H142" s="16" t="n">
        <v>160</v>
      </c>
      <c r="I142" s="16"/>
      <c r="J142" s="31"/>
      <c r="K142" s="20"/>
      <c r="L142" s="4" t="s">
        <v>677</v>
      </c>
      <c r="M142" s="4"/>
      <c r="N142" s="4" t="s">
        <v>63</v>
      </c>
    </row>
    <row r="143" customFormat="false" ht="15" hidden="false" customHeight="false" outlineLevel="0" collapsed="false">
      <c r="A143" s="11" t="s">
        <v>745</v>
      </c>
      <c r="B143" s="8" t="s">
        <v>707</v>
      </c>
      <c r="C143" s="8" t="s">
        <v>44</v>
      </c>
      <c r="D143" s="8"/>
      <c r="E143" s="8"/>
      <c r="F143" s="8" t="n">
        <v>31</v>
      </c>
      <c r="G143" s="16" t="s">
        <v>266</v>
      </c>
      <c r="H143" s="16" t="n">
        <v>160</v>
      </c>
      <c r="I143" s="16"/>
      <c r="J143" s="31"/>
      <c r="K143" s="20"/>
      <c r="L143" s="4" t="s">
        <v>677</v>
      </c>
      <c r="M143" s="4"/>
      <c r="N143" s="4" t="s">
        <v>63</v>
      </c>
    </row>
    <row r="144" customFormat="false" ht="15" hidden="false" customHeight="false" outlineLevel="0" collapsed="false">
      <c r="A144" s="11" t="s">
        <v>746</v>
      </c>
      <c r="B144" s="8" t="s">
        <v>707</v>
      </c>
      <c r="C144" s="8" t="s">
        <v>44</v>
      </c>
      <c r="D144" s="8"/>
      <c r="E144" s="8"/>
      <c r="F144" s="8" t="n">
        <v>13</v>
      </c>
      <c r="G144" s="16" t="s">
        <v>266</v>
      </c>
      <c r="H144" s="16" t="n">
        <v>160</v>
      </c>
      <c r="I144" s="16" t="s">
        <v>747</v>
      </c>
      <c r="J144" s="31"/>
      <c r="K144" s="20"/>
      <c r="L144" s="4" t="s">
        <v>677</v>
      </c>
      <c r="M144" s="4"/>
      <c r="N144" s="4" t="s">
        <v>63</v>
      </c>
    </row>
    <row r="145" customFormat="false" ht="15" hidden="false" customHeight="false" outlineLevel="0" collapsed="false">
      <c r="A145" s="58" t="s">
        <v>748</v>
      </c>
      <c r="B145" s="10" t="s">
        <v>1</v>
      </c>
      <c r="C145" s="10" t="s">
        <v>31</v>
      </c>
      <c r="D145" s="10" t="s">
        <v>32</v>
      </c>
      <c r="E145" s="10" t="s">
        <v>33</v>
      </c>
      <c r="F145" s="10" t="s">
        <v>34</v>
      </c>
      <c r="G145" s="10" t="s">
        <v>3</v>
      </c>
      <c r="H145" s="10" t="s">
        <v>35</v>
      </c>
      <c r="I145" s="10" t="s">
        <v>36</v>
      </c>
      <c r="J145" s="10" t="s">
        <v>37</v>
      </c>
      <c r="K145" s="10" t="s">
        <v>38</v>
      </c>
      <c r="L145" s="10" t="s">
        <v>39</v>
      </c>
      <c r="M145" s="10" t="s">
        <v>40</v>
      </c>
      <c r="N145" s="10" t="s">
        <v>41</v>
      </c>
    </row>
    <row r="146" customFormat="false" ht="15" hidden="false" customHeight="false" outlineLevel="0" collapsed="false">
      <c r="A146" s="38" t="s">
        <v>749</v>
      </c>
      <c r="B146" s="4"/>
      <c r="C146" s="48" t="s">
        <v>750</v>
      </c>
      <c r="D146" s="8"/>
      <c r="E146" s="8"/>
      <c r="F146" s="4" t="s">
        <v>751</v>
      </c>
      <c r="G146" s="48" t="s">
        <v>752</v>
      </c>
      <c r="H146" s="48"/>
      <c r="I146" s="3" t="s">
        <v>753</v>
      </c>
      <c r="J146" s="56"/>
      <c r="K146" s="59"/>
      <c r="L146" s="7" t="s">
        <v>748</v>
      </c>
      <c r="M146" s="7" t="s">
        <v>754</v>
      </c>
      <c r="N146" s="4"/>
    </row>
    <row r="147" customFormat="false" ht="15" hidden="false" customHeight="false" outlineLevel="0" collapsed="false">
      <c r="A147" s="38" t="s">
        <v>755</v>
      </c>
      <c r="B147" s="4"/>
      <c r="C147" s="48"/>
      <c r="D147" s="8"/>
      <c r="E147" s="8"/>
      <c r="F147" s="4"/>
      <c r="G147" s="48"/>
      <c r="H147" s="3"/>
      <c r="I147" s="3"/>
      <c r="J147" s="56"/>
      <c r="K147" s="59"/>
      <c r="L147" s="7" t="s">
        <v>748</v>
      </c>
      <c r="M147" s="7" t="s">
        <v>754</v>
      </c>
      <c r="N147" s="4"/>
    </row>
    <row r="148" customFormat="false" ht="15" hidden="false" customHeight="false" outlineLevel="0" collapsed="false">
      <c r="A148" s="38" t="s">
        <v>245</v>
      </c>
      <c r="B148" s="4"/>
      <c r="C148" s="48" t="s">
        <v>750</v>
      </c>
      <c r="D148" s="8"/>
      <c r="E148" s="8"/>
      <c r="F148" s="4" t="s">
        <v>756</v>
      </c>
      <c r="G148" s="48" t="s">
        <v>757</v>
      </c>
      <c r="H148" s="48"/>
      <c r="I148" s="3" t="s">
        <v>758</v>
      </c>
      <c r="J148" s="56"/>
      <c r="K148" s="59"/>
      <c r="L148" s="7" t="s">
        <v>748</v>
      </c>
      <c r="M148" s="7" t="s">
        <v>754</v>
      </c>
      <c r="N148" s="4"/>
    </row>
    <row r="149" customFormat="false" ht="15" hidden="false" customHeight="false" outlineLevel="0" collapsed="false">
      <c r="A149" s="38" t="s">
        <v>759</v>
      </c>
      <c r="B149" s="4"/>
      <c r="C149" s="48" t="s">
        <v>750</v>
      </c>
      <c r="D149" s="8"/>
      <c r="E149" s="8"/>
      <c r="F149" s="4" t="s">
        <v>756</v>
      </c>
      <c r="G149" s="48" t="s">
        <v>757</v>
      </c>
      <c r="H149" s="48"/>
      <c r="I149" s="3" t="s">
        <v>760</v>
      </c>
      <c r="J149" s="56"/>
      <c r="K149" s="59"/>
      <c r="L149" s="7" t="s">
        <v>748</v>
      </c>
      <c r="M149" s="7" t="s">
        <v>754</v>
      </c>
      <c r="N149" s="4"/>
    </row>
    <row r="150" customFormat="false" ht="15" hidden="false" customHeight="false" outlineLevel="0" collapsed="false">
      <c r="A150" s="38" t="s">
        <v>761</v>
      </c>
      <c r="B150" s="4"/>
      <c r="C150" s="48"/>
      <c r="D150" s="8"/>
      <c r="E150" s="8"/>
      <c r="F150" s="4"/>
      <c r="G150" s="48"/>
      <c r="H150" s="3"/>
      <c r="I150" s="3"/>
      <c r="J150" s="56"/>
      <c r="K150" s="59"/>
      <c r="L150" s="7" t="s">
        <v>748</v>
      </c>
      <c r="M150" s="7" t="s">
        <v>754</v>
      </c>
      <c r="N150" s="4"/>
    </row>
    <row r="151" customFormat="false" ht="15" hidden="false" customHeight="false" outlineLevel="0" collapsed="false">
      <c r="A151" s="38" t="s">
        <v>762</v>
      </c>
      <c r="B151" s="4"/>
      <c r="C151" s="4" t="str">
        <f aca="false">C11</f>
        <v>Mean</v>
      </c>
      <c r="D151" s="8"/>
      <c r="E151" s="8"/>
      <c r="F151" s="4" t="str">
        <f aca="false">F11</f>
        <v>[1.01,1.022],
[1.003,1.040]</v>
      </c>
      <c r="G151" s="4" t="str">
        <f aca="false">G11</f>
        <v>valtin1995renal,
walker1990clinical</v>
      </c>
      <c r="H151" s="4" t="str">
        <f aca="false">H11</f>
        <v>Valtin &amp; Shaffer p.291</v>
      </c>
      <c r="I151" s="3"/>
      <c r="J151" s="56"/>
      <c r="K151" s="59"/>
      <c r="L151" s="7" t="s">
        <v>748</v>
      </c>
      <c r="M151" s="7" t="s">
        <v>754</v>
      </c>
      <c r="N151" s="4"/>
    </row>
    <row r="152" customFormat="false" ht="15" hidden="false" customHeight="false" outlineLevel="0" collapsed="false">
      <c r="A152" s="38" t="s">
        <v>763</v>
      </c>
      <c r="B152" s="4"/>
      <c r="C152" s="48" t="s">
        <v>750</v>
      </c>
      <c r="D152" s="8"/>
      <c r="E152" s="8"/>
      <c r="F152" s="4" t="s">
        <v>756</v>
      </c>
      <c r="G152" s="48" t="s">
        <v>757</v>
      </c>
      <c r="H152" s="48"/>
      <c r="I152" s="3" t="s">
        <v>764</v>
      </c>
      <c r="J152" s="56"/>
      <c r="K152" s="59"/>
      <c r="L152" s="7" t="s">
        <v>748</v>
      </c>
      <c r="M152" s="7" t="s">
        <v>754</v>
      </c>
      <c r="N152" s="4"/>
    </row>
    <row r="153" customFormat="false" ht="15" hidden="false" customHeight="false" outlineLevel="0" collapsed="false">
      <c r="A153" s="38" t="s">
        <v>765</v>
      </c>
      <c r="B153" s="4"/>
      <c r="C153" s="48"/>
      <c r="D153" s="8"/>
      <c r="E153" s="8"/>
      <c r="F153" s="4"/>
      <c r="G153" s="48"/>
      <c r="H153" s="3"/>
      <c r="I153" s="3"/>
      <c r="J153" s="56"/>
      <c r="K153" s="59"/>
      <c r="L153" s="7" t="s">
        <v>748</v>
      </c>
      <c r="M153" s="7" t="s">
        <v>754</v>
      </c>
      <c r="N153" s="4"/>
    </row>
    <row r="154" customFormat="false" ht="15" hidden="false" customHeight="false" outlineLevel="0" collapsed="false">
      <c r="A154" s="38" t="s">
        <v>766</v>
      </c>
      <c r="B154" s="4"/>
      <c r="C154" s="48" t="s">
        <v>750</v>
      </c>
      <c r="D154" s="8"/>
      <c r="E154" s="8"/>
      <c r="F154" s="4" t="s">
        <v>756</v>
      </c>
      <c r="G154" s="48" t="s">
        <v>757</v>
      </c>
      <c r="H154" s="48"/>
      <c r="I154" s="3" t="s">
        <v>767</v>
      </c>
      <c r="J154" s="56"/>
      <c r="K154" s="59"/>
      <c r="L154" s="7" t="s">
        <v>748</v>
      </c>
      <c r="M154" s="7" t="s">
        <v>754</v>
      </c>
      <c r="N154" s="4"/>
    </row>
    <row r="155" customFormat="false" ht="15" hidden="false" customHeight="false" outlineLevel="0" collapsed="false">
      <c r="A155" s="38" t="s">
        <v>768</v>
      </c>
      <c r="B155" s="4"/>
      <c r="C155" s="48"/>
      <c r="D155" s="8"/>
      <c r="E155" s="8"/>
      <c r="F155" s="4"/>
      <c r="G155" s="48"/>
      <c r="H155" s="3"/>
      <c r="I155" s="3"/>
      <c r="J155" s="56"/>
      <c r="K155" s="59"/>
      <c r="L155" s="7" t="s">
        <v>748</v>
      </c>
      <c r="M155" s="7" t="s">
        <v>754</v>
      </c>
      <c r="N155" s="4"/>
    </row>
    <row r="156" customFormat="false" ht="15" hidden="false" customHeight="false" outlineLevel="0" collapsed="false">
      <c r="A156" s="38" t="s">
        <v>769</v>
      </c>
      <c r="B156" s="4"/>
      <c r="C156" s="48"/>
      <c r="D156" s="8"/>
      <c r="E156" s="8"/>
      <c r="F156" s="4"/>
      <c r="G156" s="48"/>
      <c r="H156" s="3"/>
      <c r="I156" s="3"/>
      <c r="J156" s="56"/>
      <c r="K156" s="59"/>
      <c r="L156" s="7" t="s">
        <v>748</v>
      </c>
      <c r="M156" s="7" t="s">
        <v>754</v>
      </c>
      <c r="N156" s="4"/>
    </row>
    <row r="157" customFormat="false" ht="15" hidden="false" customHeight="false" outlineLevel="0" collapsed="false">
      <c r="A157" s="38" t="s">
        <v>770</v>
      </c>
      <c r="B157" s="4"/>
      <c r="C157" s="48"/>
      <c r="D157" s="8"/>
      <c r="E157" s="8"/>
      <c r="F157" s="4"/>
      <c r="G157" s="48"/>
      <c r="H157" s="3"/>
      <c r="I157" s="3"/>
      <c r="J157" s="56"/>
      <c r="K157" s="59"/>
      <c r="L157" s="7" t="s">
        <v>748</v>
      </c>
      <c r="M157" s="7" t="s">
        <v>754</v>
      </c>
      <c r="N157" s="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N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9" topLeftCell="B43" activePane="bottomRight" state="frozen"/>
      <selection pane="topLeft" activeCell="A1" activeCellId="0" sqref="A1"/>
      <selection pane="topRight" activeCell="B1" activeCellId="0" sqref="B1"/>
      <selection pane="bottomLeft" activeCell="A43" activeCellId="0" sqref="A43"/>
      <selection pane="bottomRight" activeCell="F48" activeCellId="0" sqref="F48"/>
    </sheetView>
  </sheetViews>
  <sheetFormatPr defaultRowHeight="15" zeroHeight="false" outlineLevelRow="0" outlineLevelCol="0"/>
  <cols>
    <col collapsed="false" customWidth="true" hidden="false" outlineLevel="0" max="1" min="1" style="79" width="44.43"/>
    <col collapsed="false" customWidth="true" hidden="false" outlineLevel="0" max="2" min="2" style="9" width="16.71"/>
    <col collapsed="false" customWidth="true" hidden="false" outlineLevel="0" max="5" min="3" style="9" width="30"/>
    <col collapsed="false" customWidth="true" hidden="false" outlineLevel="0" max="6" min="6" style="9" width="18.57"/>
    <col collapsed="false" customWidth="true" hidden="false" outlineLevel="0" max="7" min="7" style="43" width="20"/>
    <col collapsed="false" customWidth="true" hidden="false" outlineLevel="0" max="8" min="8" style="43" width="27.29"/>
    <col collapsed="false" customWidth="true" hidden="false" outlineLevel="0" max="9" min="9" style="43" width="24"/>
    <col collapsed="false" customWidth="true" hidden="false" outlineLevel="0" max="10" min="10" style="9" width="37.57"/>
    <col collapsed="false" customWidth="true" hidden="false" outlineLevel="0" max="11" min="11" style="1" width="52"/>
    <col collapsed="false" customWidth="true" hidden="false" outlineLevel="0" max="12" min="12" style="80" width="24.72"/>
    <col collapsed="false" customWidth="true" hidden="false" outlineLevel="0" max="13" min="13" style="1" width="28.86"/>
    <col collapsed="false" customWidth="true" hidden="false" outlineLevel="0" max="14" min="14" style="1" width="30.42"/>
    <col collapsed="false" customWidth="true" hidden="false" outlineLevel="0" max="1025" min="15" style="79" width="9.14"/>
  </cols>
  <sheetData>
    <row r="1" customFormat="false" ht="15" hidden="false" customHeight="false" outlineLevel="0" collapsed="false">
      <c r="A1" s="2" t="s">
        <v>30</v>
      </c>
      <c r="B1" s="10" t="s">
        <v>1</v>
      </c>
      <c r="C1" s="10" t="s">
        <v>31</v>
      </c>
      <c r="D1" s="10" t="s">
        <v>32</v>
      </c>
      <c r="E1" s="10" t="s">
        <v>33</v>
      </c>
      <c r="F1" s="10" t="s">
        <v>34</v>
      </c>
      <c r="G1" s="10" t="s">
        <v>3</v>
      </c>
      <c r="H1" s="2" t="s">
        <v>35</v>
      </c>
      <c r="I1" s="2" t="s">
        <v>36</v>
      </c>
      <c r="J1" s="2" t="s">
        <v>37</v>
      </c>
      <c r="K1" s="2" t="s">
        <v>38</v>
      </c>
      <c r="L1" s="10" t="s">
        <v>39</v>
      </c>
      <c r="M1" s="10" t="s">
        <v>40</v>
      </c>
      <c r="N1" s="10" t="s">
        <v>41</v>
      </c>
    </row>
    <row r="2" customFormat="false" ht="15" hidden="false" customHeight="false" outlineLevel="0" collapsed="false">
      <c r="A2" s="11" t="s">
        <v>771</v>
      </c>
      <c r="B2" s="25" t="s">
        <v>772</v>
      </c>
      <c r="C2" s="48" t="s">
        <v>44</v>
      </c>
      <c r="D2" s="48"/>
      <c r="E2" s="48"/>
      <c r="F2" s="5" t="n">
        <v>1033.23</v>
      </c>
      <c r="G2" s="16" t="s">
        <v>773</v>
      </c>
      <c r="H2" s="16"/>
      <c r="I2" s="16" t="s">
        <v>774</v>
      </c>
      <c r="J2" s="25"/>
      <c r="K2" s="81"/>
      <c r="L2" s="60" t="s">
        <v>775</v>
      </c>
      <c r="M2" s="4"/>
      <c r="N2" s="4" t="s">
        <v>93</v>
      </c>
    </row>
    <row r="3" customFormat="false" ht="48" hidden="false" customHeight="false" outlineLevel="0" collapsed="false">
      <c r="A3" s="11" t="s">
        <v>776</v>
      </c>
      <c r="B3" s="16" t="s">
        <v>191</v>
      </c>
      <c r="C3" s="48" t="s">
        <v>44</v>
      </c>
      <c r="D3" s="48"/>
      <c r="E3" s="48"/>
      <c r="F3" s="48" t="s">
        <v>777</v>
      </c>
      <c r="G3" s="8" t="s">
        <v>778</v>
      </c>
      <c r="H3" s="16"/>
      <c r="I3" s="16"/>
      <c r="J3" s="25" t="s">
        <v>779</v>
      </c>
      <c r="K3" s="82"/>
      <c r="L3" s="60" t="s">
        <v>775</v>
      </c>
      <c r="M3" s="4"/>
      <c r="N3" s="4" t="s">
        <v>780</v>
      </c>
    </row>
    <row r="4" customFormat="false" ht="36" hidden="false" customHeight="false" outlineLevel="0" collapsed="false">
      <c r="A4" s="11" t="s">
        <v>781</v>
      </c>
      <c r="B4" s="16" t="s">
        <v>17</v>
      </c>
      <c r="C4" s="48" t="s">
        <v>782</v>
      </c>
      <c r="D4" s="48"/>
      <c r="E4" s="48"/>
      <c r="F4" s="48" t="n">
        <v>0.013</v>
      </c>
      <c r="G4" s="16" t="s">
        <v>96</v>
      </c>
      <c r="H4" s="16" t="s">
        <v>783</v>
      </c>
      <c r="I4" s="16" t="s">
        <v>784</v>
      </c>
      <c r="J4" s="25" t="s">
        <v>785</v>
      </c>
      <c r="K4" s="82"/>
      <c r="L4" s="60" t="s">
        <v>775</v>
      </c>
      <c r="M4" s="4"/>
      <c r="N4" s="4" t="s">
        <v>93</v>
      </c>
    </row>
    <row r="5" customFormat="false" ht="15" hidden="false" customHeight="false" outlineLevel="0" collapsed="false">
      <c r="A5" s="11" t="s">
        <v>786</v>
      </c>
      <c r="B5" s="16" t="s">
        <v>17</v>
      </c>
      <c r="C5" s="48" t="s">
        <v>782</v>
      </c>
      <c r="D5" s="48"/>
      <c r="E5" s="48"/>
      <c r="F5" s="48" t="n">
        <v>2</v>
      </c>
      <c r="G5" s="16" t="s">
        <v>96</v>
      </c>
      <c r="H5" s="16" t="s">
        <v>787</v>
      </c>
      <c r="I5" s="16" t="s">
        <v>788</v>
      </c>
      <c r="J5" s="25"/>
      <c r="K5" s="82"/>
      <c r="L5" s="60" t="s">
        <v>775</v>
      </c>
      <c r="M5" s="4"/>
      <c r="N5" s="4" t="s">
        <v>93</v>
      </c>
    </row>
    <row r="6" customFormat="false" ht="15" hidden="false" customHeight="false" outlineLevel="0" collapsed="false">
      <c r="A6" s="11" t="s">
        <v>789</v>
      </c>
      <c r="B6" s="16" t="s">
        <v>790</v>
      </c>
      <c r="C6" s="48" t="s">
        <v>44</v>
      </c>
      <c r="D6" s="48"/>
      <c r="E6" s="48"/>
      <c r="F6" s="83" t="n">
        <v>0.2</v>
      </c>
      <c r="G6" s="16" t="s">
        <v>96</v>
      </c>
      <c r="H6" s="16" t="s">
        <v>791</v>
      </c>
      <c r="I6" s="16"/>
      <c r="J6" s="25"/>
      <c r="K6" s="81"/>
      <c r="L6" s="60" t="s">
        <v>775</v>
      </c>
      <c r="M6" s="4"/>
      <c r="N6" s="4" t="s">
        <v>93</v>
      </c>
    </row>
    <row r="7" customFormat="false" ht="15" hidden="false" customHeight="false" outlineLevel="0" collapsed="false">
      <c r="A7" s="45" t="s">
        <v>792</v>
      </c>
      <c r="B7" s="16" t="s">
        <v>793</v>
      </c>
      <c r="C7" s="48"/>
      <c r="D7" s="48"/>
      <c r="E7" s="48"/>
      <c r="F7" s="48"/>
      <c r="G7" s="16"/>
      <c r="H7" s="16"/>
      <c r="I7" s="16"/>
      <c r="J7" s="25"/>
      <c r="K7" s="81"/>
      <c r="L7" s="60" t="s">
        <v>775</v>
      </c>
      <c r="M7" s="4"/>
      <c r="N7" s="4" t="s">
        <v>93</v>
      </c>
    </row>
    <row r="8" customFormat="false" ht="15" hidden="false" customHeight="false" outlineLevel="0" collapsed="false">
      <c r="A8" s="45" t="s">
        <v>794</v>
      </c>
      <c r="B8" s="16"/>
      <c r="C8" s="19"/>
      <c r="D8" s="19"/>
      <c r="E8" s="19"/>
      <c r="F8" s="48"/>
      <c r="G8" s="16"/>
      <c r="H8" s="16"/>
      <c r="I8" s="16"/>
      <c r="J8" s="25"/>
      <c r="K8" s="82"/>
      <c r="L8" s="60" t="s">
        <v>775</v>
      </c>
      <c r="M8" s="4"/>
      <c r="N8" s="4" t="s">
        <v>780</v>
      </c>
    </row>
    <row r="9" customFormat="false" ht="15" hidden="false" customHeight="false" outlineLevel="0" collapsed="false">
      <c r="A9" s="11" t="s">
        <v>795</v>
      </c>
      <c r="B9" s="16" t="s">
        <v>191</v>
      </c>
      <c r="C9" s="19" t="s">
        <v>44</v>
      </c>
      <c r="D9" s="19"/>
      <c r="E9" s="19"/>
      <c r="F9" s="48" t="s">
        <v>796</v>
      </c>
      <c r="G9" s="16" t="s">
        <v>96</v>
      </c>
      <c r="H9" s="16" t="s">
        <v>797</v>
      </c>
      <c r="I9" s="16"/>
      <c r="J9" s="25"/>
      <c r="K9" s="82"/>
      <c r="L9" s="60" t="s">
        <v>775</v>
      </c>
      <c r="M9" s="4"/>
      <c r="N9" s="4" t="s">
        <v>93</v>
      </c>
    </row>
    <row r="10" customFormat="false" ht="15" hidden="false" customHeight="false" outlineLevel="0" collapsed="false">
      <c r="A10" s="45" t="s">
        <v>798</v>
      </c>
      <c r="B10" s="16"/>
      <c r="C10" s="48"/>
      <c r="D10" s="48"/>
      <c r="E10" s="48"/>
      <c r="F10" s="48"/>
      <c r="G10" s="16"/>
      <c r="H10" s="16"/>
      <c r="I10" s="16"/>
      <c r="J10" s="25"/>
      <c r="K10" s="82"/>
      <c r="L10" s="60" t="s">
        <v>775</v>
      </c>
      <c r="M10" s="4"/>
      <c r="N10" s="4" t="s">
        <v>93</v>
      </c>
    </row>
    <row r="11" customFormat="false" ht="15" hidden="false" customHeight="false" outlineLevel="0" collapsed="false">
      <c r="A11" s="45" t="s">
        <v>799</v>
      </c>
      <c r="B11" s="16"/>
      <c r="C11" s="48"/>
      <c r="D11" s="48"/>
      <c r="E11" s="48"/>
      <c r="F11" s="48"/>
      <c r="G11" s="16"/>
      <c r="H11" s="16"/>
      <c r="I11" s="16"/>
      <c r="J11" s="25"/>
      <c r="K11" s="82"/>
      <c r="L11" s="60" t="s">
        <v>775</v>
      </c>
      <c r="M11" s="4"/>
      <c r="N11" s="4" t="s">
        <v>93</v>
      </c>
    </row>
    <row r="12" customFormat="false" ht="15.75" hidden="false" customHeight="true" outlineLevel="0" collapsed="false">
      <c r="A12" s="11" t="s">
        <v>800</v>
      </c>
      <c r="B12" s="17" t="s">
        <v>801</v>
      </c>
      <c r="C12" s="19" t="s">
        <v>369</v>
      </c>
      <c r="D12" s="19"/>
      <c r="E12" s="19"/>
      <c r="F12" s="84" t="n">
        <v>0.44</v>
      </c>
      <c r="G12" s="16" t="s">
        <v>802</v>
      </c>
      <c r="H12" s="8" t="s">
        <v>803</v>
      </c>
      <c r="I12" s="16"/>
      <c r="J12" s="25"/>
      <c r="K12" s="81"/>
      <c r="L12" s="60" t="s">
        <v>775</v>
      </c>
      <c r="M12" s="4"/>
      <c r="N12" s="4" t="s">
        <v>93</v>
      </c>
    </row>
    <row r="13" customFormat="false" ht="15" hidden="false" customHeight="false" outlineLevel="0" collapsed="false">
      <c r="A13" s="11" t="s">
        <v>804</v>
      </c>
      <c r="B13" s="16" t="s">
        <v>805</v>
      </c>
      <c r="C13" s="48" t="s">
        <v>44</v>
      </c>
      <c r="D13" s="48"/>
      <c r="E13" s="48"/>
      <c r="F13" s="48" t="s">
        <v>806</v>
      </c>
      <c r="G13" s="16" t="s">
        <v>773</v>
      </c>
      <c r="H13" s="16" t="s">
        <v>807</v>
      </c>
      <c r="I13" s="16"/>
      <c r="J13" s="25"/>
      <c r="K13" s="85"/>
      <c r="L13" s="60" t="s">
        <v>775</v>
      </c>
      <c r="M13" s="4"/>
      <c r="N13" s="4" t="s">
        <v>93</v>
      </c>
    </row>
    <row r="14" customFormat="false" ht="15" hidden="false" customHeight="false" outlineLevel="0" collapsed="false">
      <c r="A14" s="11" t="s">
        <v>808</v>
      </c>
      <c r="B14" s="16" t="s">
        <v>17</v>
      </c>
      <c r="C14" s="48" t="s">
        <v>782</v>
      </c>
      <c r="D14" s="48"/>
      <c r="E14" s="48"/>
      <c r="F14" s="48" t="n">
        <v>7</v>
      </c>
      <c r="G14" s="16" t="s">
        <v>96</v>
      </c>
      <c r="H14" s="8" t="s">
        <v>809</v>
      </c>
      <c r="I14" s="16"/>
      <c r="J14" s="25"/>
      <c r="K14" s="81"/>
      <c r="L14" s="60" t="s">
        <v>775</v>
      </c>
      <c r="M14" s="4"/>
      <c r="N14" s="4" t="s">
        <v>780</v>
      </c>
    </row>
    <row r="15" customFormat="false" ht="15" hidden="false" customHeight="false" outlineLevel="0" collapsed="false">
      <c r="A15" s="11" t="s">
        <v>810</v>
      </c>
      <c r="B15" s="16"/>
      <c r="C15" s="48" t="s">
        <v>44</v>
      </c>
      <c r="D15" s="48"/>
      <c r="E15" s="48"/>
      <c r="F15" s="48" t="n">
        <v>0.21</v>
      </c>
      <c r="G15" s="16" t="s">
        <v>15</v>
      </c>
      <c r="H15" s="16"/>
      <c r="I15" s="16"/>
      <c r="J15" s="25"/>
      <c r="K15" s="85"/>
      <c r="L15" s="60" t="s">
        <v>775</v>
      </c>
      <c r="M15" s="4"/>
      <c r="N15" s="4" t="s">
        <v>93</v>
      </c>
    </row>
    <row r="16" customFormat="false" ht="15" hidden="false" customHeight="false" outlineLevel="0" collapsed="false">
      <c r="A16" s="11" t="s">
        <v>811</v>
      </c>
      <c r="B16" s="16" t="s">
        <v>191</v>
      </c>
      <c r="C16" s="48" t="s">
        <v>44</v>
      </c>
      <c r="D16" s="48"/>
      <c r="E16" s="48"/>
      <c r="F16" s="48" t="n">
        <v>452</v>
      </c>
      <c r="G16" s="8" t="s">
        <v>15</v>
      </c>
      <c r="H16" s="16" t="s">
        <v>812</v>
      </c>
      <c r="I16" s="16" t="s">
        <v>813</v>
      </c>
      <c r="J16" s="25"/>
      <c r="K16" s="82"/>
      <c r="L16" s="60" t="s">
        <v>775</v>
      </c>
      <c r="M16" s="4"/>
      <c r="N16" s="4" t="s">
        <v>93</v>
      </c>
    </row>
    <row r="17" customFormat="false" ht="15" hidden="false" customHeight="false" outlineLevel="0" collapsed="false">
      <c r="A17" s="45" t="s">
        <v>814</v>
      </c>
      <c r="B17" s="16" t="s">
        <v>815</v>
      </c>
      <c r="C17" s="48"/>
      <c r="D17" s="48"/>
      <c r="E17" s="48"/>
      <c r="F17" s="48"/>
      <c r="G17" s="16"/>
      <c r="H17" s="16"/>
      <c r="I17" s="16"/>
      <c r="J17" s="25"/>
      <c r="K17" s="81"/>
      <c r="L17" s="60" t="s">
        <v>775</v>
      </c>
      <c r="M17" s="4"/>
      <c r="N17" s="4" t="s">
        <v>93</v>
      </c>
    </row>
    <row r="18" customFormat="false" ht="15" hidden="false" customHeight="false" outlineLevel="0" collapsed="false">
      <c r="A18" s="45" t="s">
        <v>816</v>
      </c>
      <c r="B18" s="16" t="s">
        <v>793</v>
      </c>
      <c r="C18" s="48"/>
      <c r="D18" s="48"/>
      <c r="E18" s="48"/>
      <c r="F18" s="48"/>
      <c r="G18" s="16"/>
      <c r="H18" s="16"/>
      <c r="I18" s="16"/>
      <c r="J18" s="25"/>
      <c r="K18" s="81"/>
      <c r="L18" s="60" t="s">
        <v>775</v>
      </c>
      <c r="M18" s="4"/>
      <c r="N18" s="4" t="s">
        <v>93</v>
      </c>
    </row>
    <row r="19" customFormat="false" ht="15" hidden="false" customHeight="false" outlineLevel="0" collapsed="false">
      <c r="A19" s="11" t="s">
        <v>817</v>
      </c>
      <c r="B19" s="16"/>
      <c r="C19" s="48" t="s">
        <v>44</v>
      </c>
      <c r="D19" s="48"/>
      <c r="E19" s="48"/>
      <c r="F19" s="48" t="s">
        <v>818</v>
      </c>
      <c r="G19" s="16" t="s">
        <v>96</v>
      </c>
      <c r="H19" s="16" t="s">
        <v>819</v>
      </c>
      <c r="I19" s="16"/>
      <c r="J19" s="25" t="s">
        <v>820</v>
      </c>
      <c r="K19" s="85"/>
      <c r="L19" s="60" t="s">
        <v>775</v>
      </c>
      <c r="M19" s="4"/>
      <c r="N19" s="4" t="s">
        <v>93</v>
      </c>
    </row>
    <row r="20" customFormat="false" ht="15" hidden="false" customHeight="false" outlineLevel="0" collapsed="false">
      <c r="A20" s="11" t="s">
        <v>821</v>
      </c>
      <c r="B20" s="17" t="s">
        <v>801</v>
      </c>
      <c r="C20" s="19" t="s">
        <v>369</v>
      </c>
      <c r="D20" s="19"/>
      <c r="E20" s="19"/>
      <c r="F20" s="86" t="n">
        <v>0.4</v>
      </c>
      <c r="G20" s="16" t="s">
        <v>802</v>
      </c>
      <c r="H20" s="8" t="s">
        <v>803</v>
      </c>
      <c r="I20" s="16"/>
      <c r="J20" s="25"/>
      <c r="K20" s="81"/>
      <c r="L20" s="60" t="s">
        <v>775</v>
      </c>
      <c r="M20" s="4"/>
      <c r="N20" s="4" t="s">
        <v>93</v>
      </c>
    </row>
    <row r="21" customFormat="false" ht="15" hidden="false" customHeight="false" outlineLevel="0" collapsed="false">
      <c r="A21" s="11" t="s">
        <v>822</v>
      </c>
      <c r="B21" s="16" t="s">
        <v>805</v>
      </c>
      <c r="C21" s="48" t="s">
        <v>44</v>
      </c>
      <c r="D21" s="48"/>
      <c r="E21" s="48"/>
      <c r="F21" s="48" t="s">
        <v>806</v>
      </c>
      <c r="G21" s="16" t="s">
        <v>773</v>
      </c>
      <c r="H21" s="16" t="s">
        <v>807</v>
      </c>
      <c r="I21" s="16"/>
      <c r="J21" s="25"/>
      <c r="K21" s="85"/>
      <c r="L21" s="60" t="s">
        <v>775</v>
      </c>
      <c r="M21" s="4"/>
      <c r="N21" s="4" t="s">
        <v>93</v>
      </c>
    </row>
    <row r="22" customFormat="false" ht="15" hidden="false" customHeight="false" outlineLevel="0" collapsed="false">
      <c r="A22" s="11" t="s">
        <v>823</v>
      </c>
      <c r="B22" s="16" t="s">
        <v>17</v>
      </c>
      <c r="C22" s="48" t="s">
        <v>782</v>
      </c>
      <c r="D22" s="48"/>
      <c r="E22" s="48"/>
      <c r="F22" s="48" t="n">
        <v>7</v>
      </c>
      <c r="G22" s="16" t="s">
        <v>96</v>
      </c>
      <c r="H22" s="8" t="s">
        <v>809</v>
      </c>
      <c r="I22" s="16"/>
      <c r="J22" s="25"/>
      <c r="K22" s="81"/>
      <c r="L22" s="60" t="s">
        <v>775</v>
      </c>
      <c r="M22" s="4"/>
      <c r="N22" s="4" t="s">
        <v>780</v>
      </c>
    </row>
    <row r="23" customFormat="false" ht="15" hidden="false" customHeight="false" outlineLevel="0" collapsed="false">
      <c r="A23" s="11" t="s">
        <v>824</v>
      </c>
      <c r="B23" s="17" t="s">
        <v>772</v>
      </c>
      <c r="C23" s="19" t="s">
        <v>366</v>
      </c>
      <c r="D23" s="19"/>
      <c r="E23" s="19"/>
      <c r="F23" s="87" t="n">
        <v>-8</v>
      </c>
      <c r="G23" s="16" t="s">
        <v>96</v>
      </c>
      <c r="H23" s="8" t="s">
        <v>825</v>
      </c>
      <c r="I23" s="16"/>
      <c r="J23" s="25"/>
      <c r="K23" s="81"/>
      <c r="L23" s="60" t="s">
        <v>775</v>
      </c>
      <c r="M23" s="4"/>
      <c r="N23" s="4" t="s">
        <v>93</v>
      </c>
    </row>
    <row r="24" customFormat="false" ht="15" hidden="false" customHeight="false" outlineLevel="0" collapsed="false">
      <c r="A24" s="11" t="s">
        <v>824</v>
      </c>
      <c r="B24" s="17" t="s">
        <v>772</v>
      </c>
      <c r="C24" s="19" t="s">
        <v>369</v>
      </c>
      <c r="D24" s="19"/>
      <c r="E24" s="19"/>
      <c r="F24" s="87" t="n">
        <v>-5</v>
      </c>
      <c r="G24" s="16" t="s">
        <v>96</v>
      </c>
      <c r="H24" s="8" t="s">
        <v>825</v>
      </c>
      <c r="I24" s="16"/>
      <c r="J24" s="25"/>
      <c r="K24" s="81"/>
      <c r="L24" s="60" t="s">
        <v>775</v>
      </c>
      <c r="M24" s="4"/>
      <c r="N24" s="4" t="s">
        <v>93</v>
      </c>
    </row>
    <row r="25" customFormat="false" ht="15" hidden="false" customHeight="false" outlineLevel="0" collapsed="false">
      <c r="A25" s="11" t="s">
        <v>826</v>
      </c>
      <c r="B25" s="17" t="s">
        <v>772</v>
      </c>
      <c r="C25" s="19" t="s">
        <v>369</v>
      </c>
      <c r="D25" s="19"/>
      <c r="E25" s="19"/>
      <c r="F25" s="88" t="n">
        <v>5.4</v>
      </c>
      <c r="G25" s="16" t="s">
        <v>15</v>
      </c>
      <c r="H25" s="8"/>
      <c r="I25" s="16"/>
      <c r="J25" s="25" t="s">
        <v>827</v>
      </c>
      <c r="K25" s="81"/>
      <c r="L25" s="60" t="s">
        <v>775</v>
      </c>
      <c r="M25" s="4"/>
      <c r="N25" s="4" t="s">
        <v>93</v>
      </c>
    </row>
    <row r="26" customFormat="false" ht="15" hidden="false" customHeight="false" outlineLevel="0" collapsed="false">
      <c r="A26" s="11" t="s">
        <v>826</v>
      </c>
      <c r="B26" s="17" t="s">
        <v>772</v>
      </c>
      <c r="C26" s="19" t="s">
        <v>366</v>
      </c>
      <c r="D26" s="19"/>
      <c r="E26" s="19"/>
      <c r="F26" s="88" t="n">
        <v>0</v>
      </c>
      <c r="G26" s="16" t="s">
        <v>15</v>
      </c>
      <c r="H26" s="8"/>
      <c r="I26" s="16"/>
      <c r="J26" s="25"/>
      <c r="K26" s="81"/>
      <c r="L26" s="60" t="s">
        <v>775</v>
      </c>
      <c r="M26" s="4"/>
      <c r="N26" s="4" t="s">
        <v>93</v>
      </c>
    </row>
    <row r="27" customFormat="false" ht="15" hidden="false" customHeight="false" outlineLevel="0" collapsed="false">
      <c r="A27" s="11" t="s">
        <v>828</v>
      </c>
      <c r="B27" s="17" t="s">
        <v>772</v>
      </c>
      <c r="C27" s="19" t="s">
        <v>366</v>
      </c>
      <c r="D27" s="19"/>
      <c r="E27" s="19"/>
      <c r="F27" s="88" t="n">
        <v>0</v>
      </c>
      <c r="G27" s="16" t="s">
        <v>15</v>
      </c>
      <c r="H27" s="8"/>
      <c r="I27" s="16"/>
      <c r="J27" s="25"/>
      <c r="K27" s="81"/>
      <c r="L27" s="60" t="s">
        <v>775</v>
      </c>
      <c r="M27" s="4"/>
      <c r="N27" s="4" t="s">
        <v>93</v>
      </c>
    </row>
    <row r="28" customFormat="false" ht="15" hidden="false" customHeight="false" outlineLevel="0" collapsed="false">
      <c r="A28" s="11" t="s">
        <v>829</v>
      </c>
      <c r="B28" s="16" t="s">
        <v>790</v>
      </c>
      <c r="C28" s="48" t="s">
        <v>44</v>
      </c>
      <c r="D28" s="48"/>
      <c r="E28" s="48"/>
      <c r="F28" s="83" t="n">
        <v>0.2</v>
      </c>
      <c r="G28" s="16" t="s">
        <v>96</v>
      </c>
      <c r="H28" s="16" t="s">
        <v>791</v>
      </c>
      <c r="I28" s="16"/>
      <c r="J28" s="25"/>
      <c r="K28" s="81"/>
      <c r="L28" s="60" t="s">
        <v>775</v>
      </c>
      <c r="M28" s="4"/>
      <c r="N28" s="4" t="s">
        <v>93</v>
      </c>
    </row>
    <row r="29" customFormat="false" ht="60" hidden="false" customHeight="false" outlineLevel="0" collapsed="false">
      <c r="A29" s="11" t="s">
        <v>830</v>
      </c>
      <c r="B29" s="25" t="s">
        <v>772</v>
      </c>
      <c r="C29" s="48" t="s">
        <v>44</v>
      </c>
      <c r="D29" s="48"/>
      <c r="E29" s="48"/>
      <c r="F29" s="5" t="n">
        <v>-1</v>
      </c>
      <c r="G29" s="16" t="s">
        <v>96</v>
      </c>
      <c r="H29" s="16" t="s">
        <v>831</v>
      </c>
      <c r="I29" s="16"/>
      <c r="J29" s="25" t="s">
        <v>832</v>
      </c>
      <c r="K29" s="81"/>
      <c r="L29" s="60" t="s">
        <v>775</v>
      </c>
      <c r="M29" s="4"/>
      <c r="N29" s="4" t="s">
        <v>93</v>
      </c>
    </row>
    <row r="30" customFormat="false" ht="15" hidden="false" customHeight="false" outlineLevel="0" collapsed="false">
      <c r="A30" s="11" t="s">
        <v>833</v>
      </c>
      <c r="B30" s="25" t="s">
        <v>772</v>
      </c>
      <c r="C30" s="48" t="s">
        <v>44</v>
      </c>
      <c r="D30" s="48"/>
      <c r="E30" s="48"/>
      <c r="F30" s="5" t="n">
        <v>0</v>
      </c>
      <c r="G30" s="16" t="s">
        <v>773</v>
      </c>
      <c r="H30" s="16"/>
      <c r="I30" s="16"/>
      <c r="J30" s="25"/>
      <c r="K30" s="81"/>
      <c r="L30" s="60" t="s">
        <v>775</v>
      </c>
      <c r="M30" s="4"/>
      <c r="N30" s="4" t="s">
        <v>93</v>
      </c>
    </row>
    <row r="31" customFormat="false" ht="15" hidden="false" customHeight="false" outlineLevel="0" collapsed="false">
      <c r="A31" s="11" t="s">
        <v>834</v>
      </c>
      <c r="B31" s="25"/>
      <c r="C31" s="48" t="s">
        <v>44</v>
      </c>
      <c r="D31" s="48"/>
      <c r="E31" s="48"/>
      <c r="F31" s="5" t="n">
        <v>0</v>
      </c>
      <c r="G31" s="16" t="s">
        <v>773</v>
      </c>
      <c r="H31" s="16"/>
      <c r="I31" s="16" t="s">
        <v>835</v>
      </c>
      <c r="J31" s="25"/>
      <c r="K31" s="81"/>
      <c r="L31" s="60" t="s">
        <v>775</v>
      </c>
      <c r="M31" s="4"/>
      <c r="N31" s="4" t="s">
        <v>93</v>
      </c>
    </row>
    <row r="32" customFormat="false" ht="15" hidden="false" customHeight="false" outlineLevel="0" collapsed="false">
      <c r="A32" s="11" t="s">
        <v>836</v>
      </c>
      <c r="B32" s="25" t="s">
        <v>191</v>
      </c>
      <c r="C32" s="48" t="s">
        <v>44</v>
      </c>
      <c r="D32" s="48"/>
      <c r="E32" s="48"/>
      <c r="F32" s="5" t="n">
        <v>0</v>
      </c>
      <c r="G32" s="16" t="s">
        <v>773</v>
      </c>
      <c r="H32" s="16"/>
      <c r="I32" s="16" t="s">
        <v>837</v>
      </c>
      <c r="J32" s="25"/>
      <c r="K32" s="81"/>
      <c r="L32" s="60" t="s">
        <v>775</v>
      </c>
      <c r="M32" s="4"/>
      <c r="N32" s="4" t="s">
        <v>93</v>
      </c>
    </row>
    <row r="33" customFormat="false" ht="15" hidden="false" customHeight="false" outlineLevel="0" collapsed="false">
      <c r="A33" s="45" t="s">
        <v>838</v>
      </c>
      <c r="B33" s="16" t="s">
        <v>815</v>
      </c>
      <c r="C33" s="48"/>
      <c r="D33" s="48"/>
      <c r="E33" s="48"/>
      <c r="F33" s="48"/>
      <c r="G33" s="16"/>
      <c r="H33" s="16"/>
      <c r="I33" s="16"/>
      <c r="J33" s="25"/>
      <c r="K33" s="81"/>
      <c r="L33" s="60" t="s">
        <v>775</v>
      </c>
      <c r="M33" s="4"/>
      <c r="N33" s="4" t="s">
        <v>93</v>
      </c>
    </row>
    <row r="34" customFormat="false" ht="15" hidden="false" customHeight="false" outlineLevel="0" collapsed="false">
      <c r="A34" s="45" t="s">
        <v>839</v>
      </c>
      <c r="B34" s="16" t="s">
        <v>793</v>
      </c>
      <c r="C34" s="48"/>
      <c r="D34" s="48"/>
      <c r="E34" s="48"/>
      <c r="F34" s="48"/>
      <c r="G34" s="16"/>
      <c r="H34" s="16"/>
      <c r="I34" s="16"/>
      <c r="J34" s="25"/>
      <c r="K34" s="81"/>
      <c r="L34" s="60" t="s">
        <v>775</v>
      </c>
      <c r="M34" s="4"/>
      <c r="N34" s="4" t="s">
        <v>93</v>
      </c>
    </row>
    <row r="35" customFormat="false" ht="24" hidden="false" customHeight="false" outlineLevel="0" collapsed="false">
      <c r="A35" s="11" t="s">
        <v>840</v>
      </c>
      <c r="B35" s="25" t="s">
        <v>772</v>
      </c>
      <c r="C35" s="48" t="s">
        <v>44</v>
      </c>
      <c r="D35" s="48"/>
      <c r="E35" s="48"/>
      <c r="F35" s="5" t="n">
        <v>1</v>
      </c>
      <c r="G35" s="16" t="s">
        <v>96</v>
      </c>
      <c r="H35" s="16"/>
      <c r="I35" s="16"/>
      <c r="J35" s="25" t="s">
        <v>841</v>
      </c>
      <c r="K35" s="81"/>
      <c r="L35" s="60" t="s">
        <v>775</v>
      </c>
      <c r="M35" s="4"/>
      <c r="N35" s="4" t="s">
        <v>93</v>
      </c>
    </row>
    <row r="36" customFormat="false" ht="15.75" hidden="false" customHeight="true" outlineLevel="0" collapsed="false">
      <c r="A36" s="11" t="s">
        <v>842</v>
      </c>
      <c r="B36" s="25" t="s">
        <v>17</v>
      </c>
      <c r="C36" s="48" t="s">
        <v>782</v>
      </c>
      <c r="D36" s="48"/>
      <c r="E36" s="48"/>
      <c r="F36" s="4" t="n">
        <v>2</v>
      </c>
      <c r="G36" s="16" t="s">
        <v>96</v>
      </c>
      <c r="H36" s="8" t="s">
        <v>809</v>
      </c>
      <c r="I36" s="16"/>
      <c r="J36" s="25"/>
      <c r="K36" s="81"/>
      <c r="L36" s="60" t="s">
        <v>775</v>
      </c>
      <c r="M36" s="4"/>
      <c r="N36" s="4" t="s">
        <v>93</v>
      </c>
    </row>
    <row r="37" customFormat="false" ht="120" hidden="false" customHeight="false" outlineLevel="0" collapsed="false">
      <c r="A37" s="11" t="s">
        <v>843</v>
      </c>
      <c r="B37" s="25" t="s">
        <v>772</v>
      </c>
      <c r="C37" s="48" t="s">
        <v>44</v>
      </c>
      <c r="D37" s="48"/>
      <c r="E37" s="48"/>
      <c r="F37" s="5" t="n">
        <v>0</v>
      </c>
      <c r="G37" s="16" t="s">
        <v>96</v>
      </c>
      <c r="H37" s="16"/>
      <c r="I37" s="16"/>
      <c r="J37" s="25" t="s">
        <v>844</v>
      </c>
      <c r="K37" s="81"/>
      <c r="L37" s="60" t="s">
        <v>775</v>
      </c>
      <c r="M37" s="4"/>
      <c r="N37" s="4" t="s">
        <v>93</v>
      </c>
    </row>
    <row r="38" customFormat="false" ht="96" hidden="false" customHeight="false" outlineLevel="0" collapsed="false">
      <c r="A38" s="11" t="s">
        <v>845</v>
      </c>
      <c r="B38" s="16" t="s">
        <v>790</v>
      </c>
      <c r="C38" s="48" t="s">
        <v>44</v>
      </c>
      <c r="D38" s="48"/>
      <c r="E38" s="48"/>
      <c r="F38" s="16" t="s">
        <v>846</v>
      </c>
      <c r="G38" s="16" t="s">
        <v>96</v>
      </c>
      <c r="H38" s="16" t="s">
        <v>847</v>
      </c>
      <c r="I38" s="16"/>
      <c r="J38" s="25" t="s">
        <v>848</v>
      </c>
      <c r="K38" s="85"/>
      <c r="L38" s="60" t="s">
        <v>775</v>
      </c>
      <c r="M38" s="4"/>
      <c r="N38" s="4" t="s">
        <v>93</v>
      </c>
    </row>
    <row r="39" customFormat="false" ht="15" hidden="false" customHeight="false" outlineLevel="0" collapsed="false">
      <c r="A39" s="11" t="s">
        <v>849</v>
      </c>
      <c r="B39" s="16" t="s">
        <v>850</v>
      </c>
      <c r="C39" s="48" t="s">
        <v>44</v>
      </c>
      <c r="D39" s="48"/>
      <c r="E39" s="48"/>
      <c r="F39" s="16" t="s">
        <v>851</v>
      </c>
      <c r="G39" s="16" t="s">
        <v>96</v>
      </c>
      <c r="H39" s="16" t="s">
        <v>847</v>
      </c>
      <c r="I39" s="16"/>
      <c r="J39" s="25" t="s">
        <v>852</v>
      </c>
      <c r="K39" s="85"/>
      <c r="L39" s="60" t="s">
        <v>775</v>
      </c>
      <c r="M39" s="4"/>
      <c r="N39" s="4" t="s">
        <v>93</v>
      </c>
    </row>
    <row r="40" customFormat="false" ht="24" hidden="false" customHeight="false" outlineLevel="0" collapsed="false">
      <c r="A40" s="11" t="s">
        <v>853</v>
      </c>
      <c r="B40" s="17" t="s">
        <v>854</v>
      </c>
      <c r="C40" s="48" t="s">
        <v>782</v>
      </c>
      <c r="D40" s="48"/>
      <c r="E40" s="48"/>
      <c r="F40" s="16" t="n">
        <v>3.5</v>
      </c>
      <c r="G40" s="16" t="s">
        <v>96</v>
      </c>
      <c r="H40" s="8" t="s">
        <v>809</v>
      </c>
      <c r="I40" s="16"/>
      <c r="J40" s="25" t="s">
        <v>855</v>
      </c>
      <c r="K40" s="53"/>
      <c r="L40" s="60" t="s">
        <v>775</v>
      </c>
      <c r="M40" s="4"/>
      <c r="N40" s="4" t="s">
        <v>93</v>
      </c>
    </row>
    <row r="41" customFormat="false" ht="15" hidden="false" customHeight="false" outlineLevel="0" collapsed="false">
      <c r="A41" s="45" t="s">
        <v>856</v>
      </c>
      <c r="B41" s="16" t="s">
        <v>793</v>
      </c>
      <c r="C41" s="48"/>
      <c r="D41" s="48"/>
      <c r="E41" s="48"/>
      <c r="F41" s="48"/>
      <c r="G41" s="16"/>
      <c r="H41" s="16"/>
      <c r="I41" s="16"/>
      <c r="J41" s="25"/>
      <c r="K41" s="81"/>
      <c r="L41" s="60" t="s">
        <v>775</v>
      </c>
      <c r="M41" s="4"/>
      <c r="N41" s="4" t="s">
        <v>93</v>
      </c>
    </row>
    <row r="42" customFormat="false" ht="15" hidden="false" customHeight="false" outlineLevel="0" collapsed="false">
      <c r="A42" s="45" t="s">
        <v>857</v>
      </c>
      <c r="B42" s="16" t="s">
        <v>793</v>
      </c>
      <c r="C42" s="48"/>
      <c r="D42" s="48"/>
      <c r="E42" s="48"/>
      <c r="F42" s="48"/>
      <c r="G42" s="16"/>
      <c r="H42" s="16"/>
      <c r="I42" s="16"/>
      <c r="J42" s="25"/>
      <c r="K42" s="81"/>
      <c r="L42" s="60" t="s">
        <v>775</v>
      </c>
      <c r="M42" s="4"/>
      <c r="N42" s="4" t="s">
        <v>93</v>
      </c>
    </row>
    <row r="43" customFormat="false" ht="36" hidden="false" customHeight="false" outlineLevel="0" collapsed="false">
      <c r="A43" s="11" t="s">
        <v>858</v>
      </c>
      <c r="B43" s="17" t="s">
        <v>282</v>
      </c>
      <c r="C43" s="48" t="s">
        <v>44</v>
      </c>
      <c r="D43" s="48"/>
      <c r="E43" s="48"/>
      <c r="F43" s="17" t="s">
        <v>859</v>
      </c>
      <c r="G43" s="89" t="s">
        <v>860</v>
      </c>
      <c r="H43" s="8" t="s">
        <v>861</v>
      </c>
      <c r="I43" s="16"/>
      <c r="J43" s="25"/>
      <c r="K43" s="90"/>
      <c r="L43" s="60" t="s">
        <v>775</v>
      </c>
      <c r="M43" s="4"/>
      <c r="N43" s="4" t="s">
        <v>93</v>
      </c>
    </row>
    <row r="44" customFormat="false" ht="15" hidden="false" customHeight="false" outlineLevel="0" collapsed="false">
      <c r="A44" s="45" t="s">
        <v>862</v>
      </c>
      <c r="B44" s="16"/>
      <c r="C44" s="48" t="s">
        <v>44</v>
      </c>
      <c r="D44" s="48"/>
      <c r="E44" s="48"/>
      <c r="F44" s="48" t="n">
        <v>0</v>
      </c>
      <c r="G44" s="16" t="s">
        <v>863</v>
      </c>
      <c r="H44" s="16"/>
      <c r="I44" s="16"/>
      <c r="J44" s="25"/>
      <c r="K44" s="81"/>
      <c r="L44" s="60" t="s">
        <v>775</v>
      </c>
      <c r="M44" s="4"/>
      <c r="N44" s="4" t="s">
        <v>93</v>
      </c>
    </row>
    <row r="45" customFormat="false" ht="15" hidden="false" customHeight="false" outlineLevel="0" collapsed="false">
      <c r="A45" s="45" t="s">
        <v>864</v>
      </c>
      <c r="B45" s="14"/>
      <c r="C45" s="48"/>
      <c r="D45" s="48"/>
      <c r="E45" s="48"/>
      <c r="F45" s="48"/>
      <c r="G45" s="48"/>
      <c r="H45" s="48"/>
      <c r="I45" s="48"/>
      <c r="J45" s="48"/>
      <c r="K45" s="48"/>
      <c r="L45" s="60" t="s">
        <v>775</v>
      </c>
      <c r="M45" s="4"/>
      <c r="N45" s="4" t="s">
        <v>93</v>
      </c>
    </row>
    <row r="46" customFormat="false" ht="15" hidden="false" customHeight="false" outlineLevel="0" collapsed="false">
      <c r="A46" s="11" t="s">
        <v>865</v>
      </c>
      <c r="B46" s="14"/>
      <c r="C46" s="48" t="s">
        <v>44</v>
      </c>
      <c r="D46" s="48"/>
      <c r="E46" s="48"/>
      <c r="F46" s="48" t="n">
        <v>4.62</v>
      </c>
      <c r="G46" s="48" t="s">
        <v>15</v>
      </c>
      <c r="H46" s="48"/>
      <c r="I46" s="48" t="s">
        <v>866</v>
      </c>
      <c r="J46" s="48"/>
      <c r="K46" s="48"/>
      <c r="L46" s="60" t="s">
        <v>775</v>
      </c>
      <c r="M46" s="4"/>
      <c r="N46" s="4" t="s">
        <v>93</v>
      </c>
    </row>
    <row r="47" customFormat="false" ht="24" hidden="false" customHeight="false" outlineLevel="0" collapsed="false">
      <c r="A47" s="11" t="s">
        <v>867</v>
      </c>
      <c r="B47" s="16"/>
      <c r="C47" s="48" t="s">
        <v>44</v>
      </c>
      <c r="D47" s="48"/>
      <c r="E47" s="48"/>
      <c r="F47" s="16" t="n">
        <v>0.23</v>
      </c>
      <c r="G47" s="16" t="s">
        <v>96</v>
      </c>
      <c r="H47" s="8" t="s">
        <v>809</v>
      </c>
      <c r="I47" s="16"/>
      <c r="J47" s="25" t="s">
        <v>868</v>
      </c>
      <c r="K47" s="82"/>
      <c r="L47" s="60" t="s">
        <v>775</v>
      </c>
      <c r="M47" s="4"/>
      <c r="N47" s="4" t="s">
        <v>93</v>
      </c>
    </row>
    <row r="48" customFormat="false" ht="15" hidden="false" customHeight="false" outlineLevel="0" collapsed="false">
      <c r="A48" s="11" t="s">
        <v>869</v>
      </c>
      <c r="B48" s="16" t="s">
        <v>17</v>
      </c>
      <c r="C48" s="48" t="s">
        <v>782</v>
      </c>
      <c r="D48" s="48"/>
      <c r="E48" s="48"/>
      <c r="F48" s="48" t="n">
        <v>7</v>
      </c>
      <c r="G48" s="16" t="s">
        <v>96</v>
      </c>
      <c r="H48" s="8" t="s">
        <v>809</v>
      </c>
      <c r="I48" s="16"/>
      <c r="J48" s="25"/>
      <c r="K48" s="81"/>
      <c r="L48" s="60" t="s">
        <v>775</v>
      </c>
      <c r="M48" s="4"/>
      <c r="N48" s="4" t="s">
        <v>780</v>
      </c>
    </row>
    <row r="49" customFormat="false" ht="24" hidden="false" customHeight="false" outlineLevel="0" collapsed="false">
      <c r="A49" s="11" t="s">
        <v>870</v>
      </c>
      <c r="B49" s="16" t="s">
        <v>871</v>
      </c>
      <c r="C49" s="48" t="s">
        <v>782</v>
      </c>
      <c r="D49" s="48"/>
      <c r="E49" s="48"/>
      <c r="F49" s="48" t="n">
        <v>0.08</v>
      </c>
      <c r="G49" s="16" t="s">
        <v>96</v>
      </c>
      <c r="H49" s="8" t="s">
        <v>809</v>
      </c>
      <c r="I49" s="16"/>
      <c r="J49" s="25" t="s">
        <v>872</v>
      </c>
      <c r="K49" s="81"/>
      <c r="L49" s="60" t="s">
        <v>775</v>
      </c>
      <c r="M49" s="4"/>
      <c r="N49" s="4" t="s">
        <v>93</v>
      </c>
    </row>
    <row r="50" customFormat="false" ht="24" hidden="false" customHeight="false" outlineLevel="0" collapsed="false">
      <c r="A50" s="11" t="s">
        <v>873</v>
      </c>
      <c r="B50" s="16" t="s">
        <v>871</v>
      </c>
      <c r="C50" s="48" t="s">
        <v>782</v>
      </c>
      <c r="D50" s="48"/>
      <c r="E50" s="48"/>
      <c r="F50" s="48" t="n">
        <f aca="false">0.002*12</f>
        <v>0.024</v>
      </c>
      <c r="G50" s="16" t="s">
        <v>96</v>
      </c>
      <c r="H50" s="8" t="s">
        <v>809</v>
      </c>
      <c r="I50" s="16"/>
      <c r="J50" s="25" t="s">
        <v>874</v>
      </c>
      <c r="K50" s="53"/>
      <c r="L50" s="60" t="s">
        <v>775</v>
      </c>
      <c r="M50" s="4"/>
      <c r="N50" s="4" t="s">
        <v>93</v>
      </c>
    </row>
    <row r="51" customFormat="false" ht="36" hidden="false" customHeight="false" outlineLevel="0" collapsed="false">
      <c r="A51" s="11" t="s">
        <v>875</v>
      </c>
      <c r="B51" s="17" t="s">
        <v>854</v>
      </c>
      <c r="C51" s="48" t="s">
        <v>782</v>
      </c>
      <c r="D51" s="48"/>
      <c r="E51" s="48"/>
      <c r="F51" s="16" t="n">
        <v>0.0335</v>
      </c>
      <c r="G51" s="16" t="s">
        <v>96</v>
      </c>
      <c r="H51" s="8" t="s">
        <v>809</v>
      </c>
      <c r="I51" s="16"/>
      <c r="J51" s="25" t="s">
        <v>876</v>
      </c>
      <c r="K51" s="53"/>
      <c r="L51" s="60" t="s">
        <v>775</v>
      </c>
      <c r="M51" s="4"/>
      <c r="N51" s="4" t="s">
        <v>93</v>
      </c>
    </row>
    <row r="52" customFormat="false" ht="15" hidden="false" customHeight="false" outlineLevel="0" collapsed="false">
      <c r="A52" s="45" t="s">
        <v>877</v>
      </c>
      <c r="B52" s="16" t="s">
        <v>815</v>
      </c>
      <c r="C52" s="48"/>
      <c r="D52" s="48"/>
      <c r="E52" s="48"/>
      <c r="F52" s="48"/>
      <c r="G52" s="16"/>
      <c r="H52" s="16"/>
      <c r="I52" s="16"/>
      <c r="J52" s="25"/>
      <c r="K52" s="81"/>
      <c r="L52" s="60" t="s">
        <v>775</v>
      </c>
      <c r="M52" s="4"/>
      <c r="N52" s="4" t="s">
        <v>93</v>
      </c>
    </row>
    <row r="53" customFormat="false" ht="45.75" hidden="false" customHeight="true" outlineLevel="0" collapsed="false">
      <c r="A53" s="11" t="s">
        <v>878</v>
      </c>
      <c r="B53" s="16" t="s">
        <v>871</v>
      </c>
      <c r="C53" s="48" t="s">
        <v>782</v>
      </c>
      <c r="D53" s="48"/>
      <c r="E53" s="48"/>
      <c r="F53" s="48" t="n">
        <f aca="false">0.007*12</f>
        <v>0.084</v>
      </c>
      <c r="G53" s="16" t="s">
        <v>96</v>
      </c>
      <c r="H53" s="8" t="s">
        <v>809</v>
      </c>
      <c r="I53" s="16"/>
      <c r="J53" s="25" t="s">
        <v>879</v>
      </c>
      <c r="K53" s="81"/>
      <c r="L53" s="60" t="s">
        <v>775</v>
      </c>
      <c r="M53" s="4"/>
      <c r="N53" s="4" t="s">
        <v>93</v>
      </c>
    </row>
    <row r="54" customFormat="false" ht="15" hidden="false" customHeight="false" outlineLevel="0" collapsed="false">
      <c r="A54" s="45" t="s">
        <v>880</v>
      </c>
      <c r="B54" s="16" t="s">
        <v>793</v>
      </c>
      <c r="C54" s="48"/>
      <c r="D54" s="48"/>
      <c r="E54" s="48"/>
      <c r="F54" s="48"/>
      <c r="G54" s="16"/>
      <c r="H54" s="16"/>
      <c r="I54" s="16"/>
      <c r="J54" s="25"/>
      <c r="K54" s="81"/>
      <c r="L54" s="60" t="s">
        <v>775</v>
      </c>
      <c r="M54" s="4"/>
      <c r="N54" s="4" t="s">
        <v>93</v>
      </c>
    </row>
    <row r="55" customFormat="false" ht="15" hidden="false" customHeight="false" outlineLevel="0" collapsed="false">
      <c r="A55" s="11" t="s">
        <v>881</v>
      </c>
      <c r="B55" s="17" t="s">
        <v>772</v>
      </c>
      <c r="C55" s="19" t="s">
        <v>366</v>
      </c>
      <c r="D55" s="19"/>
      <c r="E55" s="19"/>
      <c r="F55" s="48" t="n">
        <v>-1</v>
      </c>
      <c r="G55" s="16" t="s">
        <v>96</v>
      </c>
      <c r="H55" s="16" t="s">
        <v>831</v>
      </c>
      <c r="I55" s="16"/>
      <c r="J55" s="25"/>
      <c r="K55" s="81"/>
      <c r="L55" s="60" t="s">
        <v>775</v>
      </c>
      <c r="M55" s="4"/>
      <c r="N55" s="4" t="s">
        <v>93</v>
      </c>
    </row>
    <row r="56" customFormat="false" ht="15" hidden="false" customHeight="false" outlineLevel="0" collapsed="false">
      <c r="A56" s="11" t="s">
        <v>881</v>
      </c>
      <c r="B56" s="17" t="s">
        <v>772</v>
      </c>
      <c r="C56" s="19" t="s">
        <v>369</v>
      </c>
      <c r="D56" s="19"/>
      <c r="E56" s="19"/>
      <c r="F56" s="48" t="n">
        <v>1</v>
      </c>
      <c r="G56" s="16" t="s">
        <v>96</v>
      </c>
      <c r="H56" s="16" t="s">
        <v>831</v>
      </c>
      <c r="I56" s="16"/>
      <c r="J56" s="25"/>
      <c r="K56" s="81"/>
      <c r="L56" s="60" t="s">
        <v>775</v>
      </c>
      <c r="M56" s="4"/>
      <c r="N56" s="4" t="s">
        <v>93</v>
      </c>
    </row>
    <row r="57" customFormat="false" ht="15" hidden="false" customHeight="false" outlineLevel="0" collapsed="false">
      <c r="A57" s="11" t="s">
        <v>882</v>
      </c>
      <c r="B57" s="16" t="s">
        <v>772</v>
      </c>
      <c r="C57" s="19" t="s">
        <v>366</v>
      </c>
      <c r="D57" s="19"/>
      <c r="E57" s="19"/>
      <c r="F57" s="48" t="n">
        <v>5.2</v>
      </c>
      <c r="G57" s="16" t="s">
        <v>15</v>
      </c>
      <c r="H57" s="16" t="s">
        <v>883</v>
      </c>
      <c r="I57" s="16"/>
      <c r="J57" s="25"/>
      <c r="K57" s="81"/>
      <c r="L57" s="60" t="s">
        <v>775</v>
      </c>
      <c r="M57" s="4"/>
      <c r="N57" s="4" t="s">
        <v>93</v>
      </c>
    </row>
    <row r="58" customFormat="false" ht="15" hidden="false" customHeight="false" outlineLevel="0" collapsed="false">
      <c r="A58" s="11" t="s">
        <v>882</v>
      </c>
      <c r="B58" s="16" t="s">
        <v>772</v>
      </c>
      <c r="C58" s="19" t="s">
        <v>369</v>
      </c>
      <c r="D58" s="19"/>
      <c r="E58" s="19"/>
      <c r="F58" s="48" t="n">
        <v>7.2</v>
      </c>
      <c r="G58" s="16" t="s">
        <v>15</v>
      </c>
      <c r="H58" s="16" t="s">
        <v>883</v>
      </c>
      <c r="I58" s="16"/>
      <c r="J58" s="25"/>
      <c r="K58" s="81"/>
      <c r="L58" s="60" t="s">
        <v>775</v>
      </c>
      <c r="M58" s="4"/>
      <c r="N58" s="4" t="s">
        <v>93</v>
      </c>
    </row>
    <row r="59" customFormat="false" ht="24" hidden="false" customHeight="false" outlineLevel="0" collapsed="false">
      <c r="A59" s="11" t="s">
        <v>884</v>
      </c>
      <c r="B59" s="17" t="s">
        <v>772</v>
      </c>
      <c r="C59" s="19" t="s">
        <v>366</v>
      </c>
      <c r="D59" s="19"/>
      <c r="E59" s="19"/>
      <c r="F59" s="87" t="n">
        <v>-8</v>
      </c>
      <c r="G59" s="16" t="s">
        <v>96</v>
      </c>
      <c r="H59" s="8" t="s">
        <v>825</v>
      </c>
      <c r="I59" s="16"/>
      <c r="J59" s="25" t="s">
        <v>885</v>
      </c>
      <c r="K59" s="81"/>
      <c r="L59" s="60" t="s">
        <v>775</v>
      </c>
      <c r="M59" s="4"/>
      <c r="N59" s="4" t="s">
        <v>93</v>
      </c>
    </row>
    <row r="60" customFormat="false" ht="24" hidden="false" customHeight="false" outlineLevel="0" collapsed="false">
      <c r="A60" s="11" t="s">
        <v>884</v>
      </c>
      <c r="B60" s="17" t="s">
        <v>772</v>
      </c>
      <c r="C60" s="19" t="s">
        <v>369</v>
      </c>
      <c r="D60" s="19"/>
      <c r="E60" s="19"/>
      <c r="F60" s="87" t="n">
        <v>-5</v>
      </c>
      <c r="G60" s="16" t="s">
        <v>96</v>
      </c>
      <c r="H60" s="8" t="s">
        <v>825</v>
      </c>
      <c r="I60" s="16"/>
      <c r="J60" s="25" t="s">
        <v>885</v>
      </c>
      <c r="K60" s="81"/>
      <c r="L60" s="60" t="s">
        <v>775</v>
      </c>
      <c r="M60" s="4"/>
      <c r="N60" s="4" t="s">
        <v>93</v>
      </c>
    </row>
    <row r="61" customFormat="false" ht="15" hidden="false" customHeight="false" outlineLevel="0" collapsed="false">
      <c r="A61" s="11" t="s">
        <v>886</v>
      </c>
      <c r="B61" s="17" t="s">
        <v>772</v>
      </c>
      <c r="C61" s="19" t="s">
        <v>366</v>
      </c>
      <c r="D61" s="19"/>
      <c r="E61" s="19"/>
      <c r="F61" s="88" t="n">
        <v>-5.4</v>
      </c>
      <c r="G61" s="16" t="s">
        <v>15</v>
      </c>
      <c r="H61" s="8"/>
      <c r="I61" s="16"/>
      <c r="J61" s="25" t="s">
        <v>827</v>
      </c>
      <c r="K61" s="81"/>
      <c r="L61" s="60" t="s">
        <v>775</v>
      </c>
      <c r="M61" s="4"/>
      <c r="N61" s="4" t="s">
        <v>93</v>
      </c>
    </row>
    <row r="62" customFormat="false" ht="15" hidden="false" customHeight="false" outlineLevel="0" collapsed="false">
      <c r="A62" s="11" t="s">
        <v>886</v>
      </c>
      <c r="B62" s="17" t="s">
        <v>772</v>
      </c>
      <c r="C62" s="19" t="s">
        <v>369</v>
      </c>
      <c r="D62" s="19"/>
      <c r="E62" s="19"/>
      <c r="F62" s="88" t="n">
        <v>0</v>
      </c>
      <c r="G62" s="16" t="s">
        <v>15</v>
      </c>
      <c r="H62" s="8"/>
      <c r="I62" s="16"/>
      <c r="J62" s="25"/>
      <c r="K62" s="81"/>
      <c r="L62" s="60" t="s">
        <v>775</v>
      </c>
      <c r="M62" s="4"/>
      <c r="N62" s="4" t="s">
        <v>93</v>
      </c>
    </row>
    <row r="63" customFormat="false" ht="15" hidden="false" customHeight="false" outlineLevel="0" collapsed="false">
      <c r="A63" s="11" t="s">
        <v>887</v>
      </c>
      <c r="B63" s="16" t="s">
        <v>772</v>
      </c>
      <c r="C63" s="19" t="s">
        <v>366</v>
      </c>
      <c r="D63" s="19"/>
      <c r="E63" s="19"/>
      <c r="F63" s="48" t="n">
        <v>5</v>
      </c>
      <c r="G63" s="16" t="s">
        <v>15</v>
      </c>
      <c r="H63" s="16" t="s">
        <v>883</v>
      </c>
      <c r="I63" s="16"/>
      <c r="J63" s="25"/>
      <c r="K63" s="81"/>
      <c r="L63" s="60" t="s">
        <v>775</v>
      </c>
      <c r="M63" s="4"/>
      <c r="N63" s="4" t="s">
        <v>93</v>
      </c>
    </row>
    <row r="64" customFormat="false" ht="15" hidden="false" customHeight="false" outlineLevel="0" collapsed="false">
      <c r="A64" s="11" t="s">
        <v>887</v>
      </c>
      <c r="B64" s="16" t="s">
        <v>772</v>
      </c>
      <c r="C64" s="19" t="s">
        <v>369</v>
      </c>
      <c r="D64" s="19"/>
      <c r="E64" s="19"/>
      <c r="F64" s="48" t="n">
        <v>7.5</v>
      </c>
      <c r="G64" s="16" t="s">
        <v>15</v>
      </c>
      <c r="H64" s="16" t="s">
        <v>883</v>
      </c>
      <c r="I64" s="16"/>
      <c r="J64" s="25"/>
      <c r="K64" s="81"/>
      <c r="L64" s="60" t="s">
        <v>775</v>
      </c>
      <c r="M64" s="4"/>
      <c r="N64" s="4" t="s">
        <v>93</v>
      </c>
    </row>
    <row r="65" customFormat="false" ht="24" hidden="false" customHeight="false" outlineLevel="0" collapsed="false">
      <c r="A65" s="11" t="s">
        <v>888</v>
      </c>
      <c r="B65" s="17" t="s">
        <v>772</v>
      </c>
      <c r="C65" s="19" t="s">
        <v>366</v>
      </c>
      <c r="D65" s="19"/>
      <c r="E65" s="19"/>
      <c r="F65" s="48" t="n">
        <v>0</v>
      </c>
      <c r="G65" s="16" t="s">
        <v>773</v>
      </c>
      <c r="H65" s="16" t="s">
        <v>889</v>
      </c>
      <c r="I65" s="16" t="s">
        <v>890</v>
      </c>
      <c r="J65" s="25"/>
      <c r="K65" s="81"/>
      <c r="L65" s="60" t="s">
        <v>775</v>
      </c>
      <c r="M65" s="4"/>
      <c r="N65" s="4" t="s">
        <v>93</v>
      </c>
    </row>
    <row r="66" customFormat="false" ht="24" hidden="false" customHeight="false" outlineLevel="0" collapsed="false">
      <c r="A66" s="11" t="s">
        <v>888</v>
      </c>
      <c r="B66" s="17" t="s">
        <v>772</v>
      </c>
      <c r="C66" s="19" t="s">
        <v>369</v>
      </c>
      <c r="D66" s="19"/>
      <c r="E66" s="19"/>
      <c r="F66" s="48" t="n">
        <v>0</v>
      </c>
      <c r="G66" s="16" t="s">
        <v>773</v>
      </c>
      <c r="H66" s="16" t="s">
        <v>889</v>
      </c>
      <c r="I66" s="16" t="s">
        <v>890</v>
      </c>
      <c r="J66" s="25"/>
      <c r="K66" s="81"/>
      <c r="L66" s="60" t="s">
        <v>775</v>
      </c>
      <c r="M66" s="4"/>
      <c r="N66" s="4" t="s">
        <v>93</v>
      </c>
    </row>
    <row r="67" customFormat="false" ht="15" hidden="false" customHeight="false" outlineLevel="0" collapsed="false">
      <c r="A67" s="11" t="s">
        <v>891</v>
      </c>
      <c r="B67" s="17" t="s">
        <v>772</v>
      </c>
      <c r="C67" s="19" t="s">
        <v>366</v>
      </c>
      <c r="D67" s="19"/>
      <c r="E67" s="19"/>
      <c r="F67" s="48" t="n">
        <v>-1</v>
      </c>
      <c r="G67" s="16" t="s">
        <v>96</v>
      </c>
      <c r="H67" s="16" t="s">
        <v>831</v>
      </c>
      <c r="I67" s="16"/>
      <c r="J67" s="25"/>
      <c r="K67" s="81"/>
      <c r="L67" s="60" t="s">
        <v>775</v>
      </c>
      <c r="M67" s="4"/>
      <c r="N67" s="4" t="s">
        <v>93</v>
      </c>
    </row>
    <row r="68" customFormat="false" ht="15" hidden="false" customHeight="false" outlineLevel="0" collapsed="false">
      <c r="A68" s="11" t="s">
        <v>891</v>
      </c>
      <c r="B68" s="17" t="s">
        <v>772</v>
      </c>
      <c r="C68" s="19" t="s">
        <v>369</v>
      </c>
      <c r="D68" s="19"/>
      <c r="E68" s="19"/>
      <c r="F68" s="48" t="n">
        <v>1</v>
      </c>
      <c r="G68" s="16" t="s">
        <v>96</v>
      </c>
      <c r="H68" s="16" t="s">
        <v>831</v>
      </c>
      <c r="I68" s="16"/>
      <c r="J68" s="25"/>
      <c r="K68" s="81"/>
      <c r="L68" s="60" t="s">
        <v>775</v>
      </c>
      <c r="M68" s="4"/>
      <c r="N68" s="4" t="s">
        <v>93</v>
      </c>
    </row>
    <row r="69" customFormat="false" ht="15" hidden="false" customHeight="false" outlineLevel="0" collapsed="false">
      <c r="A69" s="27" t="s">
        <v>340</v>
      </c>
      <c r="B69" s="2" t="s">
        <v>1</v>
      </c>
      <c r="C69" s="10" t="s">
        <v>31</v>
      </c>
      <c r="D69" s="10" t="s">
        <v>32</v>
      </c>
      <c r="E69" s="10" t="s">
        <v>33</v>
      </c>
      <c r="F69" s="10" t="s">
        <v>116</v>
      </c>
      <c r="G69" s="91" t="s">
        <v>117</v>
      </c>
      <c r="H69" s="91" t="s">
        <v>118</v>
      </c>
      <c r="I69" s="2" t="s">
        <v>36</v>
      </c>
      <c r="J69" s="2" t="s">
        <v>37</v>
      </c>
      <c r="K69" s="91" t="s">
        <v>38</v>
      </c>
      <c r="L69" s="10" t="s">
        <v>39</v>
      </c>
      <c r="M69" s="10" t="s">
        <v>40</v>
      </c>
      <c r="N69" s="10" t="s">
        <v>41</v>
      </c>
    </row>
    <row r="70" customFormat="false" ht="25.5" hidden="false" customHeight="true" outlineLevel="0" collapsed="false">
      <c r="A70" s="11" t="s">
        <v>892</v>
      </c>
      <c r="B70" s="16" t="s">
        <v>772</v>
      </c>
      <c r="C70" s="19" t="s">
        <v>369</v>
      </c>
      <c r="D70" s="19"/>
      <c r="E70" s="19"/>
      <c r="F70" s="92" t="s">
        <v>893</v>
      </c>
      <c r="G70" s="16" t="s">
        <v>15</v>
      </c>
      <c r="H70" s="16" t="s">
        <v>894</v>
      </c>
      <c r="I70" s="16" t="s">
        <v>895</v>
      </c>
      <c r="J70" s="25" t="s">
        <v>896</v>
      </c>
      <c r="K70" s="81"/>
      <c r="L70" s="60" t="s">
        <v>897</v>
      </c>
      <c r="M70" s="4"/>
      <c r="N70" s="4" t="s">
        <v>898</v>
      </c>
    </row>
    <row r="71" customFormat="false" ht="24" hidden="false" customHeight="false" outlineLevel="0" collapsed="false">
      <c r="A71" s="11" t="s">
        <v>892</v>
      </c>
      <c r="B71" s="16" t="s">
        <v>772</v>
      </c>
      <c r="C71" s="19" t="s">
        <v>366</v>
      </c>
      <c r="D71" s="19"/>
      <c r="E71" s="19"/>
      <c r="F71" s="92" t="s">
        <v>899</v>
      </c>
      <c r="G71" s="16" t="s">
        <v>15</v>
      </c>
      <c r="H71" s="16" t="s">
        <v>894</v>
      </c>
      <c r="I71" s="16" t="s">
        <v>895</v>
      </c>
      <c r="J71" s="25" t="s">
        <v>896</v>
      </c>
      <c r="K71" s="81"/>
      <c r="L71" s="60" t="s">
        <v>897</v>
      </c>
      <c r="M71" s="4"/>
      <c r="N71" s="4" t="s">
        <v>898</v>
      </c>
    </row>
    <row r="72" customFormat="false" ht="24" hidden="false" customHeight="false" outlineLevel="0" collapsed="false">
      <c r="A72" s="11" t="s">
        <v>900</v>
      </c>
      <c r="B72" s="16" t="s">
        <v>191</v>
      </c>
      <c r="C72" s="19" t="s">
        <v>369</v>
      </c>
      <c r="D72" s="19"/>
      <c r="E72" s="19"/>
      <c r="F72" s="16" t="s">
        <v>901</v>
      </c>
      <c r="G72" s="89" t="s">
        <v>902</v>
      </c>
      <c r="H72" s="16" t="s">
        <v>903</v>
      </c>
      <c r="I72" s="16"/>
      <c r="J72" s="25" t="s">
        <v>904</v>
      </c>
      <c r="K72" s="81"/>
      <c r="L72" s="60" t="s">
        <v>897</v>
      </c>
      <c r="M72" s="4"/>
      <c r="N72" s="4" t="s">
        <v>114</v>
      </c>
    </row>
    <row r="73" customFormat="false" ht="15" hidden="false" customHeight="false" outlineLevel="0" collapsed="false">
      <c r="A73" s="11" t="s">
        <v>900</v>
      </c>
      <c r="B73" s="16" t="s">
        <v>191</v>
      </c>
      <c r="C73" s="19" t="s">
        <v>366</v>
      </c>
      <c r="D73" s="19"/>
      <c r="E73" s="19"/>
      <c r="F73" s="93" t="n">
        <v>120</v>
      </c>
      <c r="G73" s="48" t="s">
        <v>96</v>
      </c>
      <c r="H73" s="16" t="s">
        <v>905</v>
      </c>
      <c r="I73" s="16"/>
      <c r="J73" s="4"/>
      <c r="K73" s="53"/>
      <c r="L73" s="60" t="s">
        <v>897</v>
      </c>
      <c r="M73" s="4"/>
      <c r="N73" s="4" t="s">
        <v>114</v>
      </c>
    </row>
    <row r="74" customFormat="false" ht="15" hidden="false" customHeight="false" outlineLevel="0" collapsed="false">
      <c r="A74" s="11" t="s">
        <v>906</v>
      </c>
      <c r="B74" s="16" t="s">
        <v>191</v>
      </c>
      <c r="C74" s="19" t="s">
        <v>369</v>
      </c>
      <c r="D74" s="19"/>
      <c r="E74" s="19"/>
      <c r="F74" s="48" t="s">
        <v>907</v>
      </c>
      <c r="G74" s="48" t="s">
        <v>96</v>
      </c>
      <c r="H74" s="16" t="s">
        <v>908</v>
      </c>
      <c r="I74" s="16"/>
      <c r="J74" s="16"/>
      <c r="K74" s="81"/>
      <c r="L74" s="60" t="s">
        <v>897</v>
      </c>
      <c r="M74" s="4"/>
      <c r="N74" s="4" t="s">
        <v>93</v>
      </c>
    </row>
    <row r="75" customFormat="false" ht="30" hidden="false" customHeight="true" outlineLevel="0" collapsed="false">
      <c r="A75" s="11" t="s">
        <v>906</v>
      </c>
      <c r="B75" s="16" t="s">
        <v>191</v>
      </c>
      <c r="C75" s="19" t="s">
        <v>366</v>
      </c>
      <c r="D75" s="19"/>
      <c r="E75" s="19"/>
      <c r="F75" s="16" t="s">
        <v>909</v>
      </c>
      <c r="G75" s="89" t="s">
        <v>902</v>
      </c>
      <c r="H75" s="16" t="s">
        <v>903</v>
      </c>
      <c r="I75" s="16"/>
      <c r="J75" s="25" t="s">
        <v>910</v>
      </c>
      <c r="K75" s="81"/>
      <c r="L75" s="60" t="s">
        <v>897</v>
      </c>
      <c r="M75" s="4"/>
      <c r="N75" s="4" t="s">
        <v>93</v>
      </c>
    </row>
    <row r="76" customFormat="false" ht="24" hidden="false" customHeight="false" outlineLevel="0" collapsed="false">
      <c r="A76" s="11" t="s">
        <v>911</v>
      </c>
      <c r="B76" s="16" t="s">
        <v>772</v>
      </c>
      <c r="C76" s="19" t="s">
        <v>369</v>
      </c>
      <c r="D76" s="19"/>
      <c r="E76" s="19"/>
      <c r="F76" s="48" t="n">
        <v>1028.2</v>
      </c>
      <c r="G76" s="16" t="s">
        <v>15</v>
      </c>
      <c r="H76" s="16" t="s">
        <v>883</v>
      </c>
      <c r="I76" s="16" t="s">
        <v>895</v>
      </c>
      <c r="J76" s="25" t="s">
        <v>912</v>
      </c>
      <c r="K76" s="53"/>
      <c r="L76" s="60" t="s">
        <v>897</v>
      </c>
      <c r="M76" s="4"/>
      <c r="N76" s="4" t="s">
        <v>898</v>
      </c>
    </row>
    <row r="77" customFormat="false" ht="24" hidden="false" customHeight="false" outlineLevel="0" collapsed="false">
      <c r="A77" s="11" t="s">
        <v>911</v>
      </c>
      <c r="B77" s="16" t="s">
        <v>772</v>
      </c>
      <c r="C77" s="19" t="s">
        <v>366</v>
      </c>
      <c r="D77" s="19"/>
      <c r="E77" s="19"/>
      <c r="F77" s="48" t="n">
        <v>1025.7</v>
      </c>
      <c r="G77" s="16" t="s">
        <v>15</v>
      </c>
      <c r="H77" s="16" t="s">
        <v>883</v>
      </c>
      <c r="I77" s="16" t="s">
        <v>895</v>
      </c>
      <c r="J77" s="25" t="s">
        <v>912</v>
      </c>
      <c r="K77" s="53"/>
      <c r="L77" s="60" t="s">
        <v>897</v>
      </c>
      <c r="M77" s="4"/>
      <c r="N77" s="4" t="s">
        <v>898</v>
      </c>
    </row>
    <row r="78" customFormat="false" ht="24" hidden="false" customHeight="false" outlineLevel="0" collapsed="false">
      <c r="A78" s="11" t="s">
        <v>913</v>
      </c>
      <c r="B78" s="16" t="s">
        <v>772</v>
      </c>
      <c r="C78" s="19" t="s">
        <v>369</v>
      </c>
      <c r="D78" s="19"/>
      <c r="E78" s="19"/>
      <c r="F78" s="48" t="n">
        <v>1028.2</v>
      </c>
      <c r="G78" s="16" t="s">
        <v>15</v>
      </c>
      <c r="H78" s="16" t="s">
        <v>883</v>
      </c>
      <c r="I78" s="16" t="s">
        <v>895</v>
      </c>
      <c r="J78" s="25" t="s">
        <v>912</v>
      </c>
      <c r="K78" s="53"/>
      <c r="L78" s="60" t="s">
        <v>897</v>
      </c>
      <c r="M78" s="4"/>
      <c r="N78" s="4" t="s">
        <v>898</v>
      </c>
    </row>
    <row r="79" customFormat="false" ht="24" hidden="false" customHeight="false" outlineLevel="0" collapsed="false">
      <c r="A79" s="11" t="s">
        <v>913</v>
      </c>
      <c r="B79" s="16" t="s">
        <v>772</v>
      </c>
      <c r="C79" s="19" t="s">
        <v>366</v>
      </c>
      <c r="D79" s="19"/>
      <c r="E79" s="19"/>
      <c r="F79" s="48" t="n">
        <v>1025.7</v>
      </c>
      <c r="G79" s="16" t="s">
        <v>15</v>
      </c>
      <c r="H79" s="16" t="s">
        <v>883</v>
      </c>
      <c r="I79" s="16" t="s">
        <v>895</v>
      </c>
      <c r="J79" s="25" t="s">
        <v>912</v>
      </c>
      <c r="K79" s="53"/>
      <c r="L79" s="60" t="s">
        <v>897</v>
      </c>
      <c r="M79" s="4"/>
      <c r="N79" s="4" t="s">
        <v>898</v>
      </c>
    </row>
    <row r="80" customFormat="false" ht="15" hidden="false" customHeight="false" outlineLevel="0" collapsed="false">
      <c r="A80" s="11" t="s">
        <v>914</v>
      </c>
      <c r="B80" s="17" t="s">
        <v>854</v>
      </c>
      <c r="C80" s="48" t="s">
        <v>915</v>
      </c>
      <c r="D80" s="48"/>
      <c r="E80" s="48"/>
      <c r="F80" s="94" t="n">
        <v>0.03</v>
      </c>
      <c r="G80" s="48" t="s">
        <v>96</v>
      </c>
      <c r="H80" s="8" t="s">
        <v>809</v>
      </c>
      <c r="I80" s="16"/>
      <c r="J80" s="4" t="s">
        <v>916</v>
      </c>
      <c r="K80" s="95"/>
      <c r="L80" s="60" t="s">
        <v>897</v>
      </c>
      <c r="M80" s="4"/>
      <c r="N80" s="4" t="s">
        <v>780</v>
      </c>
    </row>
    <row r="81" customFormat="false" ht="15" hidden="false" customHeight="false" outlineLevel="0" collapsed="false">
      <c r="A81" s="11" t="s">
        <v>914</v>
      </c>
      <c r="B81" s="17" t="s">
        <v>854</v>
      </c>
      <c r="C81" s="48" t="s">
        <v>917</v>
      </c>
      <c r="D81" s="48"/>
      <c r="E81" s="48"/>
      <c r="F81" s="4" t="n">
        <v>0.037</v>
      </c>
      <c r="G81" s="48" t="s">
        <v>96</v>
      </c>
      <c r="H81" s="8" t="s">
        <v>809</v>
      </c>
      <c r="I81" s="16"/>
      <c r="J81" s="4" t="s">
        <v>918</v>
      </c>
      <c r="K81" s="95"/>
      <c r="L81" s="60" t="s">
        <v>897</v>
      </c>
      <c r="M81" s="4"/>
      <c r="N81" s="4" t="s">
        <v>780</v>
      </c>
    </row>
    <row r="82" customFormat="false" ht="24" hidden="false" customHeight="false" outlineLevel="0" collapsed="false">
      <c r="A82" s="11" t="s">
        <v>919</v>
      </c>
      <c r="B82" s="16" t="s">
        <v>772</v>
      </c>
      <c r="C82" s="19" t="s">
        <v>369</v>
      </c>
      <c r="D82" s="19"/>
      <c r="E82" s="19"/>
      <c r="F82" s="16" t="s">
        <v>920</v>
      </c>
      <c r="G82" s="16" t="s">
        <v>921</v>
      </c>
      <c r="H82" s="16" t="s">
        <v>922</v>
      </c>
      <c r="I82" s="16" t="s">
        <v>895</v>
      </c>
      <c r="J82" s="25" t="s">
        <v>923</v>
      </c>
      <c r="K82" s="81"/>
      <c r="L82" s="60" t="s">
        <v>897</v>
      </c>
      <c r="M82" s="4"/>
      <c r="N82" s="4" t="s">
        <v>898</v>
      </c>
    </row>
    <row r="83" customFormat="false" ht="24" hidden="false" customHeight="false" outlineLevel="0" collapsed="false">
      <c r="A83" s="11" t="s">
        <v>919</v>
      </c>
      <c r="B83" s="16" t="s">
        <v>772</v>
      </c>
      <c r="C83" s="19" t="s">
        <v>366</v>
      </c>
      <c r="D83" s="19"/>
      <c r="E83" s="19"/>
      <c r="F83" s="16" t="s">
        <v>924</v>
      </c>
      <c r="G83" s="16" t="s">
        <v>921</v>
      </c>
      <c r="H83" s="16" t="s">
        <v>922</v>
      </c>
      <c r="I83" s="16" t="s">
        <v>895</v>
      </c>
      <c r="J83" s="25" t="s">
        <v>923</v>
      </c>
      <c r="K83" s="81"/>
      <c r="L83" s="60" t="s">
        <v>897</v>
      </c>
      <c r="M83" s="4"/>
      <c r="N83" s="4" t="s">
        <v>898</v>
      </c>
    </row>
    <row r="84" customFormat="false" ht="24" hidden="false" customHeight="false" outlineLevel="0" collapsed="false">
      <c r="A84" s="11" t="s">
        <v>925</v>
      </c>
      <c r="B84" s="16" t="s">
        <v>772</v>
      </c>
      <c r="C84" s="19" t="s">
        <v>369</v>
      </c>
      <c r="D84" s="19"/>
      <c r="E84" s="19"/>
      <c r="F84" s="16" t="s">
        <v>920</v>
      </c>
      <c r="G84" s="16" t="s">
        <v>921</v>
      </c>
      <c r="H84" s="16" t="s">
        <v>922</v>
      </c>
      <c r="I84" s="16" t="s">
        <v>895</v>
      </c>
      <c r="J84" s="25" t="s">
        <v>926</v>
      </c>
      <c r="K84" s="81"/>
      <c r="L84" s="60" t="s">
        <v>897</v>
      </c>
      <c r="M84" s="4"/>
      <c r="N84" s="4" t="s">
        <v>898</v>
      </c>
    </row>
    <row r="85" customFormat="false" ht="24" hidden="false" customHeight="false" outlineLevel="0" collapsed="false">
      <c r="A85" s="11" t="s">
        <v>925</v>
      </c>
      <c r="B85" s="16" t="s">
        <v>772</v>
      </c>
      <c r="C85" s="19" t="s">
        <v>366</v>
      </c>
      <c r="D85" s="19"/>
      <c r="E85" s="19"/>
      <c r="F85" s="16" t="s">
        <v>924</v>
      </c>
      <c r="G85" s="16" t="s">
        <v>921</v>
      </c>
      <c r="H85" s="16" t="s">
        <v>922</v>
      </c>
      <c r="I85" s="16" t="s">
        <v>895</v>
      </c>
      <c r="J85" s="25" t="s">
        <v>926</v>
      </c>
      <c r="K85" s="81"/>
      <c r="L85" s="60" t="s">
        <v>897</v>
      </c>
      <c r="M85" s="4"/>
      <c r="N85" s="4" t="s">
        <v>898</v>
      </c>
    </row>
    <row r="86" customFormat="false" ht="24" hidden="false" customHeight="false" outlineLevel="0" collapsed="false">
      <c r="A86" s="11" t="s">
        <v>927</v>
      </c>
      <c r="B86" s="17" t="s">
        <v>854</v>
      </c>
      <c r="C86" s="48" t="s">
        <v>915</v>
      </c>
      <c r="D86" s="48"/>
      <c r="E86" s="48"/>
      <c r="F86" s="4" t="n">
        <v>0.0126</v>
      </c>
      <c r="G86" s="48" t="s">
        <v>96</v>
      </c>
      <c r="H86" s="8" t="s">
        <v>809</v>
      </c>
      <c r="I86" s="16"/>
      <c r="J86" s="16" t="s">
        <v>928</v>
      </c>
      <c r="K86" s="81"/>
      <c r="L86" s="60" t="s">
        <v>897</v>
      </c>
      <c r="M86" s="4"/>
      <c r="N86" s="4" t="s">
        <v>93</v>
      </c>
    </row>
    <row r="87" customFormat="false" ht="24" hidden="false" customHeight="false" outlineLevel="0" collapsed="false">
      <c r="A87" s="11" t="s">
        <v>927</v>
      </c>
      <c r="B87" s="17" t="s">
        <v>854</v>
      </c>
      <c r="C87" s="48" t="s">
        <v>917</v>
      </c>
      <c r="D87" s="48"/>
      <c r="E87" s="48"/>
      <c r="F87" s="4" t="n">
        <v>0.0158</v>
      </c>
      <c r="G87" s="48" t="s">
        <v>96</v>
      </c>
      <c r="H87" s="8" t="s">
        <v>809</v>
      </c>
      <c r="I87" s="16"/>
      <c r="J87" s="16" t="s">
        <v>929</v>
      </c>
      <c r="K87" s="81"/>
      <c r="L87" s="60" t="s">
        <v>897</v>
      </c>
      <c r="M87" s="4"/>
      <c r="N87" s="4" t="s">
        <v>93</v>
      </c>
    </row>
    <row r="88" customFormat="false" ht="24" hidden="false" customHeight="false" outlineLevel="0" collapsed="false">
      <c r="A88" s="11" t="s">
        <v>930</v>
      </c>
      <c r="B88" s="16" t="s">
        <v>772</v>
      </c>
      <c r="C88" s="19" t="s">
        <v>369</v>
      </c>
      <c r="D88" s="19"/>
      <c r="E88" s="19"/>
      <c r="F88" s="16" t="s">
        <v>920</v>
      </c>
      <c r="G88" s="16" t="s">
        <v>921</v>
      </c>
      <c r="H88" s="16" t="s">
        <v>922</v>
      </c>
      <c r="I88" s="16" t="s">
        <v>895</v>
      </c>
      <c r="J88" s="25"/>
      <c r="K88" s="81"/>
      <c r="L88" s="60" t="s">
        <v>897</v>
      </c>
      <c r="M88" s="4"/>
      <c r="N88" s="4" t="s">
        <v>898</v>
      </c>
    </row>
    <row r="89" customFormat="false" ht="24" hidden="false" customHeight="false" outlineLevel="0" collapsed="false">
      <c r="A89" s="11" t="s">
        <v>930</v>
      </c>
      <c r="B89" s="16" t="s">
        <v>772</v>
      </c>
      <c r="C89" s="19" t="s">
        <v>366</v>
      </c>
      <c r="D89" s="19"/>
      <c r="E89" s="19"/>
      <c r="F89" s="16" t="s">
        <v>924</v>
      </c>
      <c r="G89" s="16" t="s">
        <v>921</v>
      </c>
      <c r="H89" s="16" t="s">
        <v>922</v>
      </c>
      <c r="I89" s="16" t="s">
        <v>895</v>
      </c>
      <c r="J89" s="25"/>
      <c r="K89" s="81"/>
      <c r="L89" s="60" t="s">
        <v>897</v>
      </c>
      <c r="M89" s="4"/>
      <c r="N89" s="4" t="s">
        <v>898</v>
      </c>
    </row>
    <row r="90" customFormat="false" ht="36" hidden="false" customHeight="false" outlineLevel="0" collapsed="false">
      <c r="A90" s="11" t="s">
        <v>931</v>
      </c>
      <c r="B90" s="16" t="s">
        <v>191</v>
      </c>
      <c r="C90" s="48" t="s">
        <v>44</v>
      </c>
      <c r="D90" s="48"/>
      <c r="E90" s="48"/>
      <c r="F90" s="96" t="s">
        <v>932</v>
      </c>
      <c r="G90" s="89" t="s">
        <v>933</v>
      </c>
      <c r="H90" s="16" t="s">
        <v>934</v>
      </c>
      <c r="I90" s="16"/>
      <c r="J90" s="25"/>
      <c r="K90" s="81"/>
      <c r="L90" s="60" t="s">
        <v>897</v>
      </c>
      <c r="M90" s="4"/>
      <c r="N90" s="4" t="s">
        <v>114</v>
      </c>
    </row>
    <row r="91" s="79" customFormat="true" ht="39" hidden="false" customHeight="true" outlineLevel="0" collapsed="false">
      <c r="A91" s="11" t="s">
        <v>935</v>
      </c>
      <c r="B91" s="16" t="s">
        <v>191</v>
      </c>
      <c r="C91" s="48" t="s">
        <v>44</v>
      </c>
      <c r="D91" s="48"/>
      <c r="E91" s="48"/>
      <c r="F91" s="16" t="s">
        <v>936</v>
      </c>
      <c r="G91" s="89" t="s">
        <v>937</v>
      </c>
      <c r="H91" s="16" t="s">
        <v>938</v>
      </c>
      <c r="I91" s="16"/>
      <c r="K91" s="81"/>
      <c r="L91" s="60" t="s">
        <v>897</v>
      </c>
      <c r="M91" s="4"/>
      <c r="N91" s="4" t="s">
        <v>93</v>
      </c>
    </row>
    <row r="92" customFormat="false" ht="24" hidden="false" customHeight="false" outlineLevel="0" collapsed="false">
      <c r="A92" s="11" t="s">
        <v>939</v>
      </c>
      <c r="B92" s="17" t="s">
        <v>854</v>
      </c>
      <c r="C92" s="48" t="s">
        <v>915</v>
      </c>
      <c r="D92" s="48"/>
      <c r="E92" s="48"/>
      <c r="F92" s="4" t="n">
        <v>0.0154</v>
      </c>
      <c r="G92" s="48" t="s">
        <v>96</v>
      </c>
      <c r="H92" s="8" t="s">
        <v>809</v>
      </c>
      <c r="I92" s="16"/>
      <c r="J92" s="16" t="s">
        <v>928</v>
      </c>
      <c r="K92" s="81"/>
      <c r="L92" s="60" t="s">
        <v>897</v>
      </c>
      <c r="M92" s="4"/>
      <c r="N92" s="4" t="s">
        <v>93</v>
      </c>
    </row>
    <row r="93" customFormat="false" ht="24" hidden="false" customHeight="false" outlineLevel="0" collapsed="false">
      <c r="A93" s="11" t="s">
        <v>939</v>
      </c>
      <c r="B93" s="17" t="s">
        <v>854</v>
      </c>
      <c r="C93" s="48" t="s">
        <v>917</v>
      </c>
      <c r="D93" s="48"/>
      <c r="E93" s="48"/>
      <c r="F93" s="4" t="n">
        <v>0.0193</v>
      </c>
      <c r="G93" s="48" t="s">
        <v>96</v>
      </c>
      <c r="H93" s="8" t="s">
        <v>809</v>
      </c>
      <c r="I93" s="16"/>
      <c r="J93" s="16" t="s">
        <v>929</v>
      </c>
      <c r="K93" s="81"/>
      <c r="L93" s="60" t="s">
        <v>897</v>
      </c>
      <c r="M93" s="4"/>
      <c r="N93" s="4" t="s">
        <v>93</v>
      </c>
    </row>
    <row r="94" customFormat="false" ht="24" hidden="false" customHeight="false" outlineLevel="0" collapsed="false">
      <c r="A94" s="11" t="s">
        <v>940</v>
      </c>
      <c r="B94" s="16" t="s">
        <v>772</v>
      </c>
      <c r="C94" s="19" t="s">
        <v>369</v>
      </c>
      <c r="D94" s="19"/>
      <c r="E94" s="19"/>
      <c r="F94" s="16" t="s">
        <v>920</v>
      </c>
      <c r="G94" s="16" t="s">
        <v>921</v>
      </c>
      <c r="H94" s="16" t="s">
        <v>922</v>
      </c>
      <c r="I94" s="16" t="s">
        <v>895</v>
      </c>
      <c r="J94" s="25"/>
      <c r="K94" s="81"/>
      <c r="L94" s="60" t="s">
        <v>897</v>
      </c>
      <c r="M94" s="4"/>
      <c r="N94" s="4" t="s">
        <v>898</v>
      </c>
    </row>
    <row r="95" customFormat="false" ht="24" hidden="false" customHeight="false" outlineLevel="0" collapsed="false">
      <c r="A95" s="11" t="s">
        <v>940</v>
      </c>
      <c r="B95" s="16" t="s">
        <v>772</v>
      </c>
      <c r="C95" s="19" t="s">
        <v>366</v>
      </c>
      <c r="D95" s="19"/>
      <c r="E95" s="19"/>
      <c r="F95" s="16" t="s">
        <v>924</v>
      </c>
      <c r="G95" s="16" t="s">
        <v>921</v>
      </c>
      <c r="H95" s="16" t="s">
        <v>922</v>
      </c>
      <c r="I95" s="16" t="s">
        <v>895</v>
      </c>
      <c r="J95" s="25"/>
      <c r="K95" s="81"/>
      <c r="L95" s="60" t="s">
        <v>897</v>
      </c>
      <c r="M95" s="4"/>
      <c r="N95" s="4" t="s">
        <v>898</v>
      </c>
    </row>
    <row r="96" customFormat="false" ht="36" hidden="false" customHeight="false" outlineLevel="0" collapsed="false">
      <c r="A96" s="11" t="s">
        <v>941</v>
      </c>
      <c r="B96" s="16" t="s">
        <v>191</v>
      </c>
      <c r="C96" s="48" t="s">
        <v>44</v>
      </c>
      <c r="D96" s="48"/>
      <c r="E96" s="48"/>
      <c r="F96" s="96" t="s">
        <v>932</v>
      </c>
      <c r="G96" s="89" t="s">
        <v>933</v>
      </c>
      <c r="H96" s="16" t="s">
        <v>934</v>
      </c>
      <c r="I96" s="16"/>
      <c r="J96" s="25"/>
      <c r="K96" s="81"/>
      <c r="L96" s="60" t="s">
        <v>897</v>
      </c>
      <c r="M96" s="4"/>
      <c r="N96" s="4" t="s">
        <v>114</v>
      </c>
    </row>
    <row r="97" customFormat="false" ht="36.75" hidden="false" customHeight="true" outlineLevel="0" collapsed="false">
      <c r="A97" s="11" t="s">
        <v>942</v>
      </c>
      <c r="B97" s="16" t="s">
        <v>191</v>
      </c>
      <c r="C97" s="48" t="s">
        <v>44</v>
      </c>
      <c r="D97" s="48"/>
      <c r="E97" s="48"/>
      <c r="F97" s="16" t="s">
        <v>936</v>
      </c>
      <c r="G97" s="89" t="s">
        <v>937</v>
      </c>
      <c r="H97" s="16" t="s">
        <v>938</v>
      </c>
      <c r="I97" s="16"/>
      <c r="J97" s="25"/>
      <c r="K97" s="81"/>
      <c r="L97" s="60" t="s">
        <v>897</v>
      </c>
      <c r="M97" s="4"/>
      <c r="N97" s="4" t="s">
        <v>93</v>
      </c>
    </row>
    <row r="98" customFormat="false" ht="15" hidden="false" customHeight="false" outlineLevel="0" collapsed="false">
      <c r="A98" s="11" t="s">
        <v>943</v>
      </c>
      <c r="B98" s="17" t="s">
        <v>854</v>
      </c>
      <c r="C98" s="48" t="s">
        <v>782</v>
      </c>
      <c r="D98" s="48"/>
      <c r="E98" s="48"/>
      <c r="F98" s="97" t="n">
        <v>0.0009</v>
      </c>
      <c r="G98" s="48" t="s">
        <v>96</v>
      </c>
      <c r="H98" s="8" t="s">
        <v>809</v>
      </c>
      <c r="I98" s="16"/>
      <c r="J98" s="16" t="s">
        <v>944</v>
      </c>
      <c r="K98" s="81"/>
      <c r="L98" s="60" t="s">
        <v>897</v>
      </c>
      <c r="M98" s="4"/>
      <c r="N98" s="4" t="s">
        <v>780</v>
      </c>
    </row>
    <row r="99" customFormat="false" ht="15" hidden="false" customHeight="false" outlineLevel="0" collapsed="false">
      <c r="A99" s="11" t="s">
        <v>945</v>
      </c>
      <c r="B99" s="16" t="s">
        <v>191</v>
      </c>
      <c r="C99" s="19" t="s">
        <v>44</v>
      </c>
      <c r="D99" s="19"/>
      <c r="E99" s="19"/>
      <c r="F99" s="16" t="s">
        <v>946</v>
      </c>
      <c r="G99" s="89" t="s">
        <v>96</v>
      </c>
      <c r="H99" s="16" t="s">
        <v>947</v>
      </c>
      <c r="I99" s="16"/>
      <c r="J99" s="25" t="s">
        <v>948</v>
      </c>
      <c r="K99" s="81"/>
      <c r="L99" s="60" t="s">
        <v>897</v>
      </c>
      <c r="M99" s="4"/>
      <c r="N99" s="4" t="s">
        <v>114</v>
      </c>
    </row>
    <row r="100" customFormat="false" ht="15" hidden="false" customHeight="false" outlineLevel="0" collapsed="false">
      <c r="A100" s="11" t="s">
        <v>949</v>
      </c>
      <c r="B100" s="16" t="s">
        <v>191</v>
      </c>
      <c r="C100" s="19" t="s">
        <v>44</v>
      </c>
      <c r="D100" s="19"/>
      <c r="E100" s="19"/>
      <c r="F100" s="48" t="s">
        <v>950</v>
      </c>
      <c r="G100" s="48" t="s">
        <v>96</v>
      </c>
      <c r="H100" s="16" t="s">
        <v>947</v>
      </c>
      <c r="I100" s="16"/>
      <c r="J100" s="25" t="s">
        <v>948</v>
      </c>
      <c r="K100" s="81"/>
      <c r="L100" s="60" t="s">
        <v>897</v>
      </c>
      <c r="M100" s="4"/>
      <c r="N100" s="4" t="s">
        <v>93</v>
      </c>
    </row>
    <row r="101" customFormat="false" ht="15" hidden="false" customHeight="false" outlineLevel="0" collapsed="false">
      <c r="A101" s="11" t="s">
        <v>951</v>
      </c>
      <c r="B101" s="17" t="s">
        <v>854</v>
      </c>
      <c r="C101" s="48" t="s">
        <v>782</v>
      </c>
      <c r="D101" s="48"/>
      <c r="E101" s="48"/>
      <c r="F101" s="84" t="n">
        <v>0.0011</v>
      </c>
      <c r="G101" s="48" t="s">
        <v>96</v>
      </c>
      <c r="H101" s="8" t="s">
        <v>809</v>
      </c>
      <c r="I101" s="16"/>
      <c r="J101" s="16" t="s">
        <v>952</v>
      </c>
      <c r="K101" s="81"/>
      <c r="L101" s="60" t="s">
        <v>897</v>
      </c>
      <c r="M101" s="4"/>
      <c r="N101" s="4" t="s">
        <v>780</v>
      </c>
    </row>
    <row r="102" customFormat="false" ht="15" hidden="false" customHeight="false" outlineLevel="0" collapsed="false">
      <c r="A102" s="11" t="s">
        <v>953</v>
      </c>
      <c r="B102" s="16" t="s">
        <v>191</v>
      </c>
      <c r="C102" s="19" t="s">
        <v>44</v>
      </c>
      <c r="D102" s="19"/>
      <c r="E102" s="19"/>
      <c r="F102" s="16" t="s">
        <v>946</v>
      </c>
      <c r="G102" s="89" t="s">
        <v>96</v>
      </c>
      <c r="H102" s="16" t="s">
        <v>947</v>
      </c>
      <c r="I102" s="16"/>
      <c r="J102" s="25" t="s">
        <v>948</v>
      </c>
      <c r="K102" s="81"/>
      <c r="L102" s="60" t="s">
        <v>897</v>
      </c>
      <c r="M102" s="4"/>
      <c r="N102" s="4" t="s">
        <v>114</v>
      </c>
    </row>
    <row r="103" customFormat="false" ht="14.25" hidden="false" customHeight="true" outlineLevel="0" collapsed="false">
      <c r="A103" s="11" t="s">
        <v>954</v>
      </c>
      <c r="B103" s="16" t="s">
        <v>191</v>
      </c>
      <c r="C103" s="19" t="s">
        <v>44</v>
      </c>
      <c r="D103" s="19"/>
      <c r="E103" s="19"/>
      <c r="F103" s="48" t="s">
        <v>950</v>
      </c>
      <c r="G103" s="48" t="s">
        <v>96</v>
      </c>
      <c r="H103" s="16" t="s">
        <v>947</v>
      </c>
      <c r="I103" s="16"/>
      <c r="J103" s="25" t="s">
        <v>948</v>
      </c>
      <c r="K103" s="81"/>
      <c r="L103" s="60" t="s">
        <v>897</v>
      </c>
      <c r="M103" s="4"/>
      <c r="N103" s="4" t="s">
        <v>93</v>
      </c>
    </row>
    <row r="104" customFormat="false" ht="15" hidden="false" customHeight="false" outlineLevel="0" collapsed="false">
      <c r="A104" s="58" t="s">
        <v>955</v>
      </c>
      <c r="B104" s="10" t="s">
        <v>1</v>
      </c>
      <c r="C104" s="10" t="s">
        <v>31</v>
      </c>
      <c r="D104" s="10" t="s">
        <v>32</v>
      </c>
      <c r="E104" s="10" t="s">
        <v>33</v>
      </c>
      <c r="F104" s="10" t="s">
        <v>34</v>
      </c>
      <c r="G104" s="10" t="s">
        <v>3</v>
      </c>
      <c r="H104" s="10" t="s">
        <v>35</v>
      </c>
      <c r="I104" s="10" t="s">
        <v>36</v>
      </c>
      <c r="J104" s="10" t="s">
        <v>37</v>
      </c>
      <c r="K104" s="10" t="s">
        <v>38</v>
      </c>
      <c r="L104" s="10" t="s">
        <v>39</v>
      </c>
      <c r="M104" s="10" t="s">
        <v>40</v>
      </c>
      <c r="N104" s="10" t="s">
        <v>41</v>
      </c>
    </row>
    <row r="105" customFormat="false" ht="24.75" hidden="false" customHeight="false" outlineLevel="0" collapsed="false">
      <c r="A105" s="38" t="s">
        <v>956</v>
      </c>
      <c r="B105" s="4" t="s">
        <v>854</v>
      </c>
      <c r="C105" s="48" t="s">
        <v>782</v>
      </c>
      <c r="D105" s="48"/>
      <c r="E105" s="48"/>
      <c r="F105" s="4" t="n">
        <v>0.015</v>
      </c>
      <c r="G105" s="48" t="s">
        <v>957</v>
      </c>
      <c r="H105" s="3"/>
      <c r="I105" s="3"/>
      <c r="J105" s="56" t="s">
        <v>958</v>
      </c>
      <c r="K105" s="59"/>
      <c r="L105" s="7" t="s">
        <v>959</v>
      </c>
      <c r="M105" s="54" t="s">
        <v>960</v>
      </c>
      <c r="N105" s="4" t="s">
        <v>780</v>
      </c>
    </row>
    <row r="106" customFormat="false" ht="15" hidden="false" customHeight="false" outlineLevel="0" collapsed="false">
      <c r="A106" s="63" t="s">
        <v>961</v>
      </c>
      <c r="B106" s="4" t="s">
        <v>17</v>
      </c>
      <c r="C106" s="48" t="s">
        <v>782</v>
      </c>
      <c r="D106" s="48"/>
      <c r="E106" s="48"/>
      <c r="F106" s="98" t="n">
        <v>0.06</v>
      </c>
      <c r="G106" s="48" t="s">
        <v>96</v>
      </c>
      <c r="H106" s="8" t="s">
        <v>809</v>
      </c>
      <c r="I106" s="16"/>
      <c r="J106" s="4" t="s">
        <v>962</v>
      </c>
      <c r="K106" s="59"/>
      <c r="L106" s="7" t="s">
        <v>959</v>
      </c>
      <c r="M106" s="7" t="s">
        <v>960</v>
      </c>
      <c r="N106" s="4"/>
    </row>
    <row r="107" customFormat="false" ht="15" hidden="false" customHeight="false" outlineLevel="0" collapsed="false">
      <c r="A107" s="63" t="s">
        <v>963</v>
      </c>
      <c r="B107" s="4" t="s">
        <v>854</v>
      </c>
      <c r="C107" s="48" t="s">
        <v>44</v>
      </c>
      <c r="D107" s="48"/>
      <c r="E107" s="48"/>
      <c r="F107" s="7" t="s">
        <v>964</v>
      </c>
      <c r="G107" s="48" t="s">
        <v>965</v>
      </c>
      <c r="H107" s="3"/>
      <c r="I107" s="3"/>
      <c r="J107" s="7" t="s">
        <v>966</v>
      </c>
      <c r="K107" s="59"/>
      <c r="L107" s="7" t="s">
        <v>959</v>
      </c>
      <c r="M107" s="7" t="s">
        <v>960</v>
      </c>
      <c r="N107" s="4"/>
    </row>
    <row r="108" customFormat="false" ht="15" hidden="false" customHeight="false" outlineLevel="0" collapsed="false">
      <c r="A108" s="63" t="s">
        <v>967</v>
      </c>
      <c r="B108" s="4" t="s">
        <v>801</v>
      </c>
      <c r="C108" s="48" t="s">
        <v>44</v>
      </c>
      <c r="D108" s="48"/>
      <c r="E108" s="48"/>
      <c r="F108" s="7" t="s">
        <v>968</v>
      </c>
      <c r="G108" s="48" t="s">
        <v>965</v>
      </c>
      <c r="H108" s="3"/>
      <c r="I108" s="3"/>
      <c r="J108" s="4" t="s">
        <v>969</v>
      </c>
      <c r="K108" s="59"/>
      <c r="L108" s="7" t="s">
        <v>959</v>
      </c>
      <c r="M108" s="7" t="s">
        <v>960</v>
      </c>
      <c r="N108" s="4"/>
    </row>
    <row r="109" customFormat="false" ht="15" hidden="false" customHeight="false" outlineLevel="0" collapsed="false">
      <c r="A109" s="38" t="s">
        <v>970</v>
      </c>
      <c r="B109" s="25" t="s">
        <v>854</v>
      </c>
      <c r="C109" s="48" t="s">
        <v>782</v>
      </c>
      <c r="D109" s="48"/>
      <c r="E109" s="48"/>
      <c r="F109" s="98" t="n">
        <v>0.03</v>
      </c>
      <c r="G109" s="48" t="s">
        <v>96</v>
      </c>
      <c r="H109" s="8" t="s">
        <v>809</v>
      </c>
      <c r="I109" s="16"/>
      <c r="J109" s="4"/>
      <c r="K109" s="95"/>
      <c r="L109" s="7" t="s">
        <v>959</v>
      </c>
      <c r="M109" s="7" t="s">
        <v>960</v>
      </c>
      <c r="N109" s="4" t="s">
        <v>780</v>
      </c>
    </row>
    <row r="110" customFormat="false" ht="15" hidden="false" customHeight="false" outlineLevel="0" collapsed="false">
      <c r="A110" s="38" t="s">
        <v>971</v>
      </c>
      <c r="B110" s="4" t="s">
        <v>854</v>
      </c>
      <c r="C110" s="48" t="s">
        <v>782</v>
      </c>
      <c r="D110" s="48"/>
      <c r="E110" s="48"/>
      <c r="F110" s="98" t="n">
        <v>0.05</v>
      </c>
      <c r="G110" s="48" t="s">
        <v>957</v>
      </c>
      <c r="H110" s="3"/>
      <c r="I110" s="3"/>
      <c r="J110" s="7" t="s">
        <v>972</v>
      </c>
      <c r="K110" s="59"/>
      <c r="L110" s="7" t="s">
        <v>959</v>
      </c>
      <c r="M110" s="7" t="s">
        <v>960</v>
      </c>
      <c r="N110" s="4" t="s">
        <v>780</v>
      </c>
    </row>
    <row r="111" customFormat="false" ht="15" hidden="false" customHeight="false" outlineLevel="0" collapsed="false">
      <c r="A111" s="38" t="s">
        <v>973</v>
      </c>
      <c r="B111" s="4" t="s">
        <v>854</v>
      </c>
      <c r="C111" s="48" t="s">
        <v>782</v>
      </c>
      <c r="D111" s="48"/>
      <c r="E111" s="48"/>
      <c r="F111" s="7" t="n">
        <v>0.043</v>
      </c>
      <c r="G111" s="48" t="s">
        <v>957</v>
      </c>
      <c r="H111" s="3"/>
      <c r="I111" s="3"/>
      <c r="J111" s="7" t="s">
        <v>972</v>
      </c>
      <c r="K111" s="59"/>
      <c r="L111" s="7" t="s">
        <v>959</v>
      </c>
      <c r="M111" s="7" t="s">
        <v>960</v>
      </c>
      <c r="N111" s="4" t="s">
        <v>780</v>
      </c>
    </row>
    <row r="112" customFormat="false" ht="15" hidden="false" customHeight="false" outlineLevel="0" collapsed="false">
      <c r="A112" s="63" t="s">
        <v>974</v>
      </c>
      <c r="B112" s="4" t="s">
        <v>801</v>
      </c>
      <c r="C112" s="48" t="s">
        <v>44</v>
      </c>
      <c r="D112" s="48"/>
      <c r="E112" s="48"/>
      <c r="F112" s="7" t="s">
        <v>975</v>
      </c>
      <c r="G112" s="48" t="s">
        <v>957</v>
      </c>
      <c r="H112" s="3"/>
      <c r="I112" s="3"/>
      <c r="J112" s="7" t="s">
        <v>972</v>
      </c>
      <c r="K112" s="59"/>
      <c r="L112" s="7" t="s">
        <v>959</v>
      </c>
      <c r="M112" s="7" t="s">
        <v>960</v>
      </c>
      <c r="N112" s="4"/>
    </row>
    <row r="113" customFormat="false" ht="15" hidden="false" customHeight="false" outlineLevel="0" collapsed="false">
      <c r="A113" s="63" t="s">
        <v>976</v>
      </c>
      <c r="B113" s="17" t="s">
        <v>801</v>
      </c>
      <c r="C113" s="19" t="s">
        <v>369</v>
      </c>
      <c r="D113" s="19"/>
      <c r="E113" s="19"/>
      <c r="F113" s="7" t="n">
        <v>0.44</v>
      </c>
      <c r="G113" s="16" t="s">
        <v>977</v>
      </c>
      <c r="H113" s="8" t="s">
        <v>803</v>
      </c>
      <c r="I113" s="16"/>
      <c r="J113" s="99"/>
      <c r="K113" s="81"/>
      <c r="L113" s="7" t="s">
        <v>959</v>
      </c>
      <c r="M113" s="7" t="s">
        <v>960</v>
      </c>
      <c r="N113" s="4" t="s">
        <v>780</v>
      </c>
    </row>
    <row r="114" customFormat="false" ht="24.75" hidden="false" customHeight="false" outlineLevel="0" collapsed="false">
      <c r="A114" s="38" t="s">
        <v>978</v>
      </c>
      <c r="B114" s="4" t="s">
        <v>854</v>
      </c>
      <c r="C114" s="48" t="s">
        <v>782</v>
      </c>
      <c r="D114" s="48"/>
      <c r="E114" s="48"/>
      <c r="F114" s="4" t="n">
        <v>0.015</v>
      </c>
      <c r="G114" s="48" t="s">
        <v>957</v>
      </c>
      <c r="H114" s="3"/>
      <c r="I114" s="3"/>
      <c r="J114" s="56" t="s">
        <v>958</v>
      </c>
      <c r="K114" s="59"/>
      <c r="L114" s="7" t="s">
        <v>959</v>
      </c>
      <c r="M114" s="7" t="s">
        <v>960</v>
      </c>
      <c r="N114" s="4" t="s">
        <v>780</v>
      </c>
    </row>
    <row r="115" customFormat="false" ht="15" hidden="false" customHeight="false" outlineLevel="0" collapsed="false">
      <c r="A115" s="63" t="s">
        <v>979</v>
      </c>
      <c r="B115" s="4" t="s">
        <v>854</v>
      </c>
      <c r="C115" s="48" t="s">
        <v>782</v>
      </c>
      <c r="D115" s="48"/>
      <c r="E115" s="48"/>
      <c r="F115" s="94" t="n">
        <v>0.06</v>
      </c>
      <c r="G115" s="48" t="s">
        <v>96</v>
      </c>
      <c r="H115" s="8" t="s">
        <v>809</v>
      </c>
      <c r="I115" s="16"/>
      <c r="J115" s="4" t="s">
        <v>980</v>
      </c>
      <c r="K115" s="59"/>
      <c r="L115" s="7" t="s">
        <v>959</v>
      </c>
      <c r="M115" s="7" t="s">
        <v>960</v>
      </c>
      <c r="N115" s="4"/>
    </row>
    <row r="116" customFormat="false" ht="24.75" hidden="false" customHeight="false" outlineLevel="0" collapsed="false">
      <c r="A116" s="38" t="s">
        <v>981</v>
      </c>
      <c r="B116" s="4" t="s">
        <v>854</v>
      </c>
      <c r="C116" s="48" t="s">
        <v>782</v>
      </c>
      <c r="D116" s="48"/>
      <c r="E116" s="48"/>
      <c r="F116" s="4" t="n">
        <v>0.08</v>
      </c>
      <c r="G116" s="48" t="s">
        <v>957</v>
      </c>
      <c r="H116" s="3"/>
      <c r="I116" s="3"/>
      <c r="J116" s="56" t="s">
        <v>982</v>
      </c>
      <c r="K116" s="59"/>
      <c r="L116" s="7" t="s">
        <v>959</v>
      </c>
      <c r="M116" s="7" t="s">
        <v>960</v>
      </c>
      <c r="N116" s="4" t="s">
        <v>780</v>
      </c>
    </row>
    <row r="117" customFormat="false" ht="15" hidden="false" customHeight="false" outlineLevel="0" collapsed="false">
      <c r="A117" s="38" t="s">
        <v>983</v>
      </c>
      <c r="B117" s="25" t="s">
        <v>854</v>
      </c>
      <c r="C117" s="48" t="s">
        <v>782</v>
      </c>
      <c r="D117" s="48"/>
      <c r="E117" s="48"/>
      <c r="F117" s="94" t="n">
        <v>0.06</v>
      </c>
      <c r="G117" s="48" t="s">
        <v>96</v>
      </c>
      <c r="H117" s="8" t="s">
        <v>809</v>
      </c>
      <c r="I117" s="16"/>
      <c r="J117" s="4"/>
      <c r="K117" s="95"/>
      <c r="L117" s="7" t="s">
        <v>959</v>
      </c>
      <c r="M117" s="7" t="s">
        <v>960</v>
      </c>
      <c r="N117" s="4" t="s">
        <v>780</v>
      </c>
    </row>
    <row r="118" customFormat="false" ht="15" hidden="false" customHeight="false" outlineLevel="0" collapsed="false">
      <c r="A118" s="63" t="s">
        <v>984</v>
      </c>
      <c r="B118" s="3"/>
      <c r="C118" s="48"/>
      <c r="D118" s="48"/>
      <c r="E118" s="48"/>
      <c r="F118" s="7"/>
      <c r="G118" s="3"/>
      <c r="H118" s="3"/>
      <c r="I118" s="3"/>
      <c r="J118" s="3"/>
      <c r="K118" s="59"/>
      <c r="L118" s="7" t="s">
        <v>959</v>
      </c>
      <c r="M118" s="7" t="s">
        <v>960</v>
      </c>
      <c r="N118" s="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2014-01-03T14:43:46Z</dcterms:created>
  <dc:creator>Rachel Clipp ARA/SED</dc:creator>
  <dc:description/>
  <dc:language>en-US</dc:language>
  <cp:lastModifiedBy/>
  <dcterms:modified xsi:type="dcterms:W3CDTF">2022-08-22T16:36:00Z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