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Work\Source\Pulse\documentation\source\data\human\adult\validation\"/>
    </mc:Choice>
  </mc:AlternateContent>
  <xr:revisionPtr revIDLastSave="0" documentId="13_ncr:1_{87100431-5CC4-4BE7-8FFE-FEE2BA989BC7}" xr6:coauthVersionLast="47" xr6:coauthVersionMax="47" xr10:uidLastSave="{00000000-0000-0000-0000-000000000000}"/>
  <bookViews>
    <workbookView xWindow="23490" yWindow="3615" windowWidth="27480" windowHeight="23535" tabRatio="500" firstSheet="1" activeTab="8" xr2:uid="{00000000-000D-0000-FFFF-FFFF00000000}"/>
  </bookViews>
  <sheets>
    <sheet name="Patient" sheetId="1" r:id="rId1"/>
    <sheet name="Blood Chemistry" sheetId="2" r:id="rId2"/>
    <sheet name="Cardiovascular" sheetId="3" r:id="rId3"/>
    <sheet name="Endocrine" sheetId="4" r:id="rId4"/>
    <sheet name="Energy" sheetId="5" r:id="rId5"/>
    <sheet name="Gastrointestinal" sheetId="6" r:id="rId6"/>
    <sheet name="Nervous" sheetId="7" r:id="rId7"/>
    <sheet name="Renal" sheetId="8" r:id="rId8"/>
    <sheet name="Respiratory" sheetId="9" r:id="rId9"/>
    <sheet name="Tissue"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9" i="10" l="1"/>
  <c r="F36" i="10"/>
  <c r="F3" i="10"/>
  <c r="F101" i="3"/>
  <c r="F100" i="3"/>
  <c r="F99" i="3"/>
  <c r="F98" i="3"/>
  <c r="F97" i="3"/>
  <c r="F96" i="3"/>
  <c r="F95" i="3"/>
  <c r="F78" i="3"/>
  <c r="F75" i="3"/>
  <c r="F46" i="3"/>
  <c r="F45" i="3"/>
  <c r="F44" i="3"/>
  <c r="F43" i="3"/>
  <c r="F41" i="3"/>
  <c r="F40" i="3"/>
  <c r="F39" i="3"/>
  <c r="F38" i="3"/>
  <c r="F22" i="3"/>
  <c r="F5" i="3"/>
  <c r="F4" i="3"/>
  <c r="F3" i="3"/>
  <c r="E34" i="10"/>
  <c r="D34" i="10"/>
  <c r="F13" i="10"/>
  <c r="F15" i="10" s="1"/>
  <c r="F54" i="9"/>
  <c r="F51" i="9"/>
  <c r="H151" i="8"/>
  <c r="G151" i="8"/>
  <c r="F151" i="8"/>
  <c r="C151" i="8"/>
  <c r="F106" i="3"/>
  <c r="F85" i="3"/>
  <c r="F73" i="3"/>
  <c r="F52" i="3"/>
  <c r="G77" i="2"/>
  <c r="F77" i="2"/>
  <c r="G75" i="2"/>
  <c r="G72" i="2"/>
  <c r="F72" i="2"/>
  <c r="G71" i="2"/>
  <c r="G69" i="2"/>
  <c r="F69" i="2"/>
  <c r="G68" i="2"/>
  <c r="F68" i="2"/>
  <c r="G64" i="2"/>
  <c r="F64" i="2"/>
  <c r="G62" i="2"/>
  <c r="F62" i="2"/>
  <c r="B62" i="2"/>
  <c r="G61" i="2"/>
  <c r="B61" i="2"/>
  <c r="G56" i="2"/>
  <c r="F56" i="2"/>
  <c r="G55" i="2"/>
  <c r="F55" i="2"/>
  <c r="C16" i="1"/>
  <c r="C15" i="1"/>
  <c r="C14" i="1"/>
  <c r="C17" i="1" s="1"/>
  <c r="C13" i="1"/>
  <c r="C11" i="1"/>
  <c r="C10" i="1"/>
  <c r="D37" i="10" s="1"/>
  <c r="C7" i="1"/>
  <c r="F105" i="3" s="1"/>
  <c r="C6" i="1"/>
  <c r="F104" i="3" s="1"/>
  <c r="C5" i="1"/>
  <c r="F48" i="10" s="1"/>
  <c r="F6" i="10" l="1"/>
  <c r="F50" i="10"/>
  <c r="F49" i="10"/>
  <c r="F45" i="10"/>
  <c r="F16" i="10"/>
  <c r="E37" i="10"/>
  <c r="F65" i="3"/>
  <c r="F47" i="3"/>
  <c r="F60" i="3"/>
  <c r="F68" i="3"/>
  <c r="F93" i="3"/>
  <c r="F109" i="3"/>
  <c r="F25" i="10"/>
  <c r="F37" i="10"/>
  <c r="F48" i="3"/>
  <c r="F61" i="3"/>
  <c r="F69" i="3"/>
  <c r="F79" i="3"/>
  <c r="F94" i="3"/>
  <c r="F102" i="3"/>
  <c r="F110" i="3"/>
  <c r="C8" i="1"/>
  <c r="F9" i="2"/>
  <c r="F14" i="2" s="1"/>
  <c r="F61" i="2" s="1"/>
  <c r="F12" i="2"/>
  <c r="F49" i="3"/>
  <c r="F62" i="3"/>
  <c r="F70" i="3"/>
  <c r="F81" i="3"/>
  <c r="F103" i="3"/>
  <c r="F19" i="10"/>
  <c r="F67" i="3"/>
  <c r="F108" i="3"/>
  <c r="F7" i="3"/>
  <c r="F50" i="3"/>
  <c r="F63" i="3"/>
  <c r="F71" i="3"/>
  <c r="F82" i="3"/>
  <c r="F28" i="10"/>
  <c r="F34" i="10"/>
  <c r="F40" i="10"/>
  <c r="F66" i="3"/>
  <c r="F74" i="3"/>
  <c r="F107" i="3"/>
  <c r="F31" i="2"/>
  <c r="F51" i="3"/>
  <c r="F64" i="3"/>
  <c r="F72" i="3"/>
  <c r="F84" i="3"/>
  <c r="F51" i="10"/>
  <c r="F14" i="10"/>
  <c r="F22" i="10"/>
  <c r="F31" i="10"/>
  <c r="F91" i="3" l="1"/>
  <c r="F58" i="3"/>
  <c r="F30" i="10"/>
  <c r="F29" i="10"/>
  <c r="F27" i="10"/>
  <c r="F26" i="10"/>
  <c r="F42" i="10"/>
  <c r="F41" i="10"/>
  <c r="F35" i="10"/>
  <c r="F33" i="10"/>
  <c r="F32" i="10"/>
  <c r="F21" i="10"/>
  <c r="F20" i="10"/>
  <c r="F18" i="10"/>
  <c r="F17" i="10"/>
  <c r="F38" i="10"/>
  <c r="F23" i="10"/>
  <c r="F24" i="10"/>
  <c r="F47" i="10"/>
  <c r="F46" i="10"/>
  <c r="F92" i="3"/>
  <c r="F59" i="3"/>
  <c r="F4" i="8"/>
  <c r="F5" i="8" s="1"/>
  <c r="F53" i="10"/>
  <c r="F52" i="10"/>
  <c r="F4" i="10" l="1"/>
</calcChain>
</file>

<file path=xl/sharedStrings.xml><?xml version="1.0" encoding="utf-8"?>
<sst xmlns="http://schemas.openxmlformats.org/spreadsheetml/2006/main" count="4729" uniqueCount="1113">
  <si>
    <t>Patient Inputs</t>
  </si>
  <si>
    <t>Units</t>
  </si>
  <si>
    <t>Value</t>
  </si>
  <si>
    <t>References</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</si>
  <si>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</si>
  <si>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</si>
  <si>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</si>
  <si>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</si>
  <si>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</si>
  <si>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</si>
  <si>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</si>
  <si>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</si>
  <si>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</si>
  <si>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</si>
  <si>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</si>
  <si>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</si>
  <si>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</si>
  <si>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</si>
  <si>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</si>
  <si>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</si>
  <si>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</si>
  <si>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</si>
  <si>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</si>
  <si>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</si>
  <si>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</si>
  <si>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</si>
  <si>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</si>
  <si>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</si>
  <si>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</si>
  <si>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</si>
  <si>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</si>
  <si>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</si>
  <si>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</si>
  <si>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</si>
  <si>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</si>
  <si>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Notes</t>
  </si>
  <si>
    <t>Internal Notes</t>
  </si>
  <si>
    <t>Reading</t>
  </si>
  <si>
    <t>Table</t>
  </si>
  <si>
    <t>ResultsFile</t>
  </si>
  <si>
    <t>SignificantDigits</t>
  </si>
  <si>
    <t>BloodDensity</t>
  </si>
  <si>
    <t>kg/m^3</t>
  </si>
  <si>
    <t>Mean</t>
  </si>
  <si>
    <t>herman2007physics</t>
  </si>
  <si>
    <t>p21</t>
  </si>
  <si>
    <t>BloodChemistry</t>
  </si>
  <si>
    <t>0f</t>
  </si>
  <si>
    <t>BloodPH</t>
  </si>
  <si>
    <t>7.2,
 [7.35,7.4]</t>
  </si>
  <si>
    <t>valentin2002icrp,  guyton2006medical</t>
  </si>
  <si>
    <t>p137                                 p384</t>
  </si>
  <si>
    <t>2f</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</si>
  <si>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</si>
  <si>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</si>
  <si>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</si>
  <si>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</si>
  <si>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</si>
  <si>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</si>
  <si>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</si>
  <si>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</si>
  <si>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</si>
  <si>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</si>
  <si>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</si>
  <si>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</si>
  <si>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</si>
  <si>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</si>
  <si>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</si>
  <si>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</si>
  <si>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</si>
  <si>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</si>
  <si>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</si>
  <si>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</si>
  <si>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</si>
  <si>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</si>
  <si>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</si>
  <si>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</si>
  <si>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</si>
  <si>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</si>
  <si>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</si>
  <si>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</si>
  <si>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</si>
  <si>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</si>
  <si>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</si>
  <si>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</si>
  <si>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</si>
  <si>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</si>
  <si>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</si>
  <si>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</si>
  <si>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</si>
  <si>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</si>
  <si>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</si>
  <si>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</si>
  <si>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</si>
  <si>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</si>
  <si>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</si>
  <si>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</si>
  <si>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</si>
  <si>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</si>
  <si>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</si>
  <si>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</si>
  <si>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</si>
  <si>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</si>
  <si>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</si>
  <si>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</si>
  <si>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</si>
  <si>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</si>
  <si>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</si>
  <si>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</si>
  <si>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</si>
  <si>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</si>
  <si>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</si>
  <si>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</si>
  <si>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</si>
  <si>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</si>
  <si>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</si>
  <si>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</si>
  <si>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</si>
  <si>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</si>
  <si>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</si>
  <si>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</si>
  <si>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</si>
  <si>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</si>
  <si>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</si>
  <si>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</si>
  <si>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</si>
  <si>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</si>
  <si>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</si>
  <si>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</si>
  <si>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</si>
  <si>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</si>
  <si>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</si>
  <si>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</si>
  <si>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</si>
  <si>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</si>
  <si>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</si>
  <si>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</si>
  <si>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</si>
  <si>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</si>
  <si>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</si>
  <si>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</si>
  <si>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</si>
  <si>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</si>
  <si>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</si>
  <si>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</si>
  <si>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</si>
  <si>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</si>
  <si>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</si>
  <si>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</si>
  <si>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</si>
  <si>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</si>
  <si>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</si>
  <si>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</si>
  <si>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</si>
  <si>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</si>
  <si>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</si>
  <si>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</si>
  <si>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</si>
  <si>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</si>
  <si>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</si>
  <si>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</si>
  <si>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</si>
  <si>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</si>
  <si>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</si>
  <si>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</si>
  <si>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</si>
  <si>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</si>
  <si>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</si>
  <si>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</si>
  <si>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</si>
  <si>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</si>
  <si>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</si>
  <si>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</si>
  <si>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</si>
  <si>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</si>
  <si>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</si>
  <si>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</si>
  <si>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</si>
  <si>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</si>
  <si>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</si>
  <si>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</si>
  <si>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</si>
  <si>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</si>
  <si>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</si>
  <si>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</si>
  <si>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</si>
  <si>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</si>
  <si>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</si>
  <si>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</si>
  <si>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</si>
  <si>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</si>
  <si>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</si>
  <si>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</si>
  <si>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</si>
  <si>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</si>
  <si>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</si>
  <si>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</si>
  <si>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</si>
  <si>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</si>
  <si>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</si>
  <si>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</si>
  <si>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</si>
  <si>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</si>
  <si>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</si>
  <si>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</si>
  <si>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</si>
  <si>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</si>
  <si>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mEq/L</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</si>
  <si>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</si>
  <si>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</si>
  <si>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</si>
  <si>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</si>
  <si>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</si>
  <si>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</si>
  <si>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</si>
  <si>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</si>
  <si>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</si>
  <si>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</si>
  <si>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</si>
  <si>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</si>
  <si>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</si>
  <si>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</si>
  <si>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</si>
  <si>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</si>
  <si>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</si>
  <si>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</si>
  <si>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</si>
  <si>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</si>
  <si>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</si>
  <si>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</si>
  <si>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</si>
  <si>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</si>
  <si>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</si>
  <si>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</si>
  <si>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</si>
  <si>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</si>
  <si>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</si>
  <si>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</si>
  <si>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</si>
  <si>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</si>
  <si>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</si>
  <si>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</si>
  <si>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</si>
  <si>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</si>
  <si>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</si>
  <si>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</si>
  <si>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</si>
  <si>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</si>
  <si>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</si>
  <si>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</si>
  <si>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</si>
  <si>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OptimizerTargets</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</si>
  <si>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</si>
  <si>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</si>
  <si>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</si>
  <si>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</si>
  <si>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</si>
  <si>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</si>
  <si>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</si>
  <si>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</si>
  <si>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</si>
  <si>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</si>
  <si>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</si>
  <si>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</si>
  <si>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</si>
  <si>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</si>
  <si>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</si>
  <si>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</si>
  <si>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</si>
  <si>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</si>
  <si>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</si>
  <si>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</si>
  <si>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</si>
  <si>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</si>
  <si>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</si>
  <si>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</si>
  <si>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</si>
  <si>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</si>
  <si>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</si>
  <si>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</si>
  <si>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</si>
  <si>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</si>
  <si>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</si>
  <si>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</si>
  <si>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</si>
  <si>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</si>
  <si>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</si>
  <si>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</si>
  <si>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</si>
  <si>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</si>
  <si>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</si>
  <si>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</si>
  <si>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</si>
  <si>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</si>
  <si>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</si>
  <si>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</si>
  <si>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</si>
  <si>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</si>
  <si>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</si>
  <si>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</si>
  <si>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</si>
  <si>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</si>
  <si>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</si>
  <si>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</si>
  <si>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</si>
  <si>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</si>
  <si>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</si>
  <si>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</si>
  <si>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</si>
  <si>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</si>
  <si>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</si>
  <si>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</si>
  <si>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</si>
  <si>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</si>
  <si>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</si>
  <si>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</si>
  <si>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</si>
  <si>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</si>
  <si>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</si>
  <si>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</si>
  <si>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</si>
  <si>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</si>
  <si>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</si>
  <si>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</si>
  <si>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</si>
  <si>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</si>
  <si>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</si>
  <si>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</si>
  <si>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</si>
  <si>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</si>
  <si>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</si>
  <si>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</si>
  <si>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</si>
  <si>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</si>
  <si>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</si>
  <si>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</si>
  <si>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</si>
  <si>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</si>
  <si>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</si>
  <si>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Compartment Data</t>
  </si>
  <si>
    <t>Aorta-Volume</t>
  </si>
  <si>
    <t>Reduced from ICRP value of 0.06 because we have arms and legs</t>
  </si>
  <si>
    <t>CardiovascularCompartments</t>
  </si>
  <si>
    <t>HemodynamicsTargets</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</si>
  <si>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</si>
  <si>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</si>
  <si>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</si>
  <si>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</si>
  <si>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</si>
  <si>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</si>
  <si>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</si>
  <si>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</si>
  <si>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</si>
  <si>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</si>
  <si>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</si>
  <si>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</si>
  <si>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</si>
  <si>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</si>
  <si>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</si>
  <si>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</si>
  <si>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</si>
  <si>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</si>
  <si>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</si>
  <si>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</si>
  <si>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</si>
  <si>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</si>
  <si>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</si>
  <si>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</si>
  <si>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</si>
  <si>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</si>
  <si>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</si>
  <si>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</si>
  <si>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</si>
  <si>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</si>
  <si>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</si>
  <si>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</si>
  <si>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</si>
  <si>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</si>
  <si>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</si>
  <si>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</si>
  <si>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</si>
  <si>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</si>
  <si>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</si>
  <si>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</si>
  <si>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</si>
  <si>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</si>
  <si>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</si>
  <si>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</si>
  <si>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</si>
  <si>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</si>
  <si>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</si>
  <si>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</si>
  <si>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</si>
  <si>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</si>
  <si>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</si>
  <si>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</si>
  <si>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</si>
  <si>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</si>
  <si>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</si>
  <si>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</si>
  <si>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</si>
  <si>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</si>
  <si>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</si>
  <si>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</si>
  <si>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</si>
  <si>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</si>
  <si>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</si>
  <si>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</si>
  <si>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</si>
  <si>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</si>
  <si>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</si>
  <si>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</si>
  <si>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</si>
  <si>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</si>
  <si>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</si>
  <si>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</si>
  <si>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</si>
  <si>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</si>
  <si>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</si>
  <si>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</si>
  <si>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</si>
  <si>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</si>
  <si>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</si>
  <si>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</si>
  <si>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</si>
  <si>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</si>
  <si>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</si>
  <si>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</si>
  <si>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</si>
  <si>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</si>
  <si>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</si>
  <si>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</si>
  <si>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</si>
  <si>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</si>
  <si>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</si>
  <si>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</si>
  <si>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</si>
  <si>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</si>
  <si>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</si>
  <si>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</si>
  <si>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</si>
  <si>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</si>
  <si>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</si>
  <si>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</si>
  <si>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</si>
  <si>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</si>
  <si>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</si>
  <si>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</si>
  <si>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</si>
  <si>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</si>
  <si>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</si>
  <si>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</si>
  <si>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</si>
  <si>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</si>
  <si>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</si>
  <si>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</si>
  <si>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</si>
  <si>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</si>
  <si>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</si>
  <si>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</si>
  <si>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</si>
  <si>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</si>
  <si>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</si>
  <si>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</si>
  <si>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</si>
  <si>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</si>
  <si>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</si>
  <si>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</si>
  <si>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</si>
  <si>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</si>
  <si>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</si>
  <si>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[1200,3000]</t>
  </si>
  <si>
    <t>Norgan2003energy</t>
  </si>
  <si>
    <t>1790 roza1984metabolic for 77 kg man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</si>
  <si>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</si>
  <si>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</si>
  <si>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</si>
  <si>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</si>
  <si>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</si>
  <si>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</si>
  <si>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</si>
  <si>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</si>
  <si>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</si>
  <si>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</si>
  <si>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</si>
  <si>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</si>
  <si>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</si>
  <si>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</si>
  <si>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</si>
  <si>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</si>
  <si>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</si>
  <si>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</si>
  <si>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</si>
  <si>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</si>
  <si>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</si>
  <si>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</si>
  <si>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</si>
  <si>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</si>
  <si>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</si>
  <si>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</si>
  <si>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</si>
  <si>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</si>
  <si>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</si>
  <si>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</si>
  <si>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</si>
  <si>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</si>
  <si>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</si>
  <si>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</si>
  <si>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</si>
  <si>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</si>
  <si>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</si>
  <si>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</si>
  <si>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</si>
  <si>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</si>
  <si>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</si>
  <si>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</si>
  <si>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</si>
  <si>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</si>
  <si>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</si>
  <si>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</si>
  <si>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</si>
  <si>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</si>
  <si>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</si>
  <si>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</si>
  <si>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</si>
  <si>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</si>
  <si>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</si>
  <si>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</si>
  <si>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</si>
  <si>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</si>
  <si>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</si>
  <si>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</si>
  <si>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</si>
  <si>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</si>
  <si>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</si>
  <si>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</si>
  <si>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m^2 mmHg</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</si>
  <si>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</si>
  <si>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</si>
  <si>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</si>
  <si>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</si>
  <si>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</si>
  <si>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</si>
  <si>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</si>
  <si>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</si>
  <si>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</si>
  <si>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</si>
  <si>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</si>
  <si>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</si>
  <si>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</si>
  <si>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</si>
  <si>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</si>
  <si>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</si>
  <si>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</si>
  <si>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</si>
  <si>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</si>
  <si>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</si>
  <si>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</si>
  <si>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</si>
  <si>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</si>
  <si>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</si>
  <si>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</si>
  <si>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</si>
  <si>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</si>
  <si>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</si>
  <si>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</si>
  <si>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</si>
  <si>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</si>
  <si>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</si>
  <si>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</si>
  <si>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</si>
  <si>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</si>
  <si>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</si>
  <si>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</si>
  <si>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</si>
  <si>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</si>
  <si>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</si>
  <si>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</si>
  <si>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</si>
  <si>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</si>
  <si>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</si>
  <si>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</si>
  <si>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</si>
  <si>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</si>
  <si>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</si>
  <si>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</si>
  <si>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</si>
  <si>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</si>
  <si>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</si>
  <si>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</si>
  <si>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</si>
  <si>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</si>
  <si>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</si>
  <si>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</si>
  <si>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</si>
  <si>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</si>
  <si>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</si>
  <si>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</si>
  <si>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</si>
  <si>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</si>
  <si>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</si>
  <si>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</si>
  <si>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</si>
  <si>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</si>
  <si>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</si>
  <si>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</si>
  <si>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</si>
  <si>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</si>
  <si>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</si>
  <si>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</si>
  <si>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</si>
  <si>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</si>
  <si>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</si>
  <si>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</si>
  <si>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</si>
  <si>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</si>
  <si>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</si>
  <si>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</si>
  <si>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</si>
  <si>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</si>
  <si>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</si>
  <si>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</si>
  <si>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</si>
  <si>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</si>
  <si>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</si>
  <si>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</si>
  <si>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</si>
  <si>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ml/min</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</si>
  <si>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</si>
  <si>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</si>
  <si>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</si>
  <si>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</si>
  <si>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</si>
  <si>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</si>
  <si>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</si>
  <si>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</si>
  <si>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</si>
  <si>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</si>
  <si>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</si>
  <si>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</si>
  <si>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</si>
  <si>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</si>
  <si>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</si>
  <si>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</si>
  <si>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</si>
  <si>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</si>
  <si>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</si>
  <si>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</si>
  <si>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</si>
  <si>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</si>
  <si>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</si>
  <si>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</si>
  <si>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</si>
  <si>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</si>
  <si>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</si>
  <si>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</si>
  <si>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</si>
  <si>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</si>
  <si>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</si>
  <si>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</si>
  <si>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</si>
  <si>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</si>
  <si>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</si>
  <si>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</si>
  <si>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</si>
  <si>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</si>
  <si>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</si>
  <si>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</si>
  <si>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</si>
  <si>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</si>
  <si>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</si>
  <si>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</si>
  <si>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</si>
  <si>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</si>
  <si>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</si>
  <si>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</si>
  <si>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</si>
  <si>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</si>
  <si>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</si>
  <si>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</si>
  <si>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</si>
  <si>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</si>
  <si>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</si>
  <si>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</si>
  <si>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</si>
  <si>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</si>
  <si>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</si>
  <si>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</si>
  <si>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</si>
  <si>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</si>
  <si>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</si>
  <si>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</si>
  <si>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</si>
  <si>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</si>
  <si>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</si>
  <si>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</si>
  <si>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</si>
  <si>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</si>
  <si>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</si>
  <si>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</si>
  <si>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</si>
  <si>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</si>
  <si>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</si>
  <si>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</si>
  <si>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</si>
  <si>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</si>
  <si>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</si>
  <si>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</si>
  <si>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</si>
  <si>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</si>
  <si>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</si>
  <si>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</si>
  <si>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</si>
  <si>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</si>
  <si>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</si>
  <si>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</si>
  <si>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</si>
  <si>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</si>
  <si>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</si>
  <si>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</si>
  <si>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</si>
  <si>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</si>
  <si>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</si>
  <si>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</si>
  <si>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</si>
  <si>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</si>
  <si>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</si>
  <si>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</si>
  <si>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</si>
  <si>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</si>
  <si>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</si>
  <si>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</si>
  <si>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</si>
  <si>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</si>
  <si>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</si>
  <si>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</si>
  <si>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</si>
  <si>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</si>
  <si>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</si>
  <si>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</si>
  <si>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</si>
  <si>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</si>
  <si>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</si>
  <si>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</si>
  <si>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</si>
  <si>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</si>
  <si>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</si>
  <si>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</si>
  <si>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</si>
  <si>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</si>
  <si>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</si>
  <si>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</si>
  <si>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</si>
  <si>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</si>
  <si>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</si>
  <si>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</si>
  <si>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</si>
  <si>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</si>
  <si>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</si>
  <si>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</si>
  <si>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</si>
  <si>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</si>
  <si>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</si>
  <si>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</si>
  <si>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</si>
  <si>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</si>
  <si>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</si>
  <si>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</si>
  <si>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</si>
  <si>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</si>
  <si>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</si>
  <si>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</si>
  <si>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</si>
  <si>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</si>
  <si>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</si>
  <si>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</si>
  <si>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</si>
  <si>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</si>
  <si>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</si>
  <si>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</si>
  <si>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</si>
  <si>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</si>
  <si>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</si>
  <si>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</si>
  <si>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</si>
  <si>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</si>
  <si>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</si>
  <si>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</si>
  <si>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</si>
  <si>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</si>
  <si>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</si>
  <si>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</si>
  <si>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</si>
  <si>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</si>
  <si>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</si>
  <si>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</si>
  <si>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</si>
  <si>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</si>
  <si>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</si>
  <si>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</si>
  <si>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</si>
  <si>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</si>
  <si>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</si>
  <si>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</si>
  <si>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</si>
  <si>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</si>
  <si>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</si>
  <si>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</si>
  <si>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FractionOfInsipredOxygen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</si>
  <si>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</si>
  <si>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</si>
  <si>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</si>
  <si>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</si>
  <si>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</si>
  <si>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</si>
  <si>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</si>
  <si>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</si>
  <si>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</si>
  <si>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</si>
  <si>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</si>
  <si>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</si>
  <si>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</si>
  <si>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</si>
  <si>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</si>
  <si>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</si>
  <si>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</si>
  <si>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</si>
  <si>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</si>
  <si>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</si>
  <si>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</si>
  <si>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</si>
  <si>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</si>
  <si>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</si>
  <si>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</si>
  <si>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</si>
  <si>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</si>
  <si>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</si>
  <si>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</si>
  <si>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</si>
  <si>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</si>
  <si>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</si>
  <si>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</si>
  <si>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</si>
  <si>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</si>
  <si>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</si>
  <si>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</si>
  <si>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</si>
  <si>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</si>
  <si>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</si>
  <si>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</si>
  <si>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</si>
  <si>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</si>
  <si>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</si>
  <si>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</si>
  <si>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</si>
  <si>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</si>
  <si>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</si>
  <si>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</si>
  <si>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</si>
  <si>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</si>
  <si>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</si>
  <si>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</si>
  <si>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</si>
  <si>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</si>
  <si>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</si>
  <si>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</si>
  <si>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</si>
  <si>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</si>
  <si>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</si>
  <si>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</si>
  <si>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</si>
  <si>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</si>
  <si>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</si>
  <si>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</si>
  <si>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</si>
  <si>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</si>
  <si>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</si>
  <si>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</si>
  <si>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</si>
  <si>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</si>
  <si>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</si>
  <si>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</si>
  <si>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</si>
  <si>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</si>
  <si>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</si>
  <si>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</si>
  <si>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</si>
  <si>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</si>
  <si>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</si>
  <si>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</si>
  <si>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Carina-Pressure</t>
  </si>
  <si>
    <t>[1033.2, 1034.2]</t>
  </si>
  <si>
    <t>p466 Fig 37-2</t>
  </si>
  <si>
    <t>Assume  P&lt;sub&gt;atm&lt;/sub&gt; = 1033.2 cmH2O</t>
  </si>
  <si>
    <t>Between alveoli pulmonary pressure and atmospheric pressure</t>
  </si>
  <si>
    <t>RespiratoryCompartments</t>
  </si>
  <si>
    <t>5g</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</si>
  <si>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</si>
  <si>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</si>
  <si>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</si>
  <si>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</si>
  <si>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</si>
  <si>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</si>
  <si>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</si>
  <si>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</si>
  <si>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</si>
  <si>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</si>
  <si>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</si>
  <si>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</si>
  <si>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</si>
  <si>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</si>
  <si>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</si>
  <si>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</si>
  <si>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</si>
  <si>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</si>
  <si>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</si>
  <si>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</si>
  <si>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</si>
  <si>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</si>
  <si>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</si>
  <si>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</si>
  <si>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</si>
  <si>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</si>
  <si>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</si>
  <si>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</si>
  <si>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</si>
  <si>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</si>
  <si>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</si>
  <si>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</si>
  <si>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</si>
  <si>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</si>
  <si>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</si>
  <si>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</si>
  <si>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</si>
  <si>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</si>
  <si>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</si>
  <si>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</si>
  <si>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</si>
  <si>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</si>
  <si>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</si>
  <si>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</si>
  <si>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</si>
  <si>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</si>
  <si>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</si>
  <si>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</si>
  <si>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</si>
  <si>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</si>
  <si>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</si>
  <si>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</si>
  <si>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</si>
  <si>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</si>
  <si>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</si>
  <si>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</si>
  <si>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</si>
  <si>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</si>
  <si>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</si>
  <si>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</si>
  <si>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</si>
  <si>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Excluding intravascular fluid</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</si>
  <si>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</si>
  <si>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</si>
  <si>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</si>
  <si>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</si>
  <si>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</si>
  <si>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</si>
  <si>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</si>
  <si>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</si>
  <si>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</si>
  <si>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</si>
  <si>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OxygenConsumptionRate</t>
  </si>
  <si>
    <t>RespiratoryExchangeRatio</t>
  </si>
  <si>
    <t>none</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</si>
  <si>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</si>
  <si>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</si>
  <si>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</si>
  <si>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</si>
  <si>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</si>
  <si>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</si>
  <si>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</si>
  <si>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</si>
  <si>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</si>
  <si>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</si>
  <si>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</si>
  <si>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FatTissueExtracellular-Volume</t>
  </si>
  <si>
    <t>rodgers2005physiologically</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</si>
  <si>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</si>
  <si>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</si>
  <si>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</si>
  <si>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</si>
  <si>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</si>
  <si>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</si>
  <si>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</si>
  <si>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</si>
  <si>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</si>
  <si>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</si>
  <si>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</si>
  <si>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</si>
  <si>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</si>
  <si>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</si>
  <si>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</si>
  <si>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</si>
  <si>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</si>
  <si>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</si>
  <si>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</si>
  <si>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</si>
  <si>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</si>
  <si>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</si>
  <si>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</si>
  <si>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</si>
  <si>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</si>
  <si>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</si>
  <si>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</si>
  <si>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</si>
  <si>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</si>
  <si>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</si>
  <si>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</si>
  <si>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</si>
  <si>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</si>
  <si>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</si>
  <si>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</si>
  <si>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</si>
  <si>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</si>
  <si>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</si>
  <si>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</si>
  <si>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</si>
  <si>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</si>
  <si>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</si>
  <si>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</si>
  <si>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</si>
  <si>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</si>
  <si>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</si>
  <si>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</si>
  <si>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</si>
  <si>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</si>
  <si>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</si>
  <si>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</si>
  <si>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</si>
  <si>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</si>
  <si>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</si>
  <si>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</si>
  <si>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</si>
  <si>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</si>
  <si>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</si>
  <si>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</si>
  <si>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</si>
  <si>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</si>
  <si>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</si>
  <si>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</si>
  <si>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</si>
  <si>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</si>
  <si>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</si>
  <si>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</si>
  <si>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</si>
  <si>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</si>
  <si>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</si>
  <si>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</si>
  <si>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</si>
  <si>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</si>
  <si>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</si>
  <si>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</si>
  <si>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</si>
  <si>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</si>
  <si>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</si>
  <si>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</si>
  <si>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</si>
  <si>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</si>
  <si>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</si>
  <si>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</si>
  <si>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</si>
  <si>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</si>
  <si>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</si>
  <si>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</si>
  <si>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</si>
  <si>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</si>
  <si>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</si>
  <si>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</si>
  <si>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</si>
  <si>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</si>
  <si>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</si>
  <si>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</si>
  <si>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</si>
  <si>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</si>
  <si>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</si>
  <si>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</si>
  <si>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</si>
  <si>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</si>
  <si>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</si>
  <si>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</si>
  <si>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</si>
  <si>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</si>
  <si>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</si>
  <si>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</si>
  <si>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</si>
  <si>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</si>
  <si>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</si>
  <si>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</si>
  <si>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</si>
  <si>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</si>
  <si>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PatientSpecific</t>
  </si>
  <si>
    <t>Y</t>
  </si>
  <si>
    <t>N</t>
  </si>
  <si>
    <t>General range for men and women</t>
  </si>
  <si>
    <t>CoronaryPerfusionPressure</t>
  </si>
  <si>
    <t>[60,80]</t>
  </si>
  <si>
    <t>AhmedCoronary2014</t>
  </si>
  <si>
    <t>Excluding intravascular fluid, sum of compartments</t>
  </si>
  <si>
    <t>Sex</t>
  </si>
  <si>
    <t>VentilationPerfusionRatio</t>
  </si>
  <si>
    <t>VQRatioOnline</t>
  </si>
  <si>
    <t>PhysiologicDeadSpaceTidalVolumeRatio</t>
  </si>
  <si>
    <t>[0.20, 0.40]</t>
  </si>
  <si>
    <t>cala2004vd</t>
  </si>
  <si>
    <t>[0.8,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</si>
</sst>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3">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Border="0" applyProtection="0"/>
  </cellStyleXfs>
  <cellXfs count="110">
    <xf numFmtId="0" fontId="0" fillId="0" borderId="0" xfId="0"/>
    <xf numFmtId="0" fontId="1" fillId="0" borderId="0" xfId="0" applyFont="1"/>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horizontal="center"/>
    </xf>
    <xf numFmtId="0" fontId="3" fillId="3" borderId="1" xfId="0" applyFont="1" applyFill="1" applyBorder="1" applyAlignment="1">
      <alignment horizontal="center" vertical="center" wrapText="1"/>
    </xf>
    <xf numFmtId="0" fontId="1" fillId="0" borderId="0" xfId="0" applyFont="1" applyAlignment="1">
      <alignment horizontal="center" vertical="center"/>
    </xf>
    <xf numFmtId="0" fontId="2" fillId="2" borderId="2"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5"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5" xfId="0" applyFont="1" applyBorder="1"/>
    <xf numFmtId="0" fontId="1" fillId="0" borderId="0" xfId="0" applyFont="1" applyAlignment="1">
      <alignment horizontal="center"/>
    </xf>
    <xf numFmtId="0" fontId="4" fillId="3" borderId="1" xfId="0" applyFont="1" applyFill="1" applyBorder="1" applyAlignment="1">
      <alignment horizontal="left" vertical="center" wrapText="1"/>
    </xf>
    <xf numFmtId="0" fontId="1" fillId="0" borderId="1" xfId="0" applyFont="1" applyBorder="1" applyAlignment="1">
      <alignment horizontal="center" wrapText="1"/>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xf numFmtId="0" fontId="0" fillId="0" borderId="1" xfId="0"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vertical="center"/>
    </xf>
    <xf numFmtId="0" fontId="1" fillId="0" borderId="6" xfId="0" applyFont="1" applyBorder="1" applyAlignment="1">
      <alignment horizontal="center" vertical="center"/>
    </xf>
    <xf numFmtId="0" fontId="3" fillId="3" borderId="7" xfId="0" applyFont="1" applyFill="1" applyBorder="1" applyAlignment="1">
      <alignment horizontal="center" vertical="center" wrapText="1"/>
    </xf>
    <xf numFmtId="0" fontId="1" fillId="0" borderId="7" xfId="0" applyFont="1" applyBorder="1" applyAlignment="1">
      <alignment horizontal="center" vertical="center"/>
    </xf>
    <xf numFmtId="0" fontId="1" fillId="0" borderId="7" xfId="0" applyFont="1" applyBorder="1"/>
    <xf numFmtId="0" fontId="1" fillId="0" borderId="2" xfId="0" applyFont="1" applyBorder="1"/>
    <xf numFmtId="0" fontId="4" fillId="4" borderId="5" xfId="0" applyFont="1" applyFill="1" applyBorder="1" applyAlignment="1">
      <alignment vertical="center" wrapText="1"/>
    </xf>
    <xf numFmtId="0" fontId="1" fillId="3" borderId="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4" borderId="7"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5" xfId="0" applyFont="1" applyBorder="1" applyAlignment="1">
      <alignment wrapText="1"/>
    </xf>
    <xf numFmtId="0" fontId="10" fillId="0" borderId="5"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5"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5"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5"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xf numFmtId="0" fontId="1" fillId="0" borderId="0" xfId="0" applyFont="1" applyAlignment="1">
      <alignment vertical="center"/>
    </xf>
    <xf numFmtId="0" fontId="0" fillId="0" borderId="0" xfId="0" applyAlignment="1">
      <alignment vertical="center"/>
    </xf>
    <xf numFmtId="0" fontId="1" fillId="0" borderId="6" xfId="0" applyFont="1" applyBorder="1" applyAlignment="1">
      <alignment horizontal="center"/>
    </xf>
    <xf numFmtId="0" fontId="4" fillId="3" borderId="6" xfId="0" applyFont="1" applyFill="1" applyBorder="1" applyAlignment="1">
      <alignment horizontal="center" vertical="center" wrapText="1"/>
    </xf>
    <xf numFmtId="0" fontId="3" fillId="0" borderId="6"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zoomScaleNormal="100" workbookViewId="0">
      <selection activeCell="A5" sqref="A5"/>
    </sheetView>
  </sheetViews>
  <sheetFormatPr defaultRowHeight="15"/>
  <cols>
    <col min="1" max="1" width="31.28515625" style="1" customWidth="1"/>
    <col min="2" max="2" width="10" style="1" customWidth="1"/>
    <col min="3" max="3" width="10" style="9" customWidth="1"/>
    <col min="4" max="4" width="16" style="1" bestFit="1" customWidth="1"/>
    <col min="5" max="1025" width="9.140625" style="1" customWidth="1"/>
  </cols>
  <sheetData>
    <row r="1" spans="1:4">
      <c r="A1" s="2" t="s">
        <v>0</v>
      </c>
      <c r="B1" s="2" t="s">
        <v>1</v>
      </c>
      <c r="C1" s="2" t="s">
        <v>2</v>
      </c>
      <c r="D1" s="2" t="s">
        <v>3</v>
      </c>
    </row>
    <row r="2" spans="1:4">
      <c r="A2" s="3" t="s">
        <v>1106</v>
      </c>
      <c r="B2" s="4"/>
      <c r="C2" s="4" t="s">
        <v>4</v>
      </c>
      <c r="D2" s="4"/>
    </row>
    <row r="3" spans="1:4">
      <c r="A3" s="3" t="s">
        <v>5</v>
      </c>
      <c r="B3" s="4" t="s">
        <v>6</v>
      </c>
      <c r="C3" s="5">
        <v>163</v>
      </c>
      <c r="D3" s="4"/>
    </row>
    <row r="4" spans="1:4">
      <c r="A4" s="3" t="s">
        <v>7</v>
      </c>
      <c r="B4" s="4" t="s">
        <v>8</v>
      </c>
      <c r="C4" s="4">
        <v>77</v>
      </c>
      <c r="D4" s="4"/>
    </row>
    <row r="5" spans="1:4">
      <c r="A5" s="3" t="s">
        <v>9</v>
      </c>
      <c r="B5" s="4" t="s">
        <v>10</v>
      </c>
      <c r="C5" s="6">
        <f>0.016667*SQRT(C4)*SQRT(C3)</f>
        <v>1.8672247711079135</v>
      </c>
      <c r="D5" s="4" t="s">
        <v>11</v>
      </c>
    </row>
    <row r="6" spans="1:4">
      <c r="A6" s="3" t="s">
        <v>12</v>
      </c>
      <c r="B6" s="4" t="s">
        <v>13</v>
      </c>
      <c r="C6" s="5">
        <f>IF(C2="Male",5600,4900)</f>
        <v>5600</v>
      </c>
      <c r="D6" s="8" t="s">
        <v>14</v>
      </c>
    </row>
    <row r="7" spans="1:4">
      <c r="A7" s="3" t="s">
        <v>15</v>
      </c>
      <c r="B7" s="4" t="s">
        <v>16</v>
      </c>
      <c r="C7" s="5">
        <f>65.6*POWER(C4,1.02)</f>
        <v>5509.6546665792184</v>
      </c>
      <c r="D7" s="8" t="s">
        <v>14</v>
      </c>
    </row>
    <row r="8" spans="1:4">
      <c r="A8" s="3" t="s">
        <v>17</v>
      </c>
      <c r="B8" s="4" t="s">
        <v>18</v>
      </c>
      <c r="C8" s="6">
        <f>0.001*C6/C5</f>
        <v>2.9991033145287878</v>
      </c>
      <c r="D8" s="8" t="s">
        <v>14</v>
      </c>
    </row>
    <row r="9" spans="1:4">
      <c r="A9" s="3" t="s">
        <v>19</v>
      </c>
      <c r="B9" s="4"/>
      <c r="C9" s="6">
        <v>0.6</v>
      </c>
      <c r="D9" s="8"/>
    </row>
    <row r="10" spans="1:4">
      <c r="A10" s="3" t="s">
        <v>20</v>
      </c>
      <c r="B10" s="4"/>
      <c r="C10" s="6">
        <f>1-C9</f>
        <v>0.4</v>
      </c>
      <c r="D10" s="8"/>
    </row>
    <row r="11" spans="1:4">
      <c r="A11" s="3" t="s">
        <v>21</v>
      </c>
      <c r="B11" s="4" t="s">
        <v>22</v>
      </c>
      <c r="C11" s="4">
        <f>IF(C2="Male",15,14)</f>
        <v>15</v>
      </c>
      <c r="D11" s="4"/>
    </row>
    <row r="12" spans="1:4">
      <c r="A12" s="3" t="s">
        <v>23</v>
      </c>
      <c r="B12" s="4"/>
      <c r="C12" s="4">
        <v>0.21</v>
      </c>
      <c r="D12" s="4"/>
    </row>
    <row r="13" spans="1:4">
      <c r="A13" s="3" t="s">
        <v>24</v>
      </c>
      <c r="B13" s="4" t="s">
        <v>8</v>
      </c>
      <c r="C13" s="4">
        <f>C4*(1-C12)</f>
        <v>60.830000000000005</v>
      </c>
      <c r="D13" s="4"/>
    </row>
    <row r="14" spans="1:4">
      <c r="A14" s="3" t="s">
        <v>25</v>
      </c>
      <c r="B14" s="4" t="s">
        <v>8</v>
      </c>
      <c r="C14" s="4">
        <f>IF(C2="Male",77,60)</f>
        <v>77</v>
      </c>
      <c r="D14" s="9"/>
    </row>
    <row r="15" spans="1:4">
      <c r="A15" s="3" t="s">
        <v>26</v>
      </c>
      <c r="B15" s="4" t="s">
        <v>10</v>
      </c>
      <c r="C15" s="4">
        <f>IF(C2="Male",1.96,1.65)</f>
        <v>1.96</v>
      </c>
      <c r="D15" s="9"/>
    </row>
    <row r="16" spans="1:4">
      <c r="A16" s="3" t="s">
        <v>27</v>
      </c>
      <c r="B16" s="4"/>
      <c r="C16" s="4">
        <f>IF(C2="Male",0.21,0.28)</f>
        <v>0.21</v>
      </c>
      <c r="D16" s="9"/>
    </row>
    <row r="17" spans="1:4">
      <c r="A17" s="3" t="s">
        <v>28</v>
      </c>
      <c r="B17" s="4" t="s">
        <v>8</v>
      </c>
      <c r="C17" s="4">
        <f>C14*(1-C16)</f>
        <v>60.830000000000005</v>
      </c>
      <c r="D17" s="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92"/>
  <sheetViews>
    <sheetView zoomScaleNormal="100" workbookViewId="0">
      <pane xSplit="6" topLeftCell="G1" activePane="topRight" state="frozen"/>
      <selection activeCell="A16" sqref="A16"/>
      <selection pane="topRight" activeCell="I2" activeCellId="1" sqref="I10:I11 I2:I8"/>
    </sheetView>
  </sheetViews>
  <sheetFormatPr defaultRowHeight="15"/>
  <cols>
    <col min="1" max="1" width="31.140625" customWidth="1"/>
    <col min="2" max="3" width="9.140625" customWidth="1"/>
    <col min="4" max="5" width="18.5703125" style="54" customWidth="1"/>
    <col min="6" max="6" width="14.85546875" customWidth="1"/>
    <col min="7" max="7" width="26.42578125" style="57" customWidth="1"/>
    <col min="8" max="8" width="30.7109375" customWidth="1"/>
    <col min="9" max="9" width="11.42578125" bestFit="1" customWidth="1"/>
    <col min="10" max="10" width="26.140625" customWidth="1"/>
    <col min="11" max="11" width="61.42578125" style="95" customWidth="1"/>
    <col min="12" max="12" width="52.42578125" customWidth="1"/>
    <col min="13" max="13" width="24.85546875" customWidth="1"/>
    <col min="14" max="14" width="9.140625" customWidth="1"/>
    <col min="15" max="15" width="12.5703125" customWidth="1"/>
    <col min="16" max="1026" width="9.140625" customWidth="1"/>
  </cols>
  <sheetData>
    <row r="1" spans="1:15" s="1" customFormat="1" ht="26.25" customHeight="1">
      <c r="A1" s="2" t="s">
        <v>29</v>
      </c>
      <c r="B1" s="10" t="s">
        <v>1</v>
      </c>
      <c r="C1" s="10" t="s">
        <v>30</v>
      </c>
      <c r="D1" s="10" t="s">
        <v>31</v>
      </c>
      <c r="E1" s="10" t="s">
        <v>32</v>
      </c>
      <c r="F1" s="10" t="s">
        <v>33</v>
      </c>
      <c r="G1" s="10" t="s">
        <v>3</v>
      </c>
      <c r="H1" s="2" t="s">
        <v>34</v>
      </c>
      <c r="I1" s="2" t="s">
        <v>1098</v>
      </c>
      <c r="J1" s="2" t="s">
        <v>35</v>
      </c>
      <c r="K1" s="2" t="s">
        <v>36</v>
      </c>
      <c r="L1" s="2" t="s">
        <v>953</v>
      </c>
      <c r="M1" s="10" t="s">
        <v>38</v>
      </c>
      <c r="N1" s="10" t="s">
        <v>39</v>
      </c>
      <c r="O1" s="10" t="s">
        <v>40</v>
      </c>
    </row>
    <row r="2" spans="1:15">
      <c r="A2" s="61" t="s">
        <v>954</v>
      </c>
      <c r="B2" s="7" t="s">
        <v>13</v>
      </c>
      <c r="C2" s="8" t="s">
        <v>43</v>
      </c>
      <c r="D2" s="7"/>
      <c r="E2" s="7"/>
      <c r="F2" s="7">
        <v>200</v>
      </c>
      <c r="G2" s="7" t="s">
        <v>955</v>
      </c>
      <c r="H2" s="7"/>
      <c r="I2" s="7" t="s">
        <v>1099</v>
      </c>
      <c r="J2" s="107"/>
      <c r="K2" s="7"/>
      <c r="L2" s="7">
        <v>200</v>
      </c>
      <c r="M2" s="60" t="s">
        <v>956</v>
      </c>
      <c r="N2" s="4"/>
      <c r="O2" s="4" t="s">
        <v>62</v>
      </c>
    </row>
    <row r="3" spans="1:15" s="1" customFormat="1" ht="23.25" customHeight="1">
      <c r="A3" s="11" t="s">
        <v>957</v>
      </c>
      <c r="B3" s="8" t="s">
        <v>16</v>
      </c>
      <c r="C3" s="8" t="s">
        <v>43</v>
      </c>
      <c r="D3" s="7"/>
      <c r="E3" s="7"/>
      <c r="F3" s="49">
        <f>SUM(F14,F17,F20,F23,F26,F29,F32,F35,F38,F41,F46,F49,F52)</f>
        <v>8751.6116205773851</v>
      </c>
      <c r="G3" s="8" t="s">
        <v>984</v>
      </c>
      <c r="H3" s="8"/>
      <c r="I3" s="7" t="s">
        <v>1099</v>
      </c>
      <c r="J3" s="9" t="s">
        <v>1105</v>
      </c>
      <c r="K3" s="33" t="s">
        <v>959</v>
      </c>
      <c r="L3" s="8">
        <v>7363</v>
      </c>
      <c r="M3" s="60" t="s">
        <v>956</v>
      </c>
      <c r="N3" s="4"/>
      <c r="O3" s="4" t="s">
        <v>47</v>
      </c>
    </row>
    <row r="4" spans="1:15" s="1" customFormat="1">
      <c r="A4" s="11" t="s">
        <v>960</v>
      </c>
      <c r="B4" s="8" t="s">
        <v>16</v>
      </c>
      <c r="C4" s="8" t="s">
        <v>43</v>
      </c>
      <c r="D4" s="7"/>
      <c r="E4" s="7"/>
      <c r="F4" s="8">
        <f>SUM(F13:F42,F46:F53)</f>
        <v>34084.065120622952</v>
      </c>
      <c r="G4" s="8" t="s">
        <v>984</v>
      </c>
      <c r="H4" s="8"/>
      <c r="I4" s="7" t="s">
        <v>1099</v>
      </c>
      <c r="J4" s="76"/>
      <c r="K4" s="13" t="s">
        <v>961</v>
      </c>
      <c r="L4" s="8" t="s">
        <v>962</v>
      </c>
      <c r="M4" s="60" t="s">
        <v>956</v>
      </c>
      <c r="N4" s="4"/>
      <c r="O4" s="4" t="s">
        <v>47</v>
      </c>
    </row>
    <row r="5" spans="1:15" s="1" customFormat="1" ht="24">
      <c r="A5" s="11" t="s">
        <v>963</v>
      </c>
      <c r="B5" s="13"/>
      <c r="C5" s="8" t="s">
        <v>43</v>
      </c>
      <c r="D5" s="7"/>
      <c r="E5" s="7"/>
      <c r="F5" s="8" t="s">
        <v>964</v>
      </c>
      <c r="G5" s="8" t="s">
        <v>965</v>
      </c>
      <c r="H5" s="8" t="s">
        <v>966</v>
      </c>
      <c r="I5" s="7" t="s">
        <v>1099</v>
      </c>
      <c r="J5" s="108"/>
      <c r="K5" s="8" t="s">
        <v>967</v>
      </c>
      <c r="L5" s="8" t="s">
        <v>964</v>
      </c>
      <c r="M5" s="60" t="s">
        <v>956</v>
      </c>
      <c r="N5" s="4"/>
      <c r="O5" s="4" t="s">
        <v>62</v>
      </c>
    </row>
    <row r="6" spans="1:15" s="1" customFormat="1">
      <c r="A6" s="11" t="s">
        <v>968</v>
      </c>
      <c r="B6" s="8" t="s">
        <v>16</v>
      </c>
      <c r="C6" s="8" t="s">
        <v>43</v>
      </c>
      <c r="D6" s="7"/>
      <c r="E6" s="7"/>
      <c r="F6" s="49">
        <f>SUM(F15+F18+F21+F24+F27+F30+F33+F36+F39+F42+F47+F50+F53)</f>
        <v>25271.303751033935</v>
      </c>
      <c r="G6" s="8" t="s">
        <v>984</v>
      </c>
      <c r="H6" s="13"/>
      <c r="I6" s="7" t="s">
        <v>1099</v>
      </c>
      <c r="J6" s="9" t="s">
        <v>958</v>
      </c>
      <c r="K6" s="8"/>
      <c r="L6" s="8">
        <v>16700</v>
      </c>
      <c r="M6" s="60" t="s">
        <v>956</v>
      </c>
      <c r="N6" s="4"/>
      <c r="O6" s="4" t="s">
        <v>47</v>
      </c>
    </row>
    <row r="7" spans="1:15">
      <c r="A7" s="61" t="s">
        <v>969</v>
      </c>
      <c r="B7" s="7" t="s">
        <v>13</v>
      </c>
      <c r="C7" s="8" t="s">
        <v>43</v>
      </c>
      <c r="D7" s="7"/>
      <c r="E7" s="7"/>
      <c r="F7" s="7">
        <v>250</v>
      </c>
      <c r="G7" s="7" t="s">
        <v>955</v>
      </c>
      <c r="H7" s="59"/>
      <c r="I7" s="7" t="s">
        <v>1099</v>
      </c>
      <c r="J7" s="107"/>
      <c r="K7" s="7"/>
      <c r="L7" s="7">
        <v>250</v>
      </c>
      <c r="M7" s="60" t="s">
        <v>956</v>
      </c>
      <c r="N7" s="4"/>
      <c r="O7" s="4" t="s">
        <v>47</v>
      </c>
    </row>
    <row r="8" spans="1:15">
      <c r="A8" s="61" t="s">
        <v>970</v>
      </c>
      <c r="B8" s="16" t="s">
        <v>971</v>
      </c>
      <c r="C8" s="8" t="s">
        <v>43</v>
      </c>
      <c r="D8" s="7"/>
      <c r="E8" s="7"/>
      <c r="F8" s="96">
        <v>0.85</v>
      </c>
      <c r="G8" s="97" t="s">
        <v>972</v>
      </c>
      <c r="H8" s="97" t="s">
        <v>973</v>
      </c>
      <c r="I8" s="7" t="s">
        <v>1099</v>
      </c>
      <c r="J8" s="109"/>
      <c r="K8" s="96"/>
      <c r="L8" s="96">
        <v>0.85</v>
      </c>
      <c r="M8" s="60" t="s">
        <v>956</v>
      </c>
      <c r="N8" s="4"/>
      <c r="O8" s="4" t="s">
        <v>52</v>
      </c>
    </row>
    <row r="9" spans="1:15" s="1" customFormat="1" ht="26.25" customHeight="1">
      <c r="A9" s="27" t="s">
        <v>974</v>
      </c>
      <c r="B9" s="2" t="s">
        <v>1</v>
      </c>
      <c r="C9" s="2" t="s">
        <v>30</v>
      </c>
      <c r="D9" s="10" t="s">
        <v>31</v>
      </c>
      <c r="E9" s="10" t="s">
        <v>32</v>
      </c>
      <c r="F9" s="2" t="s">
        <v>33</v>
      </c>
      <c r="G9" s="2" t="s">
        <v>3</v>
      </c>
      <c r="H9" s="2" t="s">
        <v>34</v>
      </c>
      <c r="I9" s="2" t="s">
        <v>1098</v>
      </c>
      <c r="J9" s="2" t="s">
        <v>35</v>
      </c>
      <c r="K9" s="2" t="s">
        <v>36</v>
      </c>
      <c r="L9" s="2" t="s">
        <v>953</v>
      </c>
      <c r="M9" s="2" t="s">
        <v>38</v>
      </c>
      <c r="N9" s="2" t="s">
        <v>39</v>
      </c>
      <c r="O9" s="2" t="s">
        <v>40</v>
      </c>
    </row>
    <row r="10" spans="1:15">
      <c r="A10" s="61" t="s">
        <v>975</v>
      </c>
      <c r="B10" s="7" t="s">
        <v>13</v>
      </c>
      <c r="C10" s="16" t="s">
        <v>43</v>
      </c>
      <c r="D10" s="7"/>
      <c r="E10" s="7"/>
      <c r="F10" s="7">
        <v>-250</v>
      </c>
      <c r="G10" s="16" t="s">
        <v>95</v>
      </c>
      <c r="H10" s="7" t="s">
        <v>976</v>
      </c>
      <c r="I10" s="7" t="s">
        <v>1099</v>
      </c>
      <c r="J10" s="7"/>
      <c r="K10" s="7"/>
      <c r="L10" s="7">
        <v>250</v>
      </c>
      <c r="M10" s="60" t="s">
        <v>956</v>
      </c>
      <c r="N10" s="4"/>
      <c r="O10" s="4" t="s">
        <v>47</v>
      </c>
    </row>
    <row r="11" spans="1:15" s="1" customFormat="1">
      <c r="A11" s="61" t="s">
        <v>977</v>
      </c>
      <c r="B11" s="7" t="s">
        <v>13</v>
      </c>
      <c r="C11" s="16" t="s">
        <v>43</v>
      </c>
      <c r="D11" s="7"/>
      <c r="E11" s="7"/>
      <c r="F11" s="16">
        <v>300</v>
      </c>
      <c r="G11" s="16" t="s">
        <v>95</v>
      </c>
      <c r="H11" s="7" t="s">
        <v>976</v>
      </c>
      <c r="I11" s="7" t="s">
        <v>1099</v>
      </c>
      <c r="J11" s="4"/>
      <c r="K11" s="16"/>
      <c r="L11" s="16">
        <v>300</v>
      </c>
      <c r="M11" s="60" t="s">
        <v>956</v>
      </c>
      <c r="N11" s="4"/>
      <c r="O11" s="4" t="s">
        <v>47</v>
      </c>
    </row>
    <row r="12" spans="1:15" s="1" customFormat="1" ht="26.25" customHeight="1">
      <c r="A12" s="27" t="s">
        <v>978</v>
      </c>
      <c r="B12" s="2" t="s">
        <v>1</v>
      </c>
      <c r="C12" s="2" t="s">
        <v>30</v>
      </c>
      <c r="D12" s="10" t="s">
        <v>31</v>
      </c>
      <c r="E12" s="10" t="s">
        <v>32</v>
      </c>
      <c r="F12" s="2" t="s">
        <v>33</v>
      </c>
      <c r="G12" s="2" t="s">
        <v>3</v>
      </c>
      <c r="H12" s="2" t="s">
        <v>34</v>
      </c>
      <c r="I12" s="2" t="s">
        <v>1098</v>
      </c>
      <c r="J12" s="2" t="s">
        <v>35</v>
      </c>
      <c r="K12" s="2" t="s">
        <v>36</v>
      </c>
      <c r="L12" s="2" t="s">
        <v>953</v>
      </c>
      <c r="M12" s="2" t="s">
        <v>38</v>
      </c>
      <c r="N12" s="2" t="s">
        <v>39</v>
      </c>
      <c r="O12" s="2" t="s">
        <v>40</v>
      </c>
    </row>
    <row r="13" spans="1:15" s="1" customFormat="1" ht="12">
      <c r="A13" s="29" t="s">
        <v>979</v>
      </c>
      <c r="B13" s="4" t="s">
        <v>852</v>
      </c>
      <c r="C13" s="16" t="s">
        <v>43</v>
      </c>
      <c r="D13" s="7">
        <v>14.5</v>
      </c>
      <c r="E13" s="7">
        <v>19</v>
      </c>
      <c r="F13" s="6">
        <f>Patient!C12*Patient!C4/1.03</f>
        <v>15.69902912621359</v>
      </c>
      <c r="G13" s="16" t="s">
        <v>265</v>
      </c>
      <c r="H13" s="25" t="s">
        <v>980</v>
      </c>
      <c r="I13" s="25" t="s">
        <v>1099</v>
      </c>
      <c r="J13" s="16"/>
      <c r="K13" s="31" t="s">
        <v>981</v>
      </c>
      <c r="L13" s="4">
        <v>3140</v>
      </c>
      <c r="M13" s="4" t="s">
        <v>982</v>
      </c>
      <c r="N13" s="4"/>
      <c r="O13" s="4" t="s">
        <v>52</v>
      </c>
    </row>
    <row r="14" spans="1:15" s="1" customFormat="1" ht="12">
      <c r="A14" s="29" t="s">
        <v>983</v>
      </c>
      <c r="B14" s="4" t="s">
        <v>16</v>
      </c>
      <c r="C14" s="16" t="s">
        <v>43</v>
      </c>
      <c r="D14" s="7"/>
      <c r="E14" s="7"/>
      <c r="F14" s="6">
        <f>F13*0.135*1000</f>
        <v>2119.3689320388348</v>
      </c>
      <c r="G14" s="16" t="s">
        <v>984</v>
      </c>
      <c r="H14" s="25" t="s">
        <v>980</v>
      </c>
      <c r="I14" s="25" t="s">
        <v>1099</v>
      </c>
      <c r="J14" s="16"/>
      <c r="K14" s="31" t="s">
        <v>981</v>
      </c>
      <c r="L14" s="4">
        <v>3140</v>
      </c>
      <c r="M14" s="4" t="s">
        <v>982</v>
      </c>
      <c r="N14" s="4"/>
      <c r="O14" s="4" t="s">
        <v>62</v>
      </c>
    </row>
    <row r="15" spans="1:15" s="1" customFormat="1" ht="12">
      <c r="A15" s="29" t="s">
        <v>985</v>
      </c>
      <c r="B15" s="4" t="s">
        <v>16</v>
      </c>
      <c r="C15" s="16" t="s">
        <v>43</v>
      </c>
      <c r="D15" s="7"/>
      <c r="E15" s="7"/>
      <c r="F15" s="6">
        <f>F13*0.017*1000</f>
        <v>266.88349514563106</v>
      </c>
      <c r="G15" s="16" t="s">
        <v>984</v>
      </c>
      <c r="H15" s="25" t="s">
        <v>980</v>
      </c>
      <c r="I15" s="25" t="s">
        <v>1099</v>
      </c>
      <c r="J15" s="16"/>
      <c r="K15" s="31" t="s">
        <v>981</v>
      </c>
      <c r="L15" s="4">
        <v>3140</v>
      </c>
      <c r="M15" s="4" t="s">
        <v>982</v>
      </c>
      <c r="N15" s="4"/>
      <c r="O15" s="4" t="s">
        <v>62</v>
      </c>
    </row>
    <row r="16" spans="1:15" s="1" customFormat="1" ht="12">
      <c r="A16" s="29" t="s">
        <v>986</v>
      </c>
      <c r="B16" s="4" t="s">
        <v>852</v>
      </c>
      <c r="C16" s="16" t="s">
        <v>43</v>
      </c>
      <c r="D16" s="7">
        <v>10.5</v>
      </c>
      <c r="E16" s="7">
        <v>7.8</v>
      </c>
      <c r="F16" s="6">
        <f>(IF(Patient!C2="Male",D16,E16)/1.3)*(Patient!C13/Patient!C17)</f>
        <v>8.0769230769230766</v>
      </c>
      <c r="G16" s="16" t="s">
        <v>265</v>
      </c>
      <c r="H16" s="25" t="s">
        <v>980</v>
      </c>
      <c r="I16" s="25" t="s">
        <v>1099</v>
      </c>
      <c r="J16" s="16"/>
      <c r="K16" s="31" t="s">
        <v>987</v>
      </c>
      <c r="L16" s="4">
        <v>2680</v>
      </c>
      <c r="M16" s="4" t="s">
        <v>982</v>
      </c>
      <c r="N16" s="4"/>
      <c r="O16" s="4" t="s">
        <v>52</v>
      </c>
    </row>
    <row r="17" spans="1:15" s="1" customFormat="1" ht="12">
      <c r="A17" s="29" t="s">
        <v>988</v>
      </c>
      <c r="B17" s="4" t="s">
        <v>16</v>
      </c>
      <c r="C17" s="16" t="s">
        <v>43</v>
      </c>
      <c r="D17" s="7"/>
      <c r="E17" s="7"/>
      <c r="F17" s="6">
        <f>F16*0.1*1000</f>
        <v>807.69230769230774</v>
      </c>
      <c r="G17" s="16" t="s">
        <v>984</v>
      </c>
      <c r="H17" s="25" t="s">
        <v>980</v>
      </c>
      <c r="I17" s="25" t="s">
        <v>1099</v>
      </c>
      <c r="J17" s="16"/>
      <c r="K17" s="31" t="s">
        <v>987</v>
      </c>
      <c r="L17" s="4">
        <v>2680</v>
      </c>
      <c r="M17" s="4" t="s">
        <v>982</v>
      </c>
      <c r="N17" s="4"/>
      <c r="O17" s="4" t="s">
        <v>62</v>
      </c>
    </row>
    <row r="18" spans="1:15" s="1" customFormat="1" ht="12">
      <c r="A18" s="29" t="s">
        <v>989</v>
      </c>
      <c r="B18" s="4" t="s">
        <v>16</v>
      </c>
      <c r="C18" s="16" t="s">
        <v>43</v>
      </c>
      <c r="D18" s="7"/>
      <c r="E18" s="7"/>
      <c r="F18" s="6">
        <f>F16*0.346*1000</f>
        <v>2794.6153846153843</v>
      </c>
      <c r="G18" s="16" t="s">
        <v>984</v>
      </c>
      <c r="H18" s="25" t="s">
        <v>980</v>
      </c>
      <c r="I18" s="25" t="s">
        <v>1099</v>
      </c>
      <c r="J18" s="16"/>
      <c r="K18" s="31" t="s">
        <v>987</v>
      </c>
      <c r="L18" s="4">
        <v>2680</v>
      </c>
      <c r="M18" s="4" t="s">
        <v>982</v>
      </c>
      <c r="N18" s="4"/>
      <c r="O18" s="4" t="s">
        <v>62</v>
      </c>
    </row>
    <row r="19" spans="1:15" s="1" customFormat="1" ht="12">
      <c r="A19" s="29" t="s">
        <v>990</v>
      </c>
      <c r="B19" s="4" t="s">
        <v>852</v>
      </c>
      <c r="C19" s="16" t="s">
        <v>43</v>
      </c>
      <c r="D19" s="7">
        <v>1.45</v>
      </c>
      <c r="E19" s="7">
        <v>1.3</v>
      </c>
      <c r="F19" s="6">
        <f>(IF(Patient!C2="Male",D19,E19)/1)*(Patient!C13/Patient!C17)</f>
        <v>1.45</v>
      </c>
      <c r="G19" s="16" t="s">
        <v>265</v>
      </c>
      <c r="H19" s="25" t="s">
        <v>980</v>
      </c>
      <c r="I19" s="25" t="s">
        <v>1099</v>
      </c>
      <c r="J19" s="16"/>
      <c r="K19" s="31" t="s">
        <v>991</v>
      </c>
      <c r="L19" s="4">
        <v>1020</v>
      </c>
      <c r="M19" s="4" t="s">
        <v>982</v>
      </c>
      <c r="N19" s="4"/>
      <c r="O19" s="4" t="s">
        <v>52</v>
      </c>
    </row>
    <row r="20" spans="1:15" s="1" customFormat="1" ht="12">
      <c r="A20" s="29" t="s">
        <v>992</v>
      </c>
      <c r="B20" s="4" t="s">
        <v>16</v>
      </c>
      <c r="C20" s="16" t="s">
        <v>43</v>
      </c>
      <c r="D20" s="7"/>
      <c r="E20" s="7"/>
      <c r="F20" s="6">
        <f>F19*0.162*1000</f>
        <v>234.9</v>
      </c>
      <c r="G20" s="16" t="s">
        <v>984</v>
      </c>
      <c r="H20" s="25" t="s">
        <v>980</v>
      </c>
      <c r="I20" s="25" t="s">
        <v>1099</v>
      </c>
      <c r="J20" s="16"/>
      <c r="K20" s="31" t="s">
        <v>991</v>
      </c>
      <c r="L20" s="4">
        <v>1020</v>
      </c>
      <c r="M20" s="4" t="s">
        <v>982</v>
      </c>
      <c r="N20" s="4"/>
      <c r="O20" s="4" t="s">
        <v>62</v>
      </c>
    </row>
    <row r="21" spans="1:15" s="1" customFormat="1" ht="12">
      <c r="A21" s="29" t="s">
        <v>993</v>
      </c>
      <c r="B21" s="4" t="s">
        <v>16</v>
      </c>
      <c r="C21" s="16" t="s">
        <v>43</v>
      </c>
      <c r="D21" s="7"/>
      <c r="E21" s="7"/>
      <c r="F21" s="6">
        <f>F19*0.62*1000</f>
        <v>899</v>
      </c>
      <c r="G21" s="16" t="s">
        <v>984</v>
      </c>
      <c r="H21" s="25" t="s">
        <v>980</v>
      </c>
      <c r="I21" s="25" t="s">
        <v>1099</v>
      </c>
      <c r="J21" s="16"/>
      <c r="K21" s="31" t="s">
        <v>991</v>
      </c>
      <c r="L21" s="4">
        <v>1020</v>
      </c>
      <c r="M21" s="4" t="s">
        <v>982</v>
      </c>
      <c r="N21" s="4"/>
      <c r="O21" s="4" t="s">
        <v>62</v>
      </c>
    </row>
    <row r="22" spans="1:15" s="1" customFormat="1" ht="12">
      <c r="A22" s="29" t="s">
        <v>994</v>
      </c>
      <c r="B22" s="4" t="s">
        <v>852</v>
      </c>
      <c r="C22" s="16" t="s">
        <v>43</v>
      </c>
      <c r="D22" s="7">
        <v>1.02</v>
      </c>
      <c r="E22" s="7">
        <v>0.96</v>
      </c>
      <c r="F22" s="6">
        <f>(IF(Patient!C2="Male",D22,E22)/1)*(Patient!C13/Patient!C17)</f>
        <v>1.02</v>
      </c>
      <c r="G22" s="16" t="s">
        <v>265</v>
      </c>
      <c r="H22" s="25" t="s">
        <v>980</v>
      </c>
      <c r="I22" s="25" t="s">
        <v>1099</v>
      </c>
      <c r="J22" s="16"/>
      <c r="K22" s="31" t="s">
        <v>991</v>
      </c>
      <c r="L22" s="4">
        <v>730</v>
      </c>
      <c r="M22" s="4" t="s">
        <v>982</v>
      </c>
      <c r="N22" s="4"/>
      <c r="O22" s="4" t="s">
        <v>52</v>
      </c>
    </row>
    <row r="23" spans="1:15" s="1" customFormat="1" ht="12">
      <c r="A23" s="29" t="s">
        <v>995</v>
      </c>
      <c r="B23" s="4" t="s">
        <v>16</v>
      </c>
      <c r="C23" s="16" t="s">
        <v>43</v>
      </c>
      <c r="D23" s="7"/>
      <c r="E23" s="7"/>
      <c r="F23" s="6">
        <f>F22*0.282*1000</f>
        <v>287.63999999999993</v>
      </c>
      <c r="G23" s="16" t="s">
        <v>984</v>
      </c>
      <c r="H23" s="25" t="s">
        <v>980</v>
      </c>
      <c r="I23" s="25" t="s">
        <v>1099</v>
      </c>
      <c r="J23" s="16"/>
      <c r="K23" s="31" t="s">
        <v>991</v>
      </c>
      <c r="L23" s="4">
        <v>730</v>
      </c>
      <c r="M23" s="4" t="s">
        <v>982</v>
      </c>
      <c r="N23" s="4"/>
      <c r="O23" s="4" t="s">
        <v>62</v>
      </c>
    </row>
    <row r="24" spans="1:15" s="1" customFormat="1" ht="12">
      <c r="A24" s="29" t="s">
        <v>996</v>
      </c>
      <c r="B24" s="4" t="s">
        <v>16</v>
      </c>
      <c r="C24" s="16" t="s">
        <v>43</v>
      </c>
      <c r="D24" s="7"/>
      <c r="E24" s="7"/>
      <c r="F24" s="6">
        <f>F22*0.475*1000</f>
        <v>484.5</v>
      </c>
      <c r="G24" s="16" t="s">
        <v>984</v>
      </c>
      <c r="H24" s="25" t="s">
        <v>980</v>
      </c>
      <c r="I24" s="25" t="s">
        <v>1099</v>
      </c>
      <c r="J24" s="16"/>
      <c r="K24" s="31" t="s">
        <v>991</v>
      </c>
      <c r="L24" s="4">
        <v>730</v>
      </c>
      <c r="M24" s="4" t="s">
        <v>982</v>
      </c>
      <c r="N24" s="4"/>
      <c r="O24" s="4" t="s">
        <v>62</v>
      </c>
    </row>
    <row r="25" spans="1:15" s="1" customFormat="1" ht="12">
      <c r="A25" s="29" t="s">
        <v>997</v>
      </c>
      <c r="B25" s="4" t="s">
        <v>852</v>
      </c>
      <c r="C25" s="16" t="s">
        <v>43</v>
      </c>
      <c r="D25" s="7">
        <v>0.155</v>
      </c>
      <c r="E25" s="7">
        <v>0.13750000000000001</v>
      </c>
      <c r="F25" s="6">
        <f>(IF(Patient!C2="Male",D25,E25)/1)*(Patient!C13/Patient!C17)</f>
        <v>0.155</v>
      </c>
      <c r="G25" s="16" t="s">
        <v>265</v>
      </c>
      <c r="H25" s="25" t="s">
        <v>980</v>
      </c>
      <c r="I25" s="25" t="s">
        <v>1099</v>
      </c>
      <c r="J25" s="16"/>
      <c r="K25" s="31" t="s">
        <v>991</v>
      </c>
      <c r="L25" s="4">
        <v>110</v>
      </c>
      <c r="M25" s="4" t="s">
        <v>982</v>
      </c>
      <c r="N25" s="4"/>
      <c r="O25" s="4" t="s">
        <v>52</v>
      </c>
    </row>
    <row r="26" spans="1:15" s="1" customFormat="1" ht="12">
      <c r="A26" s="29" t="s">
        <v>998</v>
      </c>
      <c r="B26" s="4" t="s">
        <v>16</v>
      </c>
      <c r="C26" s="16" t="s">
        <v>43</v>
      </c>
      <c r="D26" s="7"/>
      <c r="E26" s="7"/>
      <c r="F26" s="6">
        <f>F25*0.273*1000</f>
        <v>42.315000000000005</v>
      </c>
      <c r="G26" s="16" t="s">
        <v>984</v>
      </c>
      <c r="H26" s="25" t="s">
        <v>980</v>
      </c>
      <c r="I26" s="25" t="s">
        <v>1099</v>
      </c>
      <c r="J26" s="16"/>
      <c r="K26" s="31" t="s">
        <v>991</v>
      </c>
      <c r="L26" s="4">
        <v>110</v>
      </c>
      <c r="M26" s="4" t="s">
        <v>982</v>
      </c>
      <c r="N26" s="4"/>
      <c r="O26" s="4" t="s">
        <v>62</v>
      </c>
    </row>
    <row r="27" spans="1:15" s="1" customFormat="1" ht="12">
      <c r="A27" s="29" t="s">
        <v>999</v>
      </c>
      <c r="B27" s="4" t="s">
        <v>16</v>
      </c>
      <c r="C27" s="16" t="s">
        <v>43</v>
      </c>
      <c r="D27" s="7"/>
      <c r="E27" s="7"/>
      <c r="F27" s="6">
        <f>F25*0.483*1000</f>
        <v>74.864999999999995</v>
      </c>
      <c r="G27" s="16" t="s">
        <v>984</v>
      </c>
      <c r="H27" s="25" t="s">
        <v>980</v>
      </c>
      <c r="I27" s="25" t="s">
        <v>1099</v>
      </c>
      <c r="J27" s="16"/>
      <c r="K27" s="31" t="s">
        <v>991</v>
      </c>
      <c r="L27" s="4">
        <v>110</v>
      </c>
      <c r="M27" s="4" t="s">
        <v>982</v>
      </c>
      <c r="N27" s="4"/>
      <c r="O27" s="4" t="s">
        <v>62</v>
      </c>
    </row>
    <row r="28" spans="1:15" s="1" customFormat="1" ht="12">
      <c r="A28" s="29" t="s">
        <v>1000</v>
      </c>
      <c r="B28" s="4" t="s">
        <v>852</v>
      </c>
      <c r="C28" s="16" t="s">
        <v>43</v>
      </c>
      <c r="D28" s="7">
        <v>0.155</v>
      </c>
      <c r="E28" s="7">
        <v>0.13750000000000001</v>
      </c>
      <c r="F28" s="6">
        <f>(IF(Patient!C2="Male",D28,E28)/1)*(Patient!C13/Patient!C17)</f>
        <v>0.155</v>
      </c>
      <c r="G28" s="16" t="s">
        <v>265</v>
      </c>
      <c r="H28" s="25" t="s">
        <v>980</v>
      </c>
      <c r="I28" s="25" t="s">
        <v>1099</v>
      </c>
      <c r="J28" s="16"/>
      <c r="K28" s="31" t="s">
        <v>991</v>
      </c>
      <c r="L28" s="4">
        <v>110</v>
      </c>
      <c r="M28" s="4" t="s">
        <v>982</v>
      </c>
      <c r="N28" s="4"/>
      <c r="O28" s="4" t="s">
        <v>52</v>
      </c>
    </row>
    <row r="29" spans="1:15" s="1" customFormat="1" ht="12">
      <c r="A29" s="29" t="s">
        <v>1001</v>
      </c>
      <c r="B29" s="4" t="s">
        <v>16</v>
      </c>
      <c r="C29" s="16" t="s">
        <v>43</v>
      </c>
      <c r="D29" s="7"/>
      <c r="E29" s="7"/>
      <c r="F29" s="6">
        <f>F25*0.273*1000</f>
        <v>42.315000000000005</v>
      </c>
      <c r="G29" s="16" t="s">
        <v>984</v>
      </c>
      <c r="H29" s="25" t="s">
        <v>980</v>
      </c>
      <c r="I29" s="25" t="s">
        <v>1099</v>
      </c>
      <c r="J29" s="16"/>
      <c r="K29" s="31" t="s">
        <v>991</v>
      </c>
      <c r="L29" s="4">
        <v>110</v>
      </c>
      <c r="M29" s="4" t="s">
        <v>982</v>
      </c>
      <c r="N29" s="4"/>
      <c r="O29" s="4" t="s">
        <v>62</v>
      </c>
    </row>
    <row r="30" spans="1:15" s="1" customFormat="1" ht="12">
      <c r="A30" s="29" t="s">
        <v>1002</v>
      </c>
      <c r="B30" s="4" t="s">
        <v>16</v>
      </c>
      <c r="C30" s="16" t="s">
        <v>43</v>
      </c>
      <c r="D30" s="7"/>
      <c r="E30" s="7"/>
      <c r="F30" s="6">
        <f>F25*0.483*1000</f>
        <v>74.864999999999995</v>
      </c>
      <c r="G30" s="16" t="s">
        <v>984</v>
      </c>
      <c r="H30" s="25" t="s">
        <v>980</v>
      </c>
      <c r="I30" s="25" t="s">
        <v>1099</v>
      </c>
      <c r="J30" s="16"/>
      <c r="K30" s="31" t="s">
        <v>991</v>
      </c>
      <c r="L30" s="4">
        <v>110</v>
      </c>
      <c r="M30" s="4" t="s">
        <v>982</v>
      </c>
      <c r="N30" s="4"/>
      <c r="O30" s="4" t="s">
        <v>62</v>
      </c>
    </row>
    <row r="31" spans="1:15" s="1" customFormat="1" ht="12">
      <c r="A31" s="29" t="s">
        <v>1003</v>
      </c>
      <c r="B31" s="4" t="s">
        <v>852</v>
      </c>
      <c r="C31" s="16" t="s">
        <v>43</v>
      </c>
      <c r="D31" s="7">
        <v>1.8</v>
      </c>
      <c r="E31" s="7">
        <v>1.4</v>
      </c>
      <c r="F31" s="6">
        <f>(IF(Patient!C2="Male",D31,E31)/1)*(Patient!C13/Patient!C17)</f>
        <v>1.8</v>
      </c>
      <c r="G31" s="16" t="s">
        <v>265</v>
      </c>
      <c r="H31" s="25" t="s">
        <v>980</v>
      </c>
      <c r="I31" s="25" t="s">
        <v>1099</v>
      </c>
      <c r="J31" s="16"/>
      <c r="K31" s="31" t="s">
        <v>991</v>
      </c>
      <c r="L31" s="4">
        <v>1030</v>
      </c>
      <c r="M31" s="4" t="s">
        <v>982</v>
      </c>
      <c r="N31" s="4"/>
      <c r="O31" s="4" t="s">
        <v>52</v>
      </c>
    </row>
    <row r="32" spans="1:15" s="1" customFormat="1" ht="12">
      <c r="A32" s="29" t="s">
        <v>1004</v>
      </c>
      <c r="B32" s="4" t="s">
        <v>16</v>
      </c>
      <c r="C32" s="16" t="s">
        <v>43</v>
      </c>
      <c r="D32" s="7"/>
      <c r="E32" s="7"/>
      <c r="F32" s="6">
        <f>F31*0.161*1000</f>
        <v>289.8</v>
      </c>
      <c r="G32" s="16" t="s">
        <v>984</v>
      </c>
      <c r="H32" s="25" t="s">
        <v>980</v>
      </c>
      <c r="I32" s="25" t="s">
        <v>1099</v>
      </c>
      <c r="J32" s="16"/>
      <c r="K32" s="31" t="s">
        <v>991</v>
      </c>
      <c r="L32" s="4">
        <v>1030</v>
      </c>
      <c r="M32" s="4" t="s">
        <v>982</v>
      </c>
      <c r="N32" s="4"/>
      <c r="O32" s="4" t="s">
        <v>62</v>
      </c>
    </row>
    <row r="33" spans="1:15" s="1" customFormat="1" ht="12">
      <c r="A33" s="29" t="s">
        <v>1005</v>
      </c>
      <c r="B33" s="4" t="s">
        <v>16</v>
      </c>
      <c r="C33" s="16" t="s">
        <v>43</v>
      </c>
      <c r="D33" s="7"/>
      <c r="E33" s="7"/>
      <c r="F33" s="6">
        <f>F31*0.573*1000</f>
        <v>1031.3999999999999</v>
      </c>
      <c r="G33" s="16" t="s">
        <v>984</v>
      </c>
      <c r="H33" s="25" t="s">
        <v>980</v>
      </c>
      <c r="I33" s="25" t="s">
        <v>1099</v>
      </c>
      <c r="J33" s="16"/>
      <c r="K33" s="31" t="s">
        <v>991</v>
      </c>
      <c r="L33" s="4">
        <v>1030</v>
      </c>
      <c r="M33" s="4" t="s">
        <v>982</v>
      </c>
      <c r="N33" s="4"/>
      <c r="O33" s="4" t="s">
        <v>62</v>
      </c>
    </row>
    <row r="34" spans="1:15" s="1" customFormat="1" ht="12">
      <c r="A34" s="29" t="s">
        <v>1006</v>
      </c>
      <c r="B34" s="4" t="s">
        <v>852</v>
      </c>
      <c r="C34" s="16" t="s">
        <v>43</v>
      </c>
      <c r="D34" s="7">
        <f>0.5*Patient!C9</f>
        <v>0.3</v>
      </c>
      <c r="E34" s="7">
        <f>0.5*Patient!C9</f>
        <v>0.3</v>
      </c>
      <c r="F34" s="6">
        <f>(IF(Patient!C2="Male",D34,E34)/1)*(Patient!C13/Patient!C17)</f>
        <v>0.3</v>
      </c>
      <c r="G34" s="16" t="s">
        <v>265</v>
      </c>
      <c r="H34" s="25" t="s">
        <v>980</v>
      </c>
      <c r="I34" s="25" t="s">
        <v>1099</v>
      </c>
      <c r="J34" s="16"/>
      <c r="K34" s="31" t="s">
        <v>991</v>
      </c>
      <c r="L34" s="4">
        <v>160</v>
      </c>
      <c r="M34" s="4" t="s">
        <v>982</v>
      </c>
      <c r="N34" s="4"/>
      <c r="O34" s="4" t="s">
        <v>52</v>
      </c>
    </row>
    <row r="35" spans="1:15" s="1" customFormat="1" ht="12">
      <c r="A35" s="29" t="s">
        <v>1007</v>
      </c>
      <c r="B35" s="4" t="s">
        <v>16</v>
      </c>
      <c r="C35" s="16" t="s">
        <v>43</v>
      </c>
      <c r="D35" s="7"/>
      <c r="E35" s="7"/>
      <c r="F35" s="6">
        <f>F34*0.336*1000</f>
        <v>100.8</v>
      </c>
      <c r="G35" s="16" t="s">
        <v>984</v>
      </c>
      <c r="H35" s="25" t="s">
        <v>980</v>
      </c>
      <c r="I35" s="25" t="s">
        <v>1099</v>
      </c>
      <c r="J35" s="16"/>
      <c r="K35" s="31" t="s">
        <v>991</v>
      </c>
      <c r="L35" s="4">
        <v>160</v>
      </c>
      <c r="M35" s="4" t="s">
        <v>982</v>
      </c>
      <c r="N35" s="4"/>
      <c r="O35" s="4" t="s">
        <v>62</v>
      </c>
    </row>
    <row r="36" spans="1:15" s="1" customFormat="1" ht="12">
      <c r="A36" s="29" t="s">
        <v>1008</v>
      </c>
      <c r="B36" s="4" t="s">
        <v>16</v>
      </c>
      <c r="C36" s="16" t="s">
        <v>43</v>
      </c>
      <c r="D36" s="7"/>
      <c r="E36" s="7"/>
      <c r="F36" s="6">
        <f>F34*0.446*1000</f>
        <v>133.80000000000001</v>
      </c>
      <c r="G36" s="16" t="s">
        <v>984</v>
      </c>
      <c r="H36" s="25" t="s">
        <v>980</v>
      </c>
      <c r="I36" s="25" t="s">
        <v>1099</v>
      </c>
      <c r="J36" s="16"/>
      <c r="K36" s="31" t="s">
        <v>991</v>
      </c>
      <c r="L36" s="4">
        <v>160</v>
      </c>
      <c r="M36" s="4" t="s">
        <v>982</v>
      </c>
      <c r="N36" s="4"/>
      <c r="O36" s="4" t="s">
        <v>62</v>
      </c>
    </row>
    <row r="37" spans="1:15" s="1" customFormat="1" ht="12">
      <c r="A37" s="29" t="s">
        <v>1009</v>
      </c>
      <c r="B37" s="4" t="s">
        <v>852</v>
      </c>
      <c r="C37" s="16" t="s">
        <v>43</v>
      </c>
      <c r="D37" s="7">
        <f>0.5*Patient!C10</f>
        <v>0.2</v>
      </c>
      <c r="E37" s="7">
        <f>0.42*Patient!C10</f>
        <v>0.16800000000000001</v>
      </c>
      <c r="F37" s="6">
        <f>(IF(Patient!C2="Male",D37,E37)/1)*(Patient!C13/Patient!C17)</f>
        <v>0.2</v>
      </c>
      <c r="G37" s="16" t="s">
        <v>265</v>
      </c>
      <c r="H37" s="25" t="s">
        <v>980</v>
      </c>
      <c r="I37" s="25" t="s">
        <v>1099</v>
      </c>
      <c r="J37" s="16"/>
      <c r="K37" s="31" t="s">
        <v>991</v>
      </c>
      <c r="L37" s="4">
        <v>160</v>
      </c>
      <c r="M37" s="4" t="s">
        <v>982</v>
      </c>
      <c r="N37" s="4"/>
      <c r="O37" s="4" t="s">
        <v>52</v>
      </c>
    </row>
    <row r="38" spans="1:15" s="1" customFormat="1" ht="12">
      <c r="A38" s="29" t="s">
        <v>1010</v>
      </c>
      <c r="B38" s="4" t="s">
        <v>16</v>
      </c>
      <c r="C38" s="16" t="s">
        <v>43</v>
      </c>
      <c r="D38" s="7"/>
      <c r="E38" s="7"/>
      <c r="F38" s="6">
        <f>F37*0.336*1000</f>
        <v>67.2</v>
      </c>
      <c r="G38" s="16" t="s">
        <v>984</v>
      </c>
      <c r="H38" s="25" t="s">
        <v>980</v>
      </c>
      <c r="I38" s="25" t="s">
        <v>1099</v>
      </c>
      <c r="J38" s="16"/>
      <c r="K38" s="31" t="s">
        <v>991</v>
      </c>
      <c r="L38" s="4">
        <v>160</v>
      </c>
      <c r="M38" s="4" t="s">
        <v>982</v>
      </c>
      <c r="N38" s="4"/>
      <c r="O38" s="4" t="s">
        <v>62</v>
      </c>
    </row>
    <row r="39" spans="1:15" s="1" customFormat="1" ht="12">
      <c r="A39" s="29" t="s">
        <v>1011</v>
      </c>
      <c r="B39" s="4" t="s">
        <v>16</v>
      </c>
      <c r="C39" s="16" t="s">
        <v>43</v>
      </c>
      <c r="D39" s="7"/>
      <c r="E39" s="7"/>
      <c r="F39" s="6">
        <f>F37*0.446*1000</f>
        <v>89.2</v>
      </c>
      <c r="G39" s="16" t="s">
        <v>984</v>
      </c>
      <c r="H39" s="25" t="s">
        <v>980</v>
      </c>
      <c r="I39" s="25" t="s">
        <v>1099</v>
      </c>
      <c r="J39" s="16"/>
      <c r="K39" s="31" t="s">
        <v>991</v>
      </c>
      <c r="L39" s="4">
        <v>160</v>
      </c>
      <c r="M39" s="4" t="s">
        <v>982</v>
      </c>
      <c r="N39" s="4"/>
      <c r="O39" s="4" t="s">
        <v>62</v>
      </c>
    </row>
    <row r="40" spans="1:15" s="1" customFormat="1" ht="12">
      <c r="A40" s="29" t="s">
        <v>1012</v>
      </c>
      <c r="B40" s="4" t="s">
        <v>852</v>
      </c>
      <c r="C40" s="16" t="s">
        <v>43</v>
      </c>
      <c r="D40" s="7">
        <v>29</v>
      </c>
      <c r="E40" s="7">
        <v>17.5</v>
      </c>
      <c r="F40" s="6">
        <f>(IF(Patient!C2="Male",D40,E40)/1)*(Patient!C13/Patient!C17)</f>
        <v>29</v>
      </c>
      <c r="G40" s="16" t="s">
        <v>265</v>
      </c>
      <c r="H40" s="25" t="s">
        <v>980</v>
      </c>
      <c r="I40" s="25" t="s">
        <v>1099</v>
      </c>
      <c r="J40" s="16"/>
      <c r="K40" s="31" t="s">
        <v>991</v>
      </c>
      <c r="L40" s="4">
        <v>13090</v>
      </c>
      <c r="M40" s="4" t="s">
        <v>982</v>
      </c>
      <c r="N40" s="4"/>
      <c r="O40" s="4" t="s">
        <v>52</v>
      </c>
    </row>
    <row r="41" spans="1:15" s="1" customFormat="1" ht="12">
      <c r="A41" s="29" t="s">
        <v>1013</v>
      </c>
      <c r="B41" s="4" t="s">
        <v>16</v>
      </c>
      <c r="C41" s="16" t="s">
        <v>43</v>
      </c>
      <c r="D41" s="7"/>
      <c r="E41" s="7"/>
      <c r="F41" s="6">
        <f>F40*0.118*1000</f>
        <v>3421.9999999999995</v>
      </c>
      <c r="G41" s="16" t="s">
        <v>984</v>
      </c>
      <c r="H41" s="25" t="s">
        <v>980</v>
      </c>
      <c r="I41" s="25" t="s">
        <v>1099</v>
      </c>
      <c r="J41" s="16"/>
      <c r="K41" s="31" t="s">
        <v>991</v>
      </c>
      <c r="L41" s="4">
        <v>13090</v>
      </c>
      <c r="M41" s="4" t="s">
        <v>982</v>
      </c>
      <c r="N41" s="4"/>
      <c r="O41" s="4" t="s">
        <v>62</v>
      </c>
    </row>
    <row r="42" spans="1:15" s="1" customFormat="1" ht="12">
      <c r="A42" s="29" t="s">
        <v>1014</v>
      </c>
      <c r="B42" s="4" t="s">
        <v>16</v>
      </c>
      <c r="C42" s="16" t="s">
        <v>43</v>
      </c>
      <c r="D42" s="7"/>
      <c r="E42" s="7"/>
      <c r="F42" s="6">
        <f>F40*0.63*1000</f>
        <v>18270</v>
      </c>
      <c r="G42" s="16" t="s">
        <v>984</v>
      </c>
      <c r="H42" s="25" t="s">
        <v>980</v>
      </c>
      <c r="I42" s="25" t="s">
        <v>1099</v>
      </c>
      <c r="J42" s="16"/>
      <c r="K42" s="31" t="s">
        <v>991</v>
      </c>
      <c r="L42" s="4">
        <v>13090</v>
      </c>
      <c r="M42" s="4" t="s">
        <v>982</v>
      </c>
      <c r="N42" s="4"/>
      <c r="O42" s="4" t="s">
        <v>62</v>
      </c>
    </row>
    <row r="43" spans="1:15">
      <c r="A43" s="29" t="s">
        <v>1015</v>
      </c>
      <c r="B43" s="17" t="s">
        <v>80</v>
      </c>
      <c r="C43" s="8" t="s">
        <v>43</v>
      </c>
      <c r="D43" s="7"/>
      <c r="E43" s="7"/>
      <c r="F43" s="49" t="s">
        <v>1016</v>
      </c>
      <c r="G43" s="16" t="s">
        <v>1017</v>
      </c>
      <c r="H43" s="16"/>
      <c r="I43" s="25" t="s">
        <v>1099</v>
      </c>
      <c r="J43" s="16"/>
      <c r="K43" s="31"/>
      <c r="L43" s="20"/>
      <c r="M43" s="4" t="s">
        <v>982</v>
      </c>
      <c r="N43" s="4"/>
      <c r="O43" s="4" t="s">
        <v>62</v>
      </c>
    </row>
    <row r="44" spans="1:15">
      <c r="A44" s="29" t="s">
        <v>1018</v>
      </c>
      <c r="B44" s="17" t="s">
        <v>80</v>
      </c>
      <c r="C44" s="8" t="s">
        <v>43</v>
      </c>
      <c r="D44" s="7"/>
      <c r="E44" s="7"/>
      <c r="F44" s="98" t="s">
        <v>1019</v>
      </c>
      <c r="G44" s="16" t="s">
        <v>465</v>
      </c>
      <c r="H44" s="25"/>
      <c r="I44" s="25" t="s">
        <v>1099</v>
      </c>
      <c r="J44" s="4"/>
      <c r="K44" s="31" t="s">
        <v>1020</v>
      </c>
      <c r="L44" s="3"/>
      <c r="M44" s="4" t="s">
        <v>982</v>
      </c>
      <c r="N44" s="4"/>
      <c r="O44" s="4" t="s">
        <v>62</v>
      </c>
    </row>
    <row r="45" spans="1:15" s="1" customFormat="1" ht="12">
      <c r="A45" s="29" t="s">
        <v>1021</v>
      </c>
      <c r="B45" s="4" t="s">
        <v>852</v>
      </c>
      <c r="C45" s="16" t="s">
        <v>43</v>
      </c>
      <c r="D45" s="7">
        <v>0.33</v>
      </c>
      <c r="E45" s="7">
        <v>0.25</v>
      </c>
      <c r="F45" s="6">
        <f>(IF(Patient!C2="Male",D45,E45)/1)*(Patient!C13/Patient!C17)</f>
        <v>0.33</v>
      </c>
      <c r="G45" s="16" t="s">
        <v>265</v>
      </c>
      <c r="H45" s="25" t="s">
        <v>980</v>
      </c>
      <c r="I45" s="25" t="s">
        <v>1099</v>
      </c>
      <c r="J45" s="16"/>
      <c r="K45" s="31" t="s">
        <v>991</v>
      </c>
      <c r="L45" s="4">
        <v>190</v>
      </c>
      <c r="M45" s="4" t="s">
        <v>982</v>
      </c>
      <c r="N45" s="4"/>
      <c r="O45" s="4" t="s">
        <v>52</v>
      </c>
    </row>
    <row r="46" spans="1:15" s="1" customFormat="1" ht="12">
      <c r="A46" s="29" t="s">
        <v>1022</v>
      </c>
      <c r="B46" s="4" t="s">
        <v>16</v>
      </c>
      <c r="C46" s="16" t="s">
        <v>43</v>
      </c>
      <c r="D46" s="7"/>
      <c r="E46" s="7"/>
      <c r="F46" s="6">
        <f>F45*0.32*1000</f>
        <v>105.60000000000001</v>
      </c>
      <c r="G46" s="16" t="s">
        <v>984</v>
      </c>
      <c r="H46" s="25" t="s">
        <v>980</v>
      </c>
      <c r="I46" s="25" t="s">
        <v>1099</v>
      </c>
      <c r="J46" s="16"/>
      <c r="K46" s="31" t="s">
        <v>991</v>
      </c>
      <c r="L46" s="4">
        <v>190</v>
      </c>
      <c r="M46" s="4" t="s">
        <v>982</v>
      </c>
      <c r="N46" s="4"/>
      <c r="O46" s="4" t="s">
        <v>62</v>
      </c>
    </row>
    <row r="47" spans="1:15" s="1" customFormat="1" ht="12">
      <c r="A47" s="29" t="s">
        <v>1023</v>
      </c>
      <c r="B47" s="4" t="s">
        <v>16</v>
      </c>
      <c r="C47" s="16" t="s">
        <v>43</v>
      </c>
      <c r="D47" s="7"/>
      <c r="E47" s="7"/>
      <c r="F47" s="6">
        <f>F45*0.456*1000</f>
        <v>150.47999999999999</v>
      </c>
      <c r="G47" s="16" t="s">
        <v>984</v>
      </c>
      <c r="H47" s="25" t="s">
        <v>980</v>
      </c>
      <c r="I47" s="25" t="s">
        <v>1099</v>
      </c>
      <c r="J47" s="16"/>
      <c r="K47" s="31" t="s">
        <v>991</v>
      </c>
      <c r="L47" s="4">
        <v>190</v>
      </c>
      <c r="M47" s="4" t="s">
        <v>982</v>
      </c>
      <c r="N47" s="4"/>
      <c r="O47" s="4" t="s">
        <v>62</v>
      </c>
    </row>
    <row r="48" spans="1:15" s="1" customFormat="1" ht="12">
      <c r="A48" s="29" t="s">
        <v>1024</v>
      </c>
      <c r="B48" s="4" t="s">
        <v>852</v>
      </c>
      <c r="C48" s="16" t="s">
        <v>43</v>
      </c>
      <c r="D48" s="7">
        <v>3.3</v>
      </c>
      <c r="E48" s="7">
        <v>2.2999999999999998</v>
      </c>
      <c r="F48" s="6">
        <f>(IF(Patient!C2="Male",D48,E48)/1)*(Patient!C5/Patient!C15)</f>
        <v>3.1437968084980175</v>
      </c>
      <c r="G48" s="16" t="s">
        <v>265</v>
      </c>
      <c r="H48" s="25" t="s">
        <v>980</v>
      </c>
      <c r="I48" s="25" t="s">
        <v>1099</v>
      </c>
      <c r="J48" s="16"/>
      <c r="K48" s="31" t="s">
        <v>991</v>
      </c>
      <c r="L48" s="4">
        <v>1550</v>
      </c>
      <c r="M48" s="4" t="s">
        <v>982</v>
      </c>
      <c r="N48" s="4"/>
      <c r="O48" s="4" t="s">
        <v>52</v>
      </c>
    </row>
    <row r="49" spans="1:15" s="1" customFormat="1" ht="12">
      <c r="A49" s="29" t="s">
        <v>1025</v>
      </c>
      <c r="B49" s="4" t="s">
        <v>16</v>
      </c>
      <c r="C49" s="16" t="s">
        <v>43</v>
      </c>
      <c r="D49" s="7"/>
      <c r="E49" s="7"/>
      <c r="F49" s="6">
        <f>F48*0.382*1000</f>
        <v>1200.9303808462425</v>
      </c>
      <c r="G49" s="16" t="s">
        <v>984</v>
      </c>
      <c r="H49" s="25" t="s">
        <v>980</v>
      </c>
      <c r="I49" s="25" t="s">
        <v>1099</v>
      </c>
      <c r="J49" s="16"/>
      <c r="K49" s="31" t="s">
        <v>991</v>
      </c>
      <c r="L49" s="4">
        <v>1550</v>
      </c>
      <c r="M49" s="4" t="s">
        <v>982</v>
      </c>
      <c r="N49" s="4"/>
      <c r="O49" s="4" t="s">
        <v>62</v>
      </c>
    </row>
    <row r="50" spans="1:15" s="1" customFormat="1" ht="12">
      <c r="A50" s="29" t="s">
        <v>1026</v>
      </c>
      <c r="B50" s="4" t="s">
        <v>16</v>
      </c>
      <c r="C50" s="16" t="s">
        <v>43</v>
      </c>
      <c r="D50" s="7"/>
      <c r="E50" s="7"/>
      <c r="F50" s="6">
        <f>F48*0.291*1000</f>
        <v>914.844871272923</v>
      </c>
      <c r="G50" s="16" t="s">
        <v>984</v>
      </c>
      <c r="H50" s="25" t="s">
        <v>980</v>
      </c>
      <c r="I50" s="25" t="s">
        <v>1099</v>
      </c>
      <c r="J50" s="16"/>
      <c r="K50" s="31" t="s">
        <v>991</v>
      </c>
      <c r="L50" s="4">
        <v>1550</v>
      </c>
      <c r="M50" s="4" t="s">
        <v>982</v>
      </c>
      <c r="N50" s="4"/>
      <c r="O50" s="4" t="s">
        <v>62</v>
      </c>
    </row>
    <row r="51" spans="1:15" s="1" customFormat="1" ht="12">
      <c r="A51" s="29" t="s">
        <v>1027</v>
      </c>
      <c r="B51" s="4" t="s">
        <v>852</v>
      </c>
      <c r="C51" s="16" t="s">
        <v>43</v>
      </c>
      <c r="D51" s="7">
        <v>0.15</v>
      </c>
      <c r="E51" s="7">
        <v>0.13</v>
      </c>
      <c r="F51" s="6">
        <f>(IF(Patient!C2="Male",D51,E51)/1)*(Patient!C13/Patient!C17)</f>
        <v>0.15</v>
      </c>
      <c r="G51" s="16" t="s">
        <v>265</v>
      </c>
      <c r="H51" s="25" t="s">
        <v>980</v>
      </c>
      <c r="I51" s="25" t="s">
        <v>1099</v>
      </c>
      <c r="J51" s="16"/>
      <c r="K51" s="31" t="s">
        <v>991</v>
      </c>
      <c r="L51" s="4">
        <v>100</v>
      </c>
      <c r="M51" s="4" t="s">
        <v>982</v>
      </c>
      <c r="N51" s="4"/>
      <c r="O51" s="4" t="s">
        <v>52</v>
      </c>
    </row>
    <row r="52" spans="1:15" s="1" customFormat="1" ht="12">
      <c r="A52" s="29" t="s">
        <v>1028</v>
      </c>
      <c r="B52" s="4" t="s">
        <v>16</v>
      </c>
      <c r="C52" s="16" t="s">
        <v>43</v>
      </c>
      <c r="D52" s="7"/>
      <c r="E52" s="7"/>
      <c r="F52" s="6">
        <f>F51*0.207*1000</f>
        <v>31.049999999999997</v>
      </c>
      <c r="G52" s="16" t="s">
        <v>984</v>
      </c>
      <c r="H52" s="25" t="s">
        <v>980</v>
      </c>
      <c r="I52" s="25" t="s">
        <v>1099</v>
      </c>
      <c r="J52" s="16"/>
      <c r="K52" s="31" t="s">
        <v>991</v>
      </c>
      <c r="L52" s="4">
        <v>100</v>
      </c>
      <c r="M52" s="4" t="s">
        <v>982</v>
      </c>
      <c r="N52" s="4"/>
      <c r="O52" s="4" t="s">
        <v>62</v>
      </c>
    </row>
    <row r="53" spans="1:15" s="1" customFormat="1" ht="12">
      <c r="A53" s="29" t="s">
        <v>1029</v>
      </c>
      <c r="B53" s="4" t="s">
        <v>16</v>
      </c>
      <c r="C53" s="16" t="s">
        <v>43</v>
      </c>
      <c r="D53" s="7"/>
      <c r="E53" s="7"/>
      <c r="F53" s="6">
        <f>F51*0.579*1000</f>
        <v>86.85</v>
      </c>
      <c r="G53" s="16" t="s">
        <v>984</v>
      </c>
      <c r="H53" s="25" t="s">
        <v>980</v>
      </c>
      <c r="I53" s="25" t="s">
        <v>1099</v>
      </c>
      <c r="J53" s="16"/>
      <c r="K53" s="31" t="s">
        <v>991</v>
      </c>
      <c r="L53" s="4">
        <v>100</v>
      </c>
      <c r="M53" s="4" t="s">
        <v>982</v>
      </c>
      <c r="N53" s="4"/>
      <c r="O53" s="4" t="s">
        <v>62</v>
      </c>
    </row>
    <row r="54" spans="1:15">
      <c r="A54" s="27" t="s">
        <v>1030</v>
      </c>
      <c r="B54" s="2" t="s">
        <v>1</v>
      </c>
      <c r="C54" s="10" t="s">
        <v>30</v>
      </c>
      <c r="D54" s="10" t="s">
        <v>31</v>
      </c>
      <c r="E54" s="10" t="s">
        <v>32</v>
      </c>
      <c r="F54" s="10" t="s">
        <v>115</v>
      </c>
      <c r="G54" s="28" t="s">
        <v>116</v>
      </c>
      <c r="H54" s="28" t="s">
        <v>117</v>
      </c>
      <c r="I54" s="2" t="s">
        <v>1098</v>
      </c>
      <c r="J54" s="2" t="s">
        <v>35</v>
      </c>
      <c r="K54" s="2" t="s">
        <v>36</v>
      </c>
      <c r="L54" s="28" t="s">
        <v>37</v>
      </c>
      <c r="M54" s="10" t="s">
        <v>38</v>
      </c>
      <c r="N54" s="10" t="s">
        <v>39</v>
      </c>
      <c r="O54" s="10" t="s">
        <v>40</v>
      </c>
    </row>
    <row r="55" spans="1:15" ht="24.75">
      <c r="A55" s="29" t="s">
        <v>1031</v>
      </c>
      <c r="B55" s="17" t="s">
        <v>80</v>
      </c>
      <c r="C55" s="8" t="s">
        <v>43</v>
      </c>
      <c r="D55" s="7"/>
      <c r="E55" s="7"/>
      <c r="F55" s="17" t="s">
        <v>1032</v>
      </c>
      <c r="G55" s="17" t="s">
        <v>133</v>
      </c>
      <c r="H55" s="17"/>
      <c r="I55" s="17" t="s">
        <v>1099</v>
      </c>
      <c r="J55" s="17"/>
      <c r="K55" s="99" t="s">
        <v>1033</v>
      </c>
      <c r="L55" s="7"/>
      <c r="M55" s="4" t="s">
        <v>1034</v>
      </c>
      <c r="N55" s="4"/>
      <c r="O55" s="4" t="s">
        <v>62</v>
      </c>
    </row>
    <row r="56" spans="1:15">
      <c r="A56" s="29" t="s">
        <v>1035</v>
      </c>
      <c r="B56" s="17" t="s">
        <v>80</v>
      </c>
      <c r="C56" s="8" t="s">
        <v>43</v>
      </c>
      <c r="D56" s="7"/>
      <c r="E56" s="7"/>
      <c r="F56" s="8">
        <v>0</v>
      </c>
      <c r="G56" s="17"/>
      <c r="H56" s="8"/>
      <c r="I56" s="17" t="s">
        <v>1099</v>
      </c>
      <c r="J56" s="8"/>
      <c r="K56" s="8"/>
      <c r="L56" s="33" t="s">
        <v>959</v>
      </c>
      <c r="M56" s="4" t="s">
        <v>1034</v>
      </c>
      <c r="N56" s="4"/>
      <c r="O56" s="4" t="s">
        <v>62</v>
      </c>
    </row>
    <row r="57" spans="1:15">
      <c r="A57" s="29" t="s">
        <v>1036</v>
      </c>
      <c r="B57" s="17" t="s">
        <v>80</v>
      </c>
      <c r="C57" s="8" t="s">
        <v>43</v>
      </c>
      <c r="D57" s="7"/>
      <c r="E57" s="7"/>
      <c r="F57" s="16">
        <v>25</v>
      </c>
      <c r="G57" s="17" t="s">
        <v>1037</v>
      </c>
      <c r="H57" s="16" t="s">
        <v>1038</v>
      </c>
      <c r="I57" s="17" t="s">
        <v>1099</v>
      </c>
      <c r="J57" s="16"/>
      <c r="K57" s="18"/>
      <c r="L57" s="13" t="s">
        <v>961</v>
      </c>
      <c r="M57" s="4" t="s">
        <v>1034</v>
      </c>
      <c r="N57" s="4"/>
      <c r="O57" s="4" t="s">
        <v>62</v>
      </c>
    </row>
    <row r="58" spans="1:15">
      <c r="A58" s="29" t="s">
        <v>1039</v>
      </c>
      <c r="B58" s="17" t="s">
        <v>80</v>
      </c>
      <c r="C58" s="8" t="s">
        <v>43</v>
      </c>
      <c r="D58" s="7"/>
      <c r="E58" s="7"/>
      <c r="F58" s="16">
        <v>1.2</v>
      </c>
      <c r="G58" s="17" t="s">
        <v>1037</v>
      </c>
      <c r="H58" s="16" t="s">
        <v>1038</v>
      </c>
      <c r="I58" s="17" t="s">
        <v>1099</v>
      </c>
      <c r="J58" s="16"/>
      <c r="K58" s="18"/>
      <c r="L58" s="8" t="s">
        <v>967</v>
      </c>
      <c r="M58" s="4" t="s">
        <v>1034</v>
      </c>
      <c r="N58" s="4"/>
      <c r="O58" s="4" t="s">
        <v>62</v>
      </c>
    </row>
    <row r="59" spans="1:15" ht="24">
      <c r="A59" s="29" t="s">
        <v>1040</v>
      </c>
      <c r="B59" s="100" t="s">
        <v>80</v>
      </c>
      <c r="C59" s="101" t="s">
        <v>43</v>
      </c>
      <c r="D59" s="100"/>
      <c r="E59" s="100"/>
      <c r="F59" s="101" t="s">
        <v>1041</v>
      </c>
      <c r="G59" s="100"/>
      <c r="H59" s="101"/>
      <c r="I59" s="101" t="s">
        <v>1099</v>
      </c>
      <c r="J59" s="101"/>
      <c r="K59" s="101" t="s">
        <v>1042</v>
      </c>
      <c r="L59" s="8"/>
      <c r="M59" s="4" t="s">
        <v>1034</v>
      </c>
      <c r="N59" s="4"/>
      <c r="O59" s="4" t="s">
        <v>62</v>
      </c>
    </row>
    <row r="60" spans="1:15">
      <c r="A60" s="29" t="s">
        <v>1043</v>
      </c>
      <c r="B60" s="17" t="s">
        <v>80</v>
      </c>
      <c r="C60" s="8" t="s">
        <v>43</v>
      </c>
      <c r="D60" s="7"/>
      <c r="E60" s="7"/>
      <c r="F60" s="19">
        <v>116</v>
      </c>
      <c r="G60" s="17" t="s">
        <v>1037</v>
      </c>
      <c r="H60" s="16" t="s">
        <v>1038</v>
      </c>
      <c r="I60" s="17" t="s">
        <v>1099</v>
      </c>
      <c r="J60" s="16"/>
      <c r="K60" s="31"/>
      <c r="L60" s="7"/>
      <c r="M60" s="4" t="s">
        <v>1034</v>
      </c>
      <c r="N60" s="4"/>
      <c r="O60" s="4" t="s">
        <v>62</v>
      </c>
    </row>
    <row r="61" spans="1:15" ht="36.75">
      <c r="A61" s="29" t="s">
        <v>1044</v>
      </c>
      <c r="B61" s="100"/>
      <c r="C61" s="101"/>
      <c r="D61" s="100"/>
      <c r="E61" s="100"/>
      <c r="F61" s="100"/>
      <c r="G61" s="100"/>
      <c r="H61" s="100"/>
      <c r="I61" s="100" t="s">
        <v>1099</v>
      </c>
      <c r="J61" s="101"/>
      <c r="K61" s="102" t="s">
        <v>1045</v>
      </c>
      <c r="L61" s="7"/>
      <c r="M61" s="4" t="s">
        <v>1034</v>
      </c>
      <c r="N61" s="4"/>
      <c r="O61" s="4" t="s">
        <v>62</v>
      </c>
    </row>
    <row r="62" spans="1:15" ht="72.75">
      <c r="A62" s="29" t="s">
        <v>1046</v>
      </c>
      <c r="B62" s="16" t="s">
        <v>1047</v>
      </c>
      <c r="C62" s="8" t="s">
        <v>43</v>
      </c>
      <c r="D62" s="7"/>
      <c r="E62" s="7"/>
      <c r="F62" s="8" t="s">
        <v>1048</v>
      </c>
      <c r="G62" s="16" t="s">
        <v>1049</v>
      </c>
      <c r="H62" s="16" t="s">
        <v>1050</v>
      </c>
      <c r="I62" s="17" t="s">
        <v>1099</v>
      </c>
      <c r="J62" s="16"/>
      <c r="K62" s="99" t="s">
        <v>1051</v>
      </c>
      <c r="L62" s="3"/>
      <c r="M62" s="4" t="s">
        <v>1034</v>
      </c>
      <c r="N62" s="4"/>
      <c r="O62" s="4" t="s">
        <v>62</v>
      </c>
    </row>
    <row r="63" spans="1:15">
      <c r="A63" s="29" t="s">
        <v>1052</v>
      </c>
      <c r="B63" s="17" t="s">
        <v>80</v>
      </c>
      <c r="C63" s="8" t="s">
        <v>43</v>
      </c>
      <c r="D63" s="7"/>
      <c r="E63" s="7"/>
      <c r="F63" s="8">
        <v>5.9</v>
      </c>
      <c r="G63" s="16" t="s">
        <v>1037</v>
      </c>
      <c r="H63" s="16" t="s">
        <v>1038</v>
      </c>
      <c r="I63" s="17" t="s">
        <v>1099</v>
      </c>
      <c r="J63" s="16"/>
      <c r="K63" s="31"/>
      <c r="L63" s="20"/>
      <c r="M63" s="4" t="s">
        <v>1034</v>
      </c>
      <c r="N63" s="4"/>
      <c r="O63" s="4" t="s">
        <v>62</v>
      </c>
    </row>
    <row r="64" spans="1:15">
      <c r="A64" s="29" t="s">
        <v>1053</v>
      </c>
      <c r="B64" s="17" t="s">
        <v>80</v>
      </c>
      <c r="C64" s="8" t="s">
        <v>43</v>
      </c>
      <c r="D64" s="7"/>
      <c r="E64" s="7"/>
      <c r="F64" s="25">
        <v>0</v>
      </c>
      <c r="G64" s="16"/>
      <c r="H64" s="25"/>
      <c r="I64" s="17" t="s">
        <v>1099</v>
      </c>
      <c r="J64" s="25"/>
      <c r="K64" s="31" t="s">
        <v>1054</v>
      </c>
      <c r="L64" s="3"/>
      <c r="M64" s="4" t="s">
        <v>1034</v>
      </c>
      <c r="N64" s="4"/>
      <c r="O64" s="4" t="s">
        <v>62</v>
      </c>
    </row>
    <row r="65" spans="1:15" ht="24.75">
      <c r="A65" s="29" t="s">
        <v>1055</v>
      </c>
      <c r="B65" s="25" t="s">
        <v>1047</v>
      </c>
      <c r="C65" s="8" t="s">
        <v>43</v>
      </c>
      <c r="D65" s="7"/>
      <c r="E65" s="7"/>
      <c r="F65" s="25" t="s">
        <v>1056</v>
      </c>
      <c r="G65" s="16" t="s">
        <v>1057</v>
      </c>
      <c r="H65" s="25" t="s">
        <v>1058</v>
      </c>
      <c r="I65" s="17" t="s">
        <v>1099</v>
      </c>
      <c r="J65" s="4"/>
      <c r="K65" s="99" t="s">
        <v>1033</v>
      </c>
      <c r="L65" s="3"/>
      <c r="M65" s="4" t="s">
        <v>1034</v>
      </c>
      <c r="N65" s="4"/>
      <c r="O65" s="4" t="s">
        <v>62</v>
      </c>
    </row>
    <row r="66" spans="1:15" ht="48.75">
      <c r="A66" s="29" t="s">
        <v>1059</v>
      </c>
      <c r="B66" s="17" t="s">
        <v>80</v>
      </c>
      <c r="C66" s="8" t="s">
        <v>43</v>
      </c>
      <c r="D66" s="7"/>
      <c r="E66" s="7"/>
      <c r="F66" s="25" t="s">
        <v>1060</v>
      </c>
      <c r="G66" s="16" t="s">
        <v>1061</v>
      </c>
      <c r="H66" s="25" t="s">
        <v>1062</v>
      </c>
      <c r="I66" s="17" t="s">
        <v>1099</v>
      </c>
      <c r="J66" s="4"/>
      <c r="K66" s="31" t="s">
        <v>1063</v>
      </c>
      <c r="L66" s="3"/>
      <c r="M66" s="4" t="s">
        <v>1034</v>
      </c>
      <c r="N66" s="4"/>
      <c r="O66" s="4" t="s">
        <v>62</v>
      </c>
    </row>
    <row r="67" spans="1:15" ht="24">
      <c r="A67" s="29" t="s">
        <v>1064</v>
      </c>
      <c r="B67" s="100"/>
      <c r="C67" s="101"/>
      <c r="D67" s="100"/>
      <c r="E67" s="100"/>
      <c r="F67" s="101"/>
      <c r="G67" s="101"/>
      <c r="H67" s="101"/>
      <c r="I67" s="101" t="s">
        <v>1099</v>
      </c>
      <c r="J67" s="101"/>
      <c r="K67" s="100" t="s">
        <v>1065</v>
      </c>
      <c r="L67" s="3"/>
      <c r="M67" s="4" t="s">
        <v>1034</v>
      </c>
      <c r="N67" s="4"/>
      <c r="O67" s="4" t="s">
        <v>62</v>
      </c>
    </row>
    <row r="68" spans="1:15">
      <c r="A68" s="29" t="s">
        <v>1066</v>
      </c>
      <c r="B68" s="17" t="s">
        <v>1047</v>
      </c>
      <c r="C68" s="8" t="s">
        <v>43</v>
      </c>
      <c r="D68" s="7"/>
      <c r="E68" s="7"/>
      <c r="F68" s="25" t="s">
        <v>1067</v>
      </c>
      <c r="G68" s="16" t="s">
        <v>1061</v>
      </c>
      <c r="H68" s="25" t="s">
        <v>1068</v>
      </c>
      <c r="I68" s="17" t="s">
        <v>1099</v>
      </c>
      <c r="J68" s="8"/>
      <c r="K68" s="25"/>
      <c r="L68" s="3"/>
      <c r="M68" s="4" t="s">
        <v>1034</v>
      </c>
      <c r="N68" s="4"/>
      <c r="O68" s="4" t="s">
        <v>62</v>
      </c>
    </row>
    <row r="69" spans="1:15" ht="24">
      <c r="A69" s="29" t="s">
        <v>1069</v>
      </c>
      <c r="B69" s="17" t="s">
        <v>80</v>
      </c>
      <c r="C69" s="8" t="s">
        <v>43</v>
      </c>
      <c r="D69" s="7"/>
      <c r="E69" s="7"/>
      <c r="F69" s="8" t="s">
        <v>1070</v>
      </c>
      <c r="G69" s="16"/>
      <c r="H69" s="8"/>
      <c r="I69" s="17" t="s">
        <v>1099</v>
      </c>
      <c r="J69" s="8"/>
      <c r="K69" s="101" t="s">
        <v>1042</v>
      </c>
      <c r="L69" s="3"/>
      <c r="M69" s="4" t="s">
        <v>1034</v>
      </c>
      <c r="N69" s="4"/>
      <c r="O69" s="4" t="s">
        <v>62</v>
      </c>
    </row>
    <row r="70" spans="1:15">
      <c r="A70" s="11" t="s">
        <v>1071</v>
      </c>
      <c r="B70" s="17" t="s">
        <v>80</v>
      </c>
      <c r="C70" s="8" t="s">
        <v>43</v>
      </c>
      <c r="D70" s="7"/>
      <c r="E70" s="7"/>
      <c r="F70" s="17">
        <v>4.5</v>
      </c>
      <c r="G70" s="17" t="s">
        <v>1037</v>
      </c>
      <c r="H70" s="17" t="s">
        <v>1038</v>
      </c>
      <c r="I70" s="17" t="s">
        <v>1099</v>
      </c>
      <c r="J70" s="25"/>
      <c r="K70" s="31"/>
      <c r="L70" s="3"/>
      <c r="M70" s="4" t="s">
        <v>1034</v>
      </c>
      <c r="N70" s="4"/>
      <c r="O70" s="4" t="s">
        <v>62</v>
      </c>
    </row>
    <row r="71" spans="1:15">
      <c r="A71" s="29" t="s">
        <v>1072</v>
      </c>
      <c r="B71" s="17" t="s">
        <v>80</v>
      </c>
      <c r="C71" s="8" t="s">
        <v>43</v>
      </c>
      <c r="D71" s="7"/>
      <c r="E71" s="7"/>
      <c r="F71" s="25">
        <v>145</v>
      </c>
      <c r="G71" s="16" t="s">
        <v>1037</v>
      </c>
      <c r="H71" s="25" t="s">
        <v>1038</v>
      </c>
      <c r="I71" s="17" t="s">
        <v>1099</v>
      </c>
      <c r="J71" s="25"/>
      <c r="K71" s="31"/>
      <c r="L71" s="3"/>
      <c r="M71" s="4" t="s">
        <v>1034</v>
      </c>
      <c r="N71" s="4"/>
      <c r="O71" s="4" t="s">
        <v>62</v>
      </c>
    </row>
    <row r="72" spans="1:15">
      <c r="A72" s="29" t="s">
        <v>1073</v>
      </c>
      <c r="B72" s="34" t="s">
        <v>80</v>
      </c>
      <c r="C72" s="33" t="s">
        <v>43</v>
      </c>
      <c r="D72" s="34"/>
      <c r="E72" s="34"/>
      <c r="F72" s="34"/>
      <c r="G72" s="34"/>
      <c r="H72" s="34"/>
      <c r="I72" s="34" t="s">
        <v>1099</v>
      </c>
      <c r="J72" s="103"/>
      <c r="K72" s="99" t="s">
        <v>1074</v>
      </c>
      <c r="L72" s="3"/>
      <c r="M72" s="4" t="s">
        <v>1034</v>
      </c>
      <c r="N72" s="4"/>
      <c r="O72" s="4" t="s">
        <v>62</v>
      </c>
    </row>
    <row r="73" spans="1:15" ht="36">
      <c r="A73" s="29" t="s">
        <v>1075</v>
      </c>
      <c r="B73" s="25" t="s">
        <v>57</v>
      </c>
      <c r="C73" s="8" t="s">
        <v>43</v>
      </c>
      <c r="D73" s="7"/>
      <c r="E73" s="7"/>
      <c r="F73" s="25" t="s">
        <v>183</v>
      </c>
      <c r="G73" s="25" t="s">
        <v>184</v>
      </c>
      <c r="H73" s="25"/>
      <c r="I73" s="17" t="s">
        <v>1099</v>
      </c>
      <c r="J73" s="104"/>
      <c r="K73" s="44" t="s">
        <v>1076</v>
      </c>
      <c r="L73" s="3"/>
      <c r="M73" s="4" t="s">
        <v>1034</v>
      </c>
      <c r="N73" s="4"/>
      <c r="O73" s="4" t="s">
        <v>62</v>
      </c>
    </row>
    <row r="74" spans="1:15" ht="24.75">
      <c r="A74" s="29" t="s">
        <v>1077</v>
      </c>
      <c r="B74" s="17" t="s">
        <v>80</v>
      </c>
      <c r="C74" s="8" t="s">
        <v>43</v>
      </c>
      <c r="D74" s="7"/>
      <c r="E74" s="7"/>
      <c r="F74" s="17" t="s">
        <v>1032</v>
      </c>
      <c r="G74" s="17"/>
      <c r="H74" s="17"/>
      <c r="I74" s="17" t="s">
        <v>1099</v>
      </c>
      <c r="J74" s="17"/>
      <c r="K74" s="99" t="s">
        <v>1033</v>
      </c>
      <c r="L74" s="3"/>
      <c r="M74" s="4" t="s">
        <v>1034</v>
      </c>
      <c r="N74" s="4"/>
      <c r="O74" s="4" t="s">
        <v>62</v>
      </c>
    </row>
    <row r="75" spans="1:15">
      <c r="A75" s="29" t="s">
        <v>1078</v>
      </c>
      <c r="B75" s="17" t="s">
        <v>80</v>
      </c>
      <c r="C75" s="8" t="s">
        <v>43</v>
      </c>
      <c r="D75" s="7"/>
      <c r="E75" s="7"/>
      <c r="F75" s="8">
        <v>0</v>
      </c>
      <c r="G75" s="17"/>
      <c r="H75" s="8"/>
      <c r="I75" s="17" t="s">
        <v>1099</v>
      </c>
      <c r="J75" s="8"/>
      <c r="K75" s="33" t="s">
        <v>1079</v>
      </c>
      <c r="L75" s="3"/>
      <c r="M75" s="4" t="s">
        <v>1034</v>
      </c>
      <c r="N75" s="4"/>
      <c r="O75" s="4" t="s">
        <v>62</v>
      </c>
    </row>
    <row r="76" spans="1:15">
      <c r="A76" s="29" t="s">
        <v>1080</v>
      </c>
      <c r="B76" s="17" t="s">
        <v>80</v>
      </c>
      <c r="C76" s="8" t="s">
        <v>43</v>
      </c>
      <c r="D76" s="7"/>
      <c r="E76" s="7"/>
      <c r="F76" s="16">
        <v>16</v>
      </c>
      <c r="G76" s="17" t="s">
        <v>1037</v>
      </c>
      <c r="H76" s="16" t="s">
        <v>1038</v>
      </c>
      <c r="I76" s="17" t="s">
        <v>1099</v>
      </c>
      <c r="J76" s="16"/>
      <c r="K76" s="18"/>
      <c r="L76" s="3"/>
      <c r="M76" s="4" t="s">
        <v>1034</v>
      </c>
      <c r="N76" s="4"/>
      <c r="O76" s="4" t="s">
        <v>62</v>
      </c>
    </row>
    <row r="77" spans="1:15">
      <c r="A77" s="29" t="s">
        <v>1081</v>
      </c>
      <c r="B77" s="17" t="s">
        <v>80</v>
      </c>
      <c r="C77" s="8" t="s">
        <v>43</v>
      </c>
      <c r="D77" s="7"/>
      <c r="E77" s="7"/>
      <c r="F77" s="16">
        <v>1E-4</v>
      </c>
      <c r="G77" s="17" t="s">
        <v>1037</v>
      </c>
      <c r="H77" s="16" t="s">
        <v>1038</v>
      </c>
      <c r="I77" s="17" t="s">
        <v>1099</v>
      </c>
      <c r="J77" s="16"/>
      <c r="K77" s="18"/>
      <c r="L77" s="3"/>
      <c r="M77" s="4" t="s">
        <v>1034</v>
      </c>
      <c r="N77" s="4"/>
      <c r="O77" s="4" t="s">
        <v>62</v>
      </c>
    </row>
    <row r="78" spans="1:15" ht="24">
      <c r="A78" s="29" t="s">
        <v>1082</v>
      </c>
      <c r="B78" s="100" t="s">
        <v>80</v>
      </c>
      <c r="C78" s="101" t="s">
        <v>43</v>
      </c>
      <c r="D78" s="100"/>
      <c r="E78" s="100"/>
      <c r="F78" s="101" t="s">
        <v>1041</v>
      </c>
      <c r="G78" s="100"/>
      <c r="H78" s="101"/>
      <c r="I78" s="101" t="s">
        <v>1099</v>
      </c>
      <c r="J78" s="101"/>
      <c r="K78" s="101" t="s">
        <v>1042</v>
      </c>
      <c r="L78" s="3"/>
      <c r="M78" s="4" t="s">
        <v>1034</v>
      </c>
      <c r="N78" s="4"/>
      <c r="O78" s="4" t="s">
        <v>62</v>
      </c>
    </row>
    <row r="79" spans="1:15">
      <c r="A79" s="29" t="s">
        <v>1083</v>
      </c>
      <c r="B79" s="17" t="s">
        <v>80</v>
      </c>
      <c r="C79" s="8" t="s">
        <v>43</v>
      </c>
      <c r="D79" s="7"/>
      <c r="E79" s="7"/>
      <c r="F79" s="19">
        <v>20</v>
      </c>
      <c r="G79" s="17" t="s">
        <v>1037</v>
      </c>
      <c r="H79" s="16" t="s">
        <v>1038</v>
      </c>
      <c r="I79" s="17" t="s">
        <v>1099</v>
      </c>
      <c r="J79" s="16"/>
      <c r="K79" s="31"/>
      <c r="L79" s="3"/>
      <c r="M79" s="4" t="s">
        <v>1034</v>
      </c>
      <c r="N79" s="4"/>
      <c r="O79" s="4" t="s">
        <v>62</v>
      </c>
    </row>
    <row r="80" spans="1:15" ht="36.75">
      <c r="A80" s="29" t="s">
        <v>1084</v>
      </c>
      <c r="B80" s="17" t="s">
        <v>80</v>
      </c>
      <c r="C80" s="8" t="s">
        <v>43</v>
      </c>
      <c r="D80" s="7"/>
      <c r="E80" s="7"/>
      <c r="F80" s="17"/>
      <c r="G80" s="17"/>
      <c r="H80" s="17"/>
      <c r="I80" s="17" t="s">
        <v>1099</v>
      </c>
      <c r="J80" s="16"/>
      <c r="K80" s="99" t="s">
        <v>1085</v>
      </c>
      <c r="L80" s="3"/>
      <c r="M80" s="4" t="s">
        <v>1034</v>
      </c>
      <c r="N80" s="4"/>
      <c r="O80" s="4" t="s">
        <v>62</v>
      </c>
    </row>
    <row r="81" spans="1:15" ht="72.75">
      <c r="A81" s="29" t="s">
        <v>1086</v>
      </c>
      <c r="B81" s="16" t="s">
        <v>1047</v>
      </c>
      <c r="C81" s="8" t="s">
        <v>43</v>
      </c>
      <c r="D81" s="7"/>
      <c r="E81" s="7"/>
      <c r="F81" s="8" t="s">
        <v>1048</v>
      </c>
      <c r="G81" s="16" t="s">
        <v>1049</v>
      </c>
      <c r="H81" s="16" t="s">
        <v>1050</v>
      </c>
      <c r="I81" s="17" t="s">
        <v>1099</v>
      </c>
      <c r="J81" s="16"/>
      <c r="K81" s="99" t="s">
        <v>1051</v>
      </c>
      <c r="L81" s="3"/>
      <c r="M81" s="4" t="s">
        <v>1034</v>
      </c>
      <c r="N81" s="4"/>
      <c r="O81" s="4" t="s">
        <v>62</v>
      </c>
    </row>
    <row r="82" spans="1:15">
      <c r="A82" s="29" t="s">
        <v>1087</v>
      </c>
      <c r="B82" s="17" t="s">
        <v>80</v>
      </c>
      <c r="C82" s="8" t="s">
        <v>43</v>
      </c>
      <c r="D82" s="7"/>
      <c r="E82" s="7"/>
      <c r="F82" s="8">
        <v>0</v>
      </c>
      <c r="G82" s="16" t="s">
        <v>1037</v>
      </c>
      <c r="H82" s="16" t="s">
        <v>1038</v>
      </c>
      <c r="I82" s="17" t="s">
        <v>1099</v>
      </c>
      <c r="J82" s="16"/>
      <c r="K82" s="31"/>
      <c r="L82" s="20"/>
      <c r="M82" s="4" t="s">
        <v>1034</v>
      </c>
      <c r="N82" s="4"/>
      <c r="O82" s="4" t="s">
        <v>62</v>
      </c>
    </row>
    <row r="83" spans="1:15">
      <c r="A83" s="29" t="s">
        <v>1088</v>
      </c>
      <c r="B83" s="17" t="s">
        <v>80</v>
      </c>
      <c r="C83" s="8" t="s">
        <v>43</v>
      </c>
      <c r="D83" s="7"/>
      <c r="E83" s="7"/>
      <c r="F83" s="25">
        <v>0</v>
      </c>
      <c r="G83" s="16"/>
      <c r="H83" s="25"/>
      <c r="I83" s="17" t="s">
        <v>1099</v>
      </c>
      <c r="J83" s="25"/>
      <c r="K83" s="31" t="s">
        <v>1054</v>
      </c>
      <c r="L83" s="3"/>
      <c r="M83" s="4" t="s">
        <v>1034</v>
      </c>
      <c r="N83" s="4"/>
      <c r="O83" s="4" t="s">
        <v>62</v>
      </c>
    </row>
    <row r="84" spans="1:15" ht="24.75">
      <c r="A84" s="29" t="s">
        <v>1089</v>
      </c>
      <c r="B84" s="25" t="s">
        <v>1047</v>
      </c>
      <c r="C84" s="8" t="s">
        <v>43</v>
      </c>
      <c r="D84" s="7"/>
      <c r="E84" s="7"/>
      <c r="F84" s="25" t="s">
        <v>1056</v>
      </c>
      <c r="G84" s="16" t="s">
        <v>1057</v>
      </c>
      <c r="H84" s="25" t="s">
        <v>1058</v>
      </c>
      <c r="I84" s="17" t="s">
        <v>1099</v>
      </c>
      <c r="J84" s="4"/>
      <c r="K84" s="99" t="s">
        <v>1033</v>
      </c>
      <c r="L84" s="3"/>
      <c r="M84" s="4" t="s">
        <v>1034</v>
      </c>
      <c r="N84" s="4"/>
      <c r="O84" s="4" t="s">
        <v>62</v>
      </c>
    </row>
    <row r="85" spans="1:15" ht="48.75">
      <c r="A85" s="29" t="s">
        <v>1090</v>
      </c>
      <c r="B85" s="17" t="s">
        <v>80</v>
      </c>
      <c r="C85" s="8" t="s">
        <v>43</v>
      </c>
      <c r="D85" s="7"/>
      <c r="E85" s="7"/>
      <c r="F85" s="25" t="s">
        <v>1060</v>
      </c>
      <c r="G85" s="16" t="s">
        <v>1061</v>
      </c>
      <c r="H85" s="25" t="s">
        <v>1062</v>
      </c>
      <c r="I85" s="17" t="s">
        <v>1099</v>
      </c>
      <c r="J85" s="4"/>
      <c r="K85" s="31" t="s">
        <v>1063</v>
      </c>
      <c r="L85" s="3"/>
      <c r="M85" s="4" t="s">
        <v>1034</v>
      </c>
      <c r="N85" s="4"/>
      <c r="O85" s="4" t="s">
        <v>62</v>
      </c>
    </row>
    <row r="86" spans="1:15">
      <c r="A86" s="29" t="s">
        <v>1091</v>
      </c>
      <c r="B86" s="17" t="s">
        <v>80</v>
      </c>
      <c r="C86" s="8" t="s">
        <v>43</v>
      </c>
      <c r="D86" s="7"/>
      <c r="E86" s="7"/>
      <c r="F86" s="8"/>
      <c r="G86" s="16"/>
      <c r="H86" s="8"/>
      <c r="I86" s="17" t="s">
        <v>1099</v>
      </c>
      <c r="J86" s="8"/>
      <c r="K86" s="25"/>
      <c r="L86" s="3"/>
      <c r="M86" s="4" t="s">
        <v>1034</v>
      </c>
      <c r="N86" s="4"/>
      <c r="O86" s="4" t="s">
        <v>62</v>
      </c>
    </row>
    <row r="87" spans="1:15">
      <c r="A87" s="29" t="s">
        <v>1092</v>
      </c>
      <c r="B87" s="17" t="s">
        <v>1047</v>
      </c>
      <c r="C87" s="8" t="s">
        <v>43</v>
      </c>
      <c r="D87" s="7"/>
      <c r="E87" s="7"/>
      <c r="F87" s="25" t="s">
        <v>1067</v>
      </c>
      <c r="G87" s="16" t="s">
        <v>1061</v>
      </c>
      <c r="H87" s="25" t="s">
        <v>1068</v>
      </c>
      <c r="I87" s="17" t="s">
        <v>1099</v>
      </c>
      <c r="J87" s="8"/>
      <c r="K87" s="25"/>
      <c r="L87" s="3"/>
      <c r="M87" s="4" t="s">
        <v>1034</v>
      </c>
      <c r="N87" s="4"/>
      <c r="O87" s="4" t="s">
        <v>62</v>
      </c>
    </row>
    <row r="88" spans="1:15" ht="24">
      <c r="A88" s="29" t="s">
        <v>1093</v>
      </c>
      <c r="B88" s="17" t="s">
        <v>80</v>
      </c>
      <c r="C88" s="8" t="s">
        <v>43</v>
      </c>
      <c r="D88" s="7"/>
      <c r="E88" s="7"/>
      <c r="F88" s="8" t="s">
        <v>1070</v>
      </c>
      <c r="G88" s="16"/>
      <c r="H88" s="8"/>
      <c r="I88" s="17" t="s">
        <v>1099</v>
      </c>
      <c r="J88" s="8"/>
      <c r="K88" s="101" t="s">
        <v>1042</v>
      </c>
      <c r="L88" s="3"/>
      <c r="M88" s="4" t="s">
        <v>1034</v>
      </c>
      <c r="N88" s="4"/>
      <c r="O88" s="4" t="s">
        <v>62</v>
      </c>
    </row>
    <row r="89" spans="1:15">
      <c r="A89" s="11" t="s">
        <v>1094</v>
      </c>
      <c r="B89" s="17" t="s">
        <v>80</v>
      </c>
      <c r="C89" s="8" t="s">
        <v>43</v>
      </c>
      <c r="D89" s="7"/>
      <c r="E89" s="7"/>
      <c r="F89" s="17">
        <v>120</v>
      </c>
      <c r="G89" s="17" t="s">
        <v>1037</v>
      </c>
      <c r="H89" s="17" t="s">
        <v>1038</v>
      </c>
      <c r="I89" s="17" t="s">
        <v>1099</v>
      </c>
      <c r="J89" s="25"/>
      <c r="K89" s="31"/>
      <c r="L89" s="3"/>
      <c r="M89" s="4" t="s">
        <v>1034</v>
      </c>
      <c r="N89" s="4"/>
      <c r="O89" s="4" t="s">
        <v>62</v>
      </c>
    </row>
    <row r="90" spans="1:15">
      <c r="A90" s="29" t="s">
        <v>1095</v>
      </c>
      <c r="B90" s="17" t="s">
        <v>80</v>
      </c>
      <c r="C90" s="8" t="s">
        <v>43</v>
      </c>
      <c r="D90" s="7"/>
      <c r="E90" s="7"/>
      <c r="F90" s="25">
        <v>15</v>
      </c>
      <c r="G90" s="16" t="s">
        <v>1037</v>
      </c>
      <c r="H90" s="25" t="s">
        <v>1038</v>
      </c>
      <c r="I90" s="17" t="s">
        <v>1099</v>
      </c>
      <c r="J90" s="25"/>
      <c r="K90" s="31"/>
      <c r="L90" s="3"/>
      <c r="M90" s="4" t="s">
        <v>1034</v>
      </c>
      <c r="N90" s="4"/>
      <c r="O90" s="4" t="s">
        <v>62</v>
      </c>
    </row>
    <row r="91" spans="1:15">
      <c r="A91" s="29" t="s">
        <v>1096</v>
      </c>
      <c r="B91" s="34" t="s">
        <v>80</v>
      </c>
      <c r="C91" s="33" t="s">
        <v>43</v>
      </c>
      <c r="D91" s="34"/>
      <c r="E91" s="34"/>
      <c r="F91" s="34"/>
      <c r="G91" s="34"/>
      <c r="H91" s="34"/>
      <c r="I91" s="34" t="s">
        <v>1099</v>
      </c>
      <c r="J91" s="99"/>
      <c r="K91" s="99" t="s">
        <v>1074</v>
      </c>
      <c r="L91" s="3"/>
      <c r="M91" s="4" t="s">
        <v>1034</v>
      </c>
      <c r="N91" s="4"/>
      <c r="O91" s="4" t="s">
        <v>62</v>
      </c>
    </row>
    <row r="92" spans="1:15" ht="36">
      <c r="A92" s="29" t="s">
        <v>1097</v>
      </c>
      <c r="B92" s="25" t="s">
        <v>57</v>
      </c>
      <c r="C92" s="8" t="s">
        <v>43</v>
      </c>
      <c r="D92" s="7"/>
      <c r="E92" s="7"/>
      <c r="F92" s="25" t="s">
        <v>183</v>
      </c>
      <c r="G92" s="25" t="s">
        <v>184</v>
      </c>
      <c r="H92" s="25"/>
      <c r="I92" s="17" t="s">
        <v>1099</v>
      </c>
      <c r="J92" s="18"/>
      <c r="K92" s="31" t="s">
        <v>1076</v>
      </c>
      <c r="L92" s="3"/>
      <c r="M92" s="4" t="s">
        <v>1034</v>
      </c>
      <c r="N92" s="4"/>
      <c r="O92" s="4" t="s">
        <v>62</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7"/>
  <sheetViews>
    <sheetView zoomScaleNormal="100" workbookViewId="0">
      <pane xSplit="6" topLeftCell="I1" activePane="topRight" state="frozen"/>
      <selection activeCell="A13" sqref="A13"/>
      <selection pane="topRight" activeCell="A7" sqref="A7"/>
    </sheetView>
  </sheetViews>
  <sheetFormatPr defaultRowHeight="15"/>
  <cols>
    <col min="1" max="1" width="40.140625" style="1" customWidth="1"/>
    <col min="2" max="2" width="7.140625" style="9" customWidth="1"/>
    <col min="3" max="5" width="16.85546875" style="9" customWidth="1"/>
    <col min="6" max="6" width="15.85546875" style="9" customWidth="1"/>
    <col min="7" max="7" width="33.85546875" style="9" customWidth="1"/>
    <col min="8" max="8" width="18.85546875" style="9" bestFit="1" customWidth="1"/>
    <col min="9" max="9" width="11.42578125" style="9" bestFit="1" customWidth="1"/>
    <col min="10" max="10" width="48" style="9" customWidth="1"/>
    <col min="11" max="11" width="49.28515625" style="1" customWidth="1"/>
    <col min="12" max="12" width="36" style="1" customWidth="1"/>
    <col min="13" max="14" width="28.85546875" style="9" customWidth="1"/>
    <col min="15" max="15" width="30.42578125" style="9" customWidth="1"/>
    <col min="16" max="1026" width="9.140625" style="1" customWidth="1"/>
  </cols>
  <sheetData>
    <row r="1" spans="1:15" ht="26.25" customHeight="1">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11" t="s">
        <v>41</v>
      </c>
      <c r="B2" s="8" t="s">
        <v>42</v>
      </c>
      <c r="C2" s="8" t="s">
        <v>43</v>
      </c>
      <c r="D2" s="8"/>
      <c r="E2" s="8"/>
      <c r="F2" s="8">
        <v>1050</v>
      </c>
      <c r="G2" s="12" t="s">
        <v>44</v>
      </c>
      <c r="H2" s="12" t="s">
        <v>45</v>
      </c>
      <c r="I2" s="8" t="s">
        <v>1099</v>
      </c>
      <c r="J2" s="8"/>
      <c r="K2" s="13"/>
      <c r="L2" s="14"/>
      <c r="M2" s="4" t="s">
        <v>46</v>
      </c>
      <c r="N2" s="4"/>
      <c r="O2" s="4" t="s">
        <v>47</v>
      </c>
    </row>
    <row r="3" spans="1:15" ht="24">
      <c r="A3" s="11" t="s">
        <v>48</v>
      </c>
      <c r="B3" s="8"/>
      <c r="C3" s="8" t="s">
        <v>43</v>
      </c>
      <c r="D3" s="8"/>
      <c r="E3" s="8"/>
      <c r="F3" s="8" t="s">
        <v>49</v>
      </c>
      <c r="G3" s="8" t="s">
        <v>50</v>
      </c>
      <c r="H3" s="8" t="s">
        <v>51</v>
      </c>
      <c r="I3" s="8" t="s">
        <v>1099</v>
      </c>
      <c r="J3" s="8"/>
      <c r="K3" s="15"/>
      <c r="L3" s="3"/>
      <c r="M3" s="4" t="s">
        <v>46</v>
      </c>
      <c r="N3" s="4"/>
      <c r="O3" s="4" t="s">
        <v>52</v>
      </c>
    </row>
    <row r="4" spans="1:15">
      <c r="A4" s="11" t="s">
        <v>53</v>
      </c>
      <c r="B4" s="8" t="s">
        <v>54</v>
      </c>
      <c r="C4" s="8" t="s">
        <v>43</v>
      </c>
      <c r="D4" s="8"/>
      <c r="E4" s="8"/>
      <c r="F4" s="8">
        <v>3617</v>
      </c>
      <c r="G4" s="8" t="s">
        <v>55</v>
      </c>
      <c r="H4" s="8"/>
      <c r="I4" s="8" t="s">
        <v>1099</v>
      </c>
      <c r="J4" s="8"/>
      <c r="K4" s="13"/>
      <c r="L4" s="14"/>
      <c r="M4" s="4" t="s">
        <v>46</v>
      </c>
      <c r="N4" s="4"/>
      <c r="O4" s="4" t="s">
        <v>47</v>
      </c>
    </row>
    <row r="5" spans="1:15" ht="24">
      <c r="A5" s="11" t="s">
        <v>56</v>
      </c>
      <c r="B5" s="16" t="s">
        <v>57</v>
      </c>
      <c r="C5" s="8" t="s">
        <v>43</v>
      </c>
      <c r="D5" s="8"/>
      <c r="E5" s="8"/>
      <c r="F5" s="8" t="s">
        <v>58</v>
      </c>
      <c r="G5" s="17" t="s">
        <v>59</v>
      </c>
      <c r="H5" s="8" t="s">
        <v>60</v>
      </c>
      <c r="I5" s="8" t="s">
        <v>1099</v>
      </c>
      <c r="J5" s="8"/>
      <c r="K5" s="18" t="s">
        <v>61</v>
      </c>
      <c r="L5" s="3"/>
      <c r="M5" s="4" t="s">
        <v>46</v>
      </c>
      <c r="N5" s="4"/>
      <c r="O5" s="4" t="s">
        <v>62</v>
      </c>
    </row>
    <row r="6" spans="1:15">
      <c r="A6" s="11" t="s">
        <v>63</v>
      </c>
      <c r="B6" s="8"/>
      <c r="C6" s="8" t="s">
        <v>43</v>
      </c>
      <c r="D6" s="8"/>
      <c r="E6" s="8"/>
      <c r="F6" s="8">
        <v>0.13</v>
      </c>
      <c r="G6" s="8" t="s">
        <v>64</v>
      </c>
      <c r="H6" s="8"/>
      <c r="I6" s="8" t="s">
        <v>1099</v>
      </c>
      <c r="J6" s="8"/>
      <c r="K6" s="13"/>
      <c r="L6" s="14"/>
      <c r="M6" s="4" t="s">
        <v>46</v>
      </c>
      <c r="N6" s="4"/>
      <c r="O6" s="4" t="s">
        <v>52</v>
      </c>
    </row>
    <row r="7" spans="1:15">
      <c r="A7" s="11" t="s">
        <v>65</v>
      </c>
      <c r="B7" s="8"/>
      <c r="C7" s="8" t="s">
        <v>43</v>
      </c>
      <c r="D7" s="8"/>
      <c r="E7" s="8"/>
      <c r="F7" s="8">
        <v>0</v>
      </c>
      <c r="G7" s="8"/>
      <c r="H7" s="8"/>
      <c r="I7" s="8" t="s">
        <v>1099</v>
      </c>
      <c r="J7" s="8" t="s">
        <v>66</v>
      </c>
      <c r="K7" s="13"/>
      <c r="L7" s="14"/>
      <c r="M7" s="4" t="s">
        <v>46</v>
      </c>
      <c r="N7" s="4"/>
      <c r="O7" s="4"/>
    </row>
    <row r="8" spans="1:15" ht="24">
      <c r="A8" s="11" t="s">
        <v>67</v>
      </c>
      <c r="B8" s="8"/>
      <c r="C8" s="8" t="s">
        <v>43</v>
      </c>
      <c r="D8" s="8"/>
      <c r="E8" s="8"/>
      <c r="F8" s="8" t="s">
        <v>68</v>
      </c>
      <c r="G8" s="8" t="s">
        <v>69</v>
      </c>
      <c r="H8" s="8" t="s">
        <v>70</v>
      </c>
      <c r="I8" s="8" t="s">
        <v>1099</v>
      </c>
      <c r="J8" s="8"/>
      <c r="K8" s="19" t="s">
        <v>71</v>
      </c>
      <c r="L8" s="20"/>
      <c r="M8" s="4" t="s">
        <v>46</v>
      </c>
      <c r="N8" s="4"/>
      <c r="O8" s="4" t="s">
        <v>52</v>
      </c>
    </row>
    <row r="9" spans="1:15" s="1" customFormat="1" ht="12">
      <c r="A9" s="11" t="s">
        <v>72</v>
      </c>
      <c r="B9" s="8" t="s">
        <v>73</v>
      </c>
      <c r="C9" s="8" t="s">
        <v>43</v>
      </c>
      <c r="D9" s="8"/>
      <c r="E9" s="8"/>
      <c r="F9" s="21">
        <f>Patient!C7*Patient!C11/100</f>
        <v>826.44819998688286</v>
      </c>
      <c r="G9" s="8" t="s">
        <v>74</v>
      </c>
      <c r="H9" s="13"/>
      <c r="I9" s="8" t="s">
        <v>1099</v>
      </c>
      <c r="K9" s="8" t="s">
        <v>75</v>
      </c>
      <c r="L9" s="14"/>
      <c r="M9" s="4" t="s">
        <v>46</v>
      </c>
      <c r="N9" s="4"/>
      <c r="O9" s="4" t="s">
        <v>62</v>
      </c>
    </row>
    <row r="10" spans="1:15" ht="24">
      <c r="A10" s="11" t="s">
        <v>76</v>
      </c>
      <c r="B10" s="8"/>
      <c r="C10" s="8" t="s">
        <v>43</v>
      </c>
      <c r="D10" s="8"/>
      <c r="E10" s="8"/>
      <c r="F10" s="8" t="s">
        <v>77</v>
      </c>
      <c r="G10" s="8" t="s">
        <v>69</v>
      </c>
      <c r="H10" s="8" t="s">
        <v>78</v>
      </c>
      <c r="I10" s="8" t="s">
        <v>1099</v>
      </c>
      <c r="J10" s="8"/>
      <c r="K10" s="15"/>
      <c r="L10" s="3"/>
      <c r="M10" s="4" t="s">
        <v>46</v>
      </c>
      <c r="N10" s="4"/>
      <c r="O10" s="4" t="s">
        <v>52</v>
      </c>
    </row>
    <row r="11" spans="1:15" ht="27.75" customHeight="1">
      <c r="A11" s="11" t="s">
        <v>79</v>
      </c>
      <c r="B11" s="8" t="s">
        <v>80</v>
      </c>
      <c r="C11" s="8" t="s">
        <v>43</v>
      </c>
      <c r="D11" s="8"/>
      <c r="E11" s="8"/>
      <c r="F11" s="19" t="s">
        <v>81</v>
      </c>
      <c r="G11" s="8" t="s">
        <v>82</v>
      </c>
      <c r="H11" s="8"/>
      <c r="I11" s="8" t="s">
        <v>1099</v>
      </c>
      <c r="J11" s="8"/>
      <c r="K11" s="8"/>
      <c r="L11" s="20"/>
      <c r="M11" s="4" t="s">
        <v>46</v>
      </c>
      <c r="N11" s="4"/>
      <c r="O11" s="4" t="s">
        <v>62</v>
      </c>
    </row>
    <row r="12" spans="1:15" ht="27.75" customHeight="1">
      <c r="A12" s="11" t="s">
        <v>83</v>
      </c>
      <c r="B12" s="8" t="s">
        <v>16</v>
      </c>
      <c r="C12" s="8" t="s">
        <v>43</v>
      </c>
      <c r="D12" s="8"/>
      <c r="E12" s="8"/>
      <c r="F12" s="22">
        <f>Patient!C7*(1-Patient!C11/34)</f>
        <v>3078.9246666177987</v>
      </c>
      <c r="G12" s="8" t="s">
        <v>14</v>
      </c>
      <c r="H12" s="8" t="s">
        <v>84</v>
      </c>
      <c r="I12" s="8" t="s">
        <v>1099</v>
      </c>
      <c r="J12" s="8" t="s">
        <v>85</v>
      </c>
      <c r="K12" s="8" t="s">
        <v>86</v>
      </c>
      <c r="L12" s="20" t="s">
        <v>87</v>
      </c>
      <c r="M12" s="4" t="s">
        <v>46</v>
      </c>
      <c r="N12" s="4"/>
      <c r="O12" s="4" t="s">
        <v>62</v>
      </c>
    </row>
    <row r="13" spans="1:15" ht="24">
      <c r="A13" s="11" t="s">
        <v>88</v>
      </c>
      <c r="B13" s="8"/>
      <c r="C13" s="8" t="s">
        <v>43</v>
      </c>
      <c r="D13" s="8"/>
      <c r="E13" s="8"/>
      <c r="F13" s="8" t="s">
        <v>77</v>
      </c>
      <c r="G13" s="8" t="s">
        <v>69</v>
      </c>
      <c r="H13" s="8" t="s">
        <v>78</v>
      </c>
      <c r="I13" s="8" t="s">
        <v>1099</v>
      </c>
      <c r="J13" s="8"/>
      <c r="K13" s="15"/>
      <c r="L13" s="3"/>
      <c r="M13" s="4" t="s">
        <v>46</v>
      </c>
      <c r="N13" s="4"/>
      <c r="O13" s="4" t="s">
        <v>52</v>
      </c>
    </row>
    <row r="14" spans="1:15" ht="24">
      <c r="A14" s="11" t="s">
        <v>89</v>
      </c>
      <c r="B14" s="8" t="s">
        <v>90</v>
      </c>
      <c r="C14" s="8" t="s">
        <v>43</v>
      </c>
      <c r="D14" s="23"/>
      <c r="E14" s="23"/>
      <c r="F14" s="21">
        <f>(F9/0.000000000029)/(Patient!C7*1000)</f>
        <v>5172413.793103449</v>
      </c>
      <c r="G14" s="8" t="s">
        <v>14</v>
      </c>
      <c r="H14" s="8" t="s">
        <v>91</v>
      </c>
      <c r="I14" s="8" t="s">
        <v>1099</v>
      </c>
      <c r="J14" s="8" t="s">
        <v>85</v>
      </c>
      <c r="K14" s="24"/>
      <c r="L14" s="20"/>
      <c r="M14" s="4" t="s">
        <v>46</v>
      </c>
      <c r="N14" s="4"/>
      <c r="O14" s="4" t="s">
        <v>92</v>
      </c>
    </row>
    <row r="15" spans="1:15">
      <c r="A15" s="11" t="s">
        <v>93</v>
      </c>
      <c r="B15" s="13"/>
      <c r="C15" s="8" t="s">
        <v>43</v>
      </c>
      <c r="D15" s="8"/>
      <c r="E15" s="8"/>
      <c r="F15" s="8" t="s">
        <v>94</v>
      </c>
      <c r="G15" s="8" t="s">
        <v>95</v>
      </c>
      <c r="H15" s="8" t="s">
        <v>96</v>
      </c>
      <c r="I15" s="8" t="s">
        <v>1099</v>
      </c>
      <c r="J15" s="8"/>
      <c r="K15" s="13"/>
      <c r="L15" s="14"/>
      <c r="M15" s="4" t="s">
        <v>46</v>
      </c>
      <c r="N15" s="4"/>
      <c r="O15" s="4" t="s">
        <v>52</v>
      </c>
    </row>
    <row r="16" spans="1:15">
      <c r="A16" s="11" t="s">
        <v>97</v>
      </c>
      <c r="B16" s="8" t="s">
        <v>80</v>
      </c>
      <c r="C16" s="8" t="s">
        <v>43</v>
      </c>
      <c r="D16" s="8"/>
      <c r="E16" s="8"/>
      <c r="F16" s="19" t="s">
        <v>98</v>
      </c>
      <c r="G16" s="8" t="s">
        <v>99</v>
      </c>
      <c r="H16" s="8"/>
      <c r="I16" s="8" t="s">
        <v>1099</v>
      </c>
      <c r="J16" s="8"/>
      <c r="K16" s="13"/>
      <c r="L16" s="14"/>
      <c r="M16" s="4" t="s">
        <v>46</v>
      </c>
      <c r="N16" s="4"/>
      <c r="O16" s="4" t="s">
        <v>62</v>
      </c>
    </row>
    <row r="17" spans="1:15">
      <c r="A17" s="11" t="s">
        <v>100</v>
      </c>
      <c r="B17" s="16" t="s">
        <v>101</v>
      </c>
      <c r="C17" s="16" t="s">
        <v>43</v>
      </c>
      <c r="D17" s="16"/>
      <c r="E17" s="16"/>
      <c r="F17" s="25" t="s">
        <v>102</v>
      </c>
      <c r="G17" s="25" t="s">
        <v>103</v>
      </c>
      <c r="H17" s="25" t="s">
        <v>104</v>
      </c>
      <c r="I17" s="8" t="s">
        <v>1099</v>
      </c>
      <c r="J17" s="25"/>
      <c r="K17" s="3"/>
      <c r="L17" s="3"/>
      <c r="M17" s="4" t="s">
        <v>46</v>
      </c>
      <c r="N17" s="4"/>
      <c r="O17" s="4" t="s">
        <v>62</v>
      </c>
    </row>
    <row r="18" spans="1:15">
      <c r="A18" s="11" t="s">
        <v>105</v>
      </c>
      <c r="B18" s="13"/>
      <c r="C18" s="8" t="s">
        <v>43</v>
      </c>
      <c r="D18" s="8"/>
      <c r="E18" s="8"/>
      <c r="F18" s="8">
        <v>2.3E-3</v>
      </c>
      <c r="G18" s="8" t="s">
        <v>106</v>
      </c>
      <c r="H18" s="13"/>
      <c r="I18" s="8" t="s">
        <v>1099</v>
      </c>
      <c r="J18" s="13"/>
      <c r="K18" s="8"/>
      <c r="L18" s="14"/>
      <c r="M18" s="4" t="s">
        <v>46</v>
      </c>
      <c r="N18" s="4"/>
      <c r="O18" s="4" t="s">
        <v>107</v>
      </c>
    </row>
    <row r="19" spans="1:15">
      <c r="A19" s="11" t="s">
        <v>108</v>
      </c>
      <c r="B19" s="13"/>
      <c r="C19" s="8" t="s">
        <v>43</v>
      </c>
      <c r="D19" s="8"/>
      <c r="E19" s="8"/>
      <c r="F19" s="8">
        <v>1.2999999999999999E-3</v>
      </c>
      <c r="G19" s="8" t="s">
        <v>106</v>
      </c>
      <c r="H19" s="13"/>
      <c r="I19" s="8" t="s">
        <v>1099</v>
      </c>
      <c r="J19" s="13"/>
      <c r="K19" s="8"/>
      <c r="L19" s="14"/>
      <c r="M19" s="4" t="s">
        <v>46</v>
      </c>
      <c r="N19" s="4"/>
      <c r="O19" s="4" t="s">
        <v>107</v>
      </c>
    </row>
    <row r="20" spans="1:15">
      <c r="A20" s="11" t="s">
        <v>109</v>
      </c>
      <c r="B20" s="19" t="s">
        <v>90</v>
      </c>
      <c r="C20" s="8" t="s">
        <v>43</v>
      </c>
      <c r="D20" s="8"/>
      <c r="E20" s="8"/>
      <c r="F20" s="26">
        <v>7000</v>
      </c>
      <c r="G20" s="16" t="s">
        <v>110</v>
      </c>
      <c r="H20" s="16" t="s">
        <v>111</v>
      </c>
      <c r="I20" s="8" t="s">
        <v>1099</v>
      </c>
      <c r="J20" s="16"/>
      <c r="K20" s="15" t="s">
        <v>112</v>
      </c>
      <c r="L20" s="3"/>
      <c r="M20" s="4" t="s">
        <v>46</v>
      </c>
      <c r="N20" s="4"/>
      <c r="O20" s="4" t="s">
        <v>113</v>
      </c>
    </row>
    <row r="21" spans="1:15">
      <c r="A21" s="27" t="s">
        <v>114</v>
      </c>
      <c r="B21" s="2" t="s">
        <v>1</v>
      </c>
      <c r="C21" s="10" t="s">
        <v>30</v>
      </c>
      <c r="D21" s="10" t="s">
        <v>31</v>
      </c>
      <c r="E21" s="10" t="s">
        <v>32</v>
      </c>
      <c r="F21" s="10" t="s">
        <v>115</v>
      </c>
      <c r="G21" s="28" t="s">
        <v>116</v>
      </c>
      <c r="H21" s="28" t="s">
        <v>117</v>
      </c>
      <c r="I21" s="28" t="s">
        <v>1098</v>
      </c>
      <c r="J21" s="2" t="s">
        <v>35</v>
      </c>
      <c r="K21" s="2" t="s">
        <v>36</v>
      </c>
      <c r="L21" s="28" t="s">
        <v>37</v>
      </c>
      <c r="M21" s="10" t="s">
        <v>38</v>
      </c>
      <c r="N21" s="10" t="s">
        <v>39</v>
      </c>
      <c r="O21" s="10" t="s">
        <v>40</v>
      </c>
    </row>
    <row r="22" spans="1:15" ht="56.25">
      <c r="A22" s="29" t="s">
        <v>118</v>
      </c>
      <c r="B22" s="17" t="s">
        <v>119</v>
      </c>
      <c r="C22" s="8" t="s">
        <v>43</v>
      </c>
      <c r="D22" s="8"/>
      <c r="E22" s="8"/>
      <c r="F22" s="17" t="s">
        <v>120</v>
      </c>
      <c r="G22" s="17" t="s">
        <v>121</v>
      </c>
      <c r="H22" s="17"/>
      <c r="I22" s="17" t="s">
        <v>1099</v>
      </c>
      <c r="J22" s="17"/>
      <c r="K22" s="30" t="s">
        <v>122</v>
      </c>
      <c r="L22" s="3"/>
      <c r="M22" s="4" t="s">
        <v>46</v>
      </c>
      <c r="N22" s="4"/>
      <c r="O22" s="4" t="s">
        <v>62</v>
      </c>
    </row>
    <row r="23" spans="1:15" ht="22.5">
      <c r="A23" s="29" t="s">
        <v>123</v>
      </c>
      <c r="B23" s="17" t="s">
        <v>101</v>
      </c>
      <c r="C23" s="8" t="s">
        <v>43</v>
      </c>
      <c r="D23" s="8"/>
      <c r="E23" s="8"/>
      <c r="F23" s="17" t="s">
        <v>124</v>
      </c>
      <c r="G23" s="17" t="s">
        <v>103</v>
      </c>
      <c r="H23" s="17" t="s">
        <v>104</v>
      </c>
      <c r="I23" s="17" t="s">
        <v>1099</v>
      </c>
      <c r="J23" s="17"/>
      <c r="K23" s="30" t="s">
        <v>125</v>
      </c>
      <c r="L23" s="3"/>
      <c r="M23" s="4" t="s">
        <v>46</v>
      </c>
      <c r="N23" s="4"/>
      <c r="O23" s="4" t="s">
        <v>62</v>
      </c>
    </row>
    <row r="24" spans="1:15">
      <c r="A24" s="11" t="s">
        <v>126</v>
      </c>
      <c r="B24" s="17" t="s">
        <v>101</v>
      </c>
      <c r="C24" s="8" t="s">
        <v>43</v>
      </c>
      <c r="D24" s="8"/>
      <c r="E24" s="8"/>
      <c r="F24" s="8" t="s">
        <v>127</v>
      </c>
      <c r="G24" s="17" t="s">
        <v>103</v>
      </c>
      <c r="H24" s="8" t="s">
        <v>128</v>
      </c>
      <c r="I24" s="17" t="s">
        <v>1099</v>
      </c>
      <c r="J24" s="8"/>
      <c r="K24" s="8" t="s">
        <v>129</v>
      </c>
      <c r="L24" s="3"/>
      <c r="M24" s="4" t="s">
        <v>46</v>
      </c>
      <c r="N24" s="4"/>
      <c r="O24" s="4" t="s">
        <v>130</v>
      </c>
    </row>
    <row r="25" spans="1:15">
      <c r="A25" s="11" t="s">
        <v>131</v>
      </c>
      <c r="B25" s="17" t="s">
        <v>119</v>
      </c>
      <c r="C25" s="8" t="s">
        <v>43</v>
      </c>
      <c r="D25" s="8"/>
      <c r="E25" s="8"/>
      <c r="F25" s="16" t="s">
        <v>132</v>
      </c>
      <c r="G25" s="17" t="s">
        <v>133</v>
      </c>
      <c r="H25" s="16" t="s">
        <v>128</v>
      </c>
      <c r="I25" s="17" t="s">
        <v>1099</v>
      </c>
      <c r="J25" s="16"/>
      <c r="K25" s="8" t="s">
        <v>134</v>
      </c>
      <c r="L25" s="3"/>
      <c r="M25" s="4" t="s">
        <v>46</v>
      </c>
      <c r="N25" s="4"/>
      <c r="O25" s="4" t="s">
        <v>62</v>
      </c>
    </row>
    <row r="26" spans="1:15" ht="36">
      <c r="A26" s="11" t="s">
        <v>135</v>
      </c>
      <c r="B26" s="17" t="s">
        <v>136</v>
      </c>
      <c r="C26" s="8" t="s">
        <v>43</v>
      </c>
      <c r="D26" s="8"/>
      <c r="E26" s="8"/>
      <c r="F26" s="16" t="s">
        <v>137</v>
      </c>
      <c r="G26" s="17" t="s">
        <v>138</v>
      </c>
      <c r="H26" s="16" t="s">
        <v>139</v>
      </c>
      <c r="I26" s="17" t="s">
        <v>1099</v>
      </c>
      <c r="J26" s="16"/>
      <c r="K26" s="8" t="s">
        <v>140</v>
      </c>
      <c r="L26" s="3"/>
      <c r="M26" s="4" t="s">
        <v>46</v>
      </c>
      <c r="N26" s="4"/>
      <c r="O26" s="4" t="s">
        <v>62</v>
      </c>
    </row>
    <row r="27" spans="1:15" ht="24">
      <c r="A27" s="11" t="s">
        <v>141</v>
      </c>
      <c r="B27" s="16" t="s">
        <v>119</v>
      </c>
      <c r="C27" s="8" t="s">
        <v>43</v>
      </c>
      <c r="D27" s="8"/>
      <c r="E27" s="8"/>
      <c r="F27" s="19" t="s">
        <v>142</v>
      </c>
      <c r="G27" s="16" t="s">
        <v>103</v>
      </c>
      <c r="H27" s="16" t="s">
        <v>143</v>
      </c>
      <c r="I27" s="17" t="s">
        <v>1099</v>
      </c>
      <c r="J27" s="16"/>
      <c r="K27" s="3"/>
      <c r="L27" s="3"/>
      <c r="M27" s="4" t="s">
        <v>46</v>
      </c>
      <c r="N27" s="4"/>
      <c r="O27" s="4" t="s">
        <v>62</v>
      </c>
    </row>
    <row r="28" spans="1:15" ht="60">
      <c r="A28" s="11" t="s">
        <v>144</v>
      </c>
      <c r="B28" s="16" t="s">
        <v>145</v>
      </c>
      <c r="C28" s="8" t="s">
        <v>43</v>
      </c>
      <c r="D28" s="8"/>
      <c r="E28" s="8"/>
      <c r="F28" s="8" t="s">
        <v>146</v>
      </c>
      <c r="G28" s="16" t="s">
        <v>147</v>
      </c>
      <c r="H28" s="16"/>
      <c r="I28" s="17" t="s">
        <v>1099</v>
      </c>
      <c r="J28" s="16"/>
      <c r="K28" s="3"/>
      <c r="L28" s="3"/>
      <c r="M28" s="4" t="s">
        <v>46</v>
      </c>
      <c r="N28" s="4"/>
      <c r="O28" s="4" t="s">
        <v>130</v>
      </c>
    </row>
    <row r="29" spans="1:15">
      <c r="A29" s="11" t="s">
        <v>148</v>
      </c>
      <c r="B29" s="16" t="s">
        <v>101</v>
      </c>
      <c r="C29" s="16" t="s">
        <v>43</v>
      </c>
      <c r="D29" s="16"/>
      <c r="E29" s="16"/>
      <c r="F29" s="25" t="s">
        <v>149</v>
      </c>
      <c r="G29" s="25" t="s">
        <v>103</v>
      </c>
      <c r="H29" s="25" t="s">
        <v>104</v>
      </c>
      <c r="I29" s="17" t="s">
        <v>1099</v>
      </c>
      <c r="J29" s="16"/>
      <c r="K29" s="3"/>
      <c r="L29" s="3"/>
      <c r="M29" s="4" t="s">
        <v>46</v>
      </c>
      <c r="N29" s="4"/>
      <c r="O29" s="4" t="s">
        <v>62</v>
      </c>
    </row>
    <row r="30" spans="1:15">
      <c r="A30" s="11" t="s">
        <v>150</v>
      </c>
      <c r="B30" s="16" t="s">
        <v>57</v>
      </c>
      <c r="C30" s="8" t="s">
        <v>43</v>
      </c>
      <c r="D30" s="8"/>
      <c r="E30" s="8"/>
      <c r="F30" s="16" t="s">
        <v>151</v>
      </c>
      <c r="G30" s="17" t="s">
        <v>152</v>
      </c>
      <c r="H30" s="16"/>
      <c r="I30" s="17" t="s">
        <v>1099</v>
      </c>
      <c r="J30" s="16"/>
      <c r="K30" s="3" t="s">
        <v>153</v>
      </c>
      <c r="L30" s="3"/>
      <c r="M30" s="4" t="s">
        <v>46</v>
      </c>
      <c r="N30" s="4"/>
      <c r="O30" s="4" t="s">
        <v>62</v>
      </c>
    </row>
    <row r="31" spans="1:15" ht="36.75">
      <c r="A31" s="11" t="s">
        <v>154</v>
      </c>
      <c r="B31" s="8" t="s">
        <v>101</v>
      </c>
      <c r="C31" s="8" t="s">
        <v>43</v>
      </c>
      <c r="D31" s="4" t="s">
        <v>155</v>
      </c>
      <c r="E31" s="4" t="s">
        <v>156</v>
      </c>
      <c r="F31" s="7" t="str">
        <f>IF(Patient!C7&lt;&gt;"Male",D31,E31)</f>
        <v>[13.8,17.2]</v>
      </c>
      <c r="G31" s="16" t="s">
        <v>14</v>
      </c>
      <c r="H31" s="16" t="s">
        <v>157</v>
      </c>
      <c r="I31" s="17" t="s">
        <v>1099</v>
      </c>
      <c r="J31" s="16"/>
      <c r="K31" s="31" t="s">
        <v>158</v>
      </c>
      <c r="L31" s="20" t="s">
        <v>159</v>
      </c>
      <c r="M31" s="4" t="s">
        <v>46</v>
      </c>
      <c r="N31" s="4"/>
      <c r="O31" s="4" t="s">
        <v>62</v>
      </c>
    </row>
    <row r="32" spans="1:15">
      <c r="A32" s="11" t="s">
        <v>160</v>
      </c>
      <c r="B32" s="17" t="s">
        <v>145</v>
      </c>
      <c r="C32" s="8" t="s">
        <v>43</v>
      </c>
      <c r="D32" s="8"/>
      <c r="E32" s="8"/>
      <c r="F32" s="25">
        <v>0.40600000000000003</v>
      </c>
      <c r="G32" s="16" t="s">
        <v>152</v>
      </c>
      <c r="H32" s="25"/>
      <c r="I32" s="17" t="s">
        <v>1099</v>
      </c>
      <c r="J32" s="25"/>
      <c r="K32" s="3" t="s">
        <v>161</v>
      </c>
      <c r="L32" s="3"/>
      <c r="M32" s="4" t="s">
        <v>46</v>
      </c>
      <c r="N32" s="4"/>
      <c r="O32" s="4" t="s">
        <v>62</v>
      </c>
    </row>
    <row r="33" spans="1:15" ht="24">
      <c r="A33" s="11" t="s">
        <v>162</v>
      </c>
      <c r="B33" s="17" t="s">
        <v>119</v>
      </c>
      <c r="C33" s="8" t="s">
        <v>43</v>
      </c>
      <c r="D33" s="8"/>
      <c r="E33" s="8"/>
      <c r="F33" s="25" t="s">
        <v>163</v>
      </c>
      <c r="G33" s="16" t="s">
        <v>164</v>
      </c>
      <c r="H33" s="25" t="s">
        <v>165</v>
      </c>
      <c r="I33" s="17" t="s">
        <v>1099</v>
      </c>
      <c r="J33" s="4"/>
      <c r="K33" s="3" t="s">
        <v>166</v>
      </c>
      <c r="L33" s="3"/>
      <c r="M33" s="4" t="s">
        <v>46</v>
      </c>
      <c r="N33" s="4"/>
      <c r="O33" s="4" t="s">
        <v>62</v>
      </c>
    </row>
    <row r="34" spans="1:15">
      <c r="A34" s="11" t="s">
        <v>167</v>
      </c>
      <c r="B34" s="16" t="s">
        <v>145</v>
      </c>
      <c r="C34" s="8" t="s">
        <v>43</v>
      </c>
      <c r="D34" s="8"/>
      <c r="E34" s="8"/>
      <c r="F34" s="25" t="s">
        <v>168</v>
      </c>
      <c r="G34" s="16" t="s">
        <v>169</v>
      </c>
      <c r="H34" s="25"/>
      <c r="I34" s="17" t="s">
        <v>1099</v>
      </c>
      <c r="J34" s="4"/>
      <c r="K34" s="3"/>
      <c r="L34" s="3"/>
      <c r="M34" s="4" t="s">
        <v>46</v>
      </c>
      <c r="N34" s="4"/>
      <c r="O34" s="4" t="s">
        <v>130</v>
      </c>
    </row>
    <row r="35" spans="1:15" ht="24">
      <c r="A35" s="11" t="s">
        <v>170</v>
      </c>
      <c r="B35" s="17" t="s">
        <v>119</v>
      </c>
      <c r="C35" s="8" t="s">
        <v>43</v>
      </c>
      <c r="D35" s="8"/>
      <c r="E35" s="8"/>
      <c r="F35" s="8" t="s">
        <v>171</v>
      </c>
      <c r="G35" s="16" t="s">
        <v>172</v>
      </c>
      <c r="H35" s="8" t="s">
        <v>173</v>
      </c>
      <c r="I35" s="17" t="s">
        <v>1099</v>
      </c>
      <c r="J35" s="8"/>
      <c r="K35" s="3" t="s">
        <v>174</v>
      </c>
      <c r="L35" s="3"/>
      <c r="M35" s="4" t="s">
        <v>46</v>
      </c>
      <c r="N35" s="4"/>
      <c r="O35" s="4" t="s">
        <v>62</v>
      </c>
    </row>
    <row r="36" spans="1:15" ht="24">
      <c r="A36" s="11" t="s">
        <v>175</v>
      </c>
      <c r="B36" s="17" t="s">
        <v>101</v>
      </c>
      <c r="C36" s="8" t="s">
        <v>43</v>
      </c>
      <c r="D36" s="8"/>
      <c r="E36" s="8"/>
      <c r="F36" s="8" t="s">
        <v>176</v>
      </c>
      <c r="G36" s="16" t="s">
        <v>103</v>
      </c>
      <c r="H36" s="8" t="s">
        <v>177</v>
      </c>
      <c r="I36" s="17" t="s">
        <v>1099</v>
      </c>
      <c r="J36" s="8"/>
      <c r="K36" s="32" t="s">
        <v>178</v>
      </c>
      <c r="L36" s="3"/>
      <c r="M36" s="4" t="s">
        <v>46</v>
      </c>
      <c r="N36" s="4"/>
      <c r="O36" s="4" t="s">
        <v>130</v>
      </c>
    </row>
    <row r="37" spans="1:15">
      <c r="A37" s="11" t="s">
        <v>179</v>
      </c>
      <c r="B37" s="25" t="s">
        <v>57</v>
      </c>
      <c r="C37" s="33" t="s">
        <v>43</v>
      </c>
      <c r="D37" s="33"/>
      <c r="E37" s="33"/>
      <c r="F37" s="34" t="s">
        <v>180</v>
      </c>
      <c r="G37" s="34" t="s">
        <v>103</v>
      </c>
      <c r="H37" s="34" t="s">
        <v>128</v>
      </c>
      <c r="I37" s="34" t="s">
        <v>1099</v>
      </c>
      <c r="J37" s="34"/>
      <c r="K37" s="3" t="s">
        <v>181</v>
      </c>
      <c r="L37" s="3"/>
      <c r="M37" s="4" t="s">
        <v>46</v>
      </c>
      <c r="N37" s="4"/>
      <c r="O37" s="4" t="s">
        <v>62</v>
      </c>
    </row>
    <row r="38" spans="1:15" ht="36">
      <c r="A38" s="11" t="s">
        <v>182</v>
      </c>
      <c r="B38" s="25" t="s">
        <v>57</v>
      </c>
      <c r="C38" s="8" t="s">
        <v>43</v>
      </c>
      <c r="D38" s="8"/>
      <c r="E38" s="8"/>
      <c r="F38" s="25" t="s">
        <v>183</v>
      </c>
      <c r="G38" s="25" t="s">
        <v>184</v>
      </c>
      <c r="H38" s="25"/>
      <c r="I38" s="17" t="s">
        <v>1099</v>
      </c>
      <c r="J38" s="35" t="s">
        <v>185</v>
      </c>
      <c r="K38" s="36" t="s">
        <v>186</v>
      </c>
      <c r="L38" s="37" t="s">
        <v>187</v>
      </c>
      <c r="M38" s="4" t="s">
        <v>46</v>
      </c>
      <c r="N38" s="4"/>
      <c r="O38" s="4" t="s">
        <v>62</v>
      </c>
    </row>
    <row r="39" spans="1:15">
      <c r="A39" s="27" t="s">
        <v>188</v>
      </c>
      <c r="B39" s="2" t="s">
        <v>1</v>
      </c>
      <c r="C39" s="10" t="s">
        <v>30</v>
      </c>
      <c r="D39" s="10" t="s">
        <v>31</v>
      </c>
      <c r="E39" s="10" t="s">
        <v>32</v>
      </c>
      <c r="F39" s="10" t="s">
        <v>115</v>
      </c>
      <c r="G39" s="28" t="s">
        <v>116</v>
      </c>
      <c r="H39" s="28" t="s">
        <v>117</v>
      </c>
      <c r="I39" s="28" t="s">
        <v>1098</v>
      </c>
      <c r="J39" s="2" t="s">
        <v>35</v>
      </c>
      <c r="K39" s="2" t="s">
        <v>36</v>
      </c>
      <c r="L39" s="28" t="s">
        <v>37</v>
      </c>
      <c r="M39" s="10" t="s">
        <v>38</v>
      </c>
      <c r="N39" s="10" t="s">
        <v>39</v>
      </c>
      <c r="O39" s="10"/>
    </row>
    <row r="40" spans="1:15">
      <c r="A40" s="11" t="s">
        <v>189</v>
      </c>
      <c r="B40" s="8" t="s">
        <v>190</v>
      </c>
      <c r="C40" s="8" t="s">
        <v>43</v>
      </c>
      <c r="D40" s="8"/>
      <c r="E40" s="8"/>
      <c r="F40" s="8">
        <v>40</v>
      </c>
      <c r="G40" s="8" t="s">
        <v>14</v>
      </c>
      <c r="H40" s="8" t="s">
        <v>191</v>
      </c>
      <c r="I40" s="8" t="s">
        <v>1099</v>
      </c>
      <c r="J40" s="8"/>
      <c r="K40" s="3"/>
      <c r="L40" s="3"/>
      <c r="M40" s="4" t="s">
        <v>46</v>
      </c>
      <c r="N40" s="4"/>
      <c r="O40" s="4" t="s">
        <v>62</v>
      </c>
    </row>
    <row r="41" spans="1:15">
      <c r="A41" s="11" t="s">
        <v>192</v>
      </c>
      <c r="B41" s="8" t="s">
        <v>190</v>
      </c>
      <c r="C41" s="8" t="s">
        <v>43</v>
      </c>
      <c r="D41" s="8"/>
      <c r="E41" s="8"/>
      <c r="F41" s="8">
        <v>95</v>
      </c>
      <c r="G41" s="8" t="s">
        <v>14</v>
      </c>
      <c r="H41" s="8" t="s">
        <v>193</v>
      </c>
      <c r="I41" s="8" t="s">
        <v>1099</v>
      </c>
      <c r="J41" s="8"/>
      <c r="K41" s="3"/>
      <c r="L41" s="3"/>
      <c r="M41" s="4" t="s">
        <v>46</v>
      </c>
      <c r="N41" s="4"/>
      <c r="O41" s="4" t="s">
        <v>62</v>
      </c>
    </row>
    <row r="42" spans="1:15">
      <c r="A42" s="11" t="s">
        <v>194</v>
      </c>
      <c r="B42" s="8" t="s">
        <v>190</v>
      </c>
      <c r="C42" s="8" t="s">
        <v>43</v>
      </c>
      <c r="D42" s="8"/>
      <c r="E42" s="8"/>
      <c r="F42" s="19">
        <v>45</v>
      </c>
      <c r="G42" s="8" t="s">
        <v>14</v>
      </c>
      <c r="H42" s="8" t="s">
        <v>191</v>
      </c>
      <c r="I42" s="8" t="s">
        <v>1099</v>
      </c>
      <c r="J42" s="8"/>
      <c r="K42" s="3"/>
      <c r="L42" s="3"/>
      <c r="M42" s="4" t="s">
        <v>46</v>
      </c>
      <c r="N42" s="4"/>
      <c r="O42" s="4" t="s">
        <v>62</v>
      </c>
    </row>
    <row r="43" spans="1:15">
      <c r="A43" s="11" t="s">
        <v>195</v>
      </c>
      <c r="B43" s="8" t="s">
        <v>190</v>
      </c>
      <c r="C43" s="8" t="s">
        <v>43</v>
      </c>
      <c r="D43" s="8"/>
      <c r="E43" s="8"/>
      <c r="F43" s="19">
        <v>40</v>
      </c>
      <c r="G43" s="8" t="s">
        <v>14</v>
      </c>
      <c r="H43" s="8" t="s">
        <v>196</v>
      </c>
      <c r="I43" s="8" t="s">
        <v>1099</v>
      </c>
      <c r="J43" s="8"/>
      <c r="K43" s="3"/>
      <c r="L43" s="3"/>
      <c r="M43" s="4" t="s">
        <v>46</v>
      </c>
      <c r="N43" s="4"/>
      <c r="O43" s="4" t="s">
        <v>62</v>
      </c>
    </row>
    <row r="44" spans="1:15">
      <c r="A44" s="11" t="s">
        <v>197</v>
      </c>
      <c r="B44" s="8" t="s">
        <v>190</v>
      </c>
      <c r="C44" s="8" t="s">
        <v>43</v>
      </c>
      <c r="D44" s="8"/>
      <c r="E44" s="8"/>
      <c r="F44" s="19">
        <v>40</v>
      </c>
      <c r="G44" s="8" t="s">
        <v>14</v>
      </c>
      <c r="H44" s="8" t="s">
        <v>198</v>
      </c>
      <c r="I44" s="8" t="s">
        <v>1099</v>
      </c>
      <c r="J44" s="8"/>
      <c r="K44" s="3"/>
      <c r="L44" s="3"/>
      <c r="M44" s="4" t="s">
        <v>46</v>
      </c>
      <c r="N44" s="4"/>
      <c r="O44" s="4" t="s">
        <v>62</v>
      </c>
    </row>
    <row r="45" spans="1:15">
      <c r="A45" s="11" t="s">
        <v>199</v>
      </c>
      <c r="B45" s="8" t="s">
        <v>190</v>
      </c>
      <c r="C45" s="8" t="s">
        <v>43</v>
      </c>
      <c r="D45" s="8"/>
      <c r="E45" s="8"/>
      <c r="F45" s="19">
        <v>104</v>
      </c>
      <c r="G45" s="8" t="s">
        <v>14</v>
      </c>
      <c r="H45" s="8" t="s">
        <v>196</v>
      </c>
      <c r="I45" s="8" t="s">
        <v>1099</v>
      </c>
      <c r="J45" s="8"/>
      <c r="K45" s="3"/>
      <c r="L45" s="3"/>
      <c r="M45" s="4" t="s">
        <v>46</v>
      </c>
      <c r="N45" s="4"/>
      <c r="O45" s="4" t="s">
        <v>62</v>
      </c>
    </row>
    <row r="46" spans="1:15">
      <c r="A46" s="11" t="s">
        <v>200</v>
      </c>
      <c r="B46" s="8" t="s">
        <v>190</v>
      </c>
      <c r="C46" s="8" t="s">
        <v>43</v>
      </c>
      <c r="D46" s="8"/>
      <c r="E46" s="8"/>
      <c r="F46" s="8">
        <v>40</v>
      </c>
      <c r="G46" s="8" t="s">
        <v>14</v>
      </c>
      <c r="H46" s="8" t="s">
        <v>191</v>
      </c>
      <c r="I46" s="8" t="s">
        <v>1099</v>
      </c>
      <c r="J46" s="8"/>
      <c r="K46" s="3"/>
      <c r="L46" s="3"/>
      <c r="M46" s="4" t="s">
        <v>46</v>
      </c>
      <c r="N46" s="4"/>
      <c r="O46" s="4" t="s">
        <v>62</v>
      </c>
    </row>
    <row r="47" spans="1:15">
      <c r="A47" s="11" t="s">
        <v>201</v>
      </c>
      <c r="B47" s="8" t="s">
        <v>190</v>
      </c>
      <c r="C47" s="8" t="s">
        <v>43</v>
      </c>
      <c r="D47" s="8"/>
      <c r="E47" s="8"/>
      <c r="F47" s="8">
        <v>45</v>
      </c>
      <c r="G47" s="8" t="s">
        <v>14</v>
      </c>
      <c r="H47" s="8" t="s">
        <v>191</v>
      </c>
      <c r="I47" s="8" t="s">
        <v>1099</v>
      </c>
      <c r="J47" s="8"/>
      <c r="K47" s="3"/>
      <c r="L47" s="3"/>
      <c r="M47" s="4" t="s">
        <v>46</v>
      </c>
      <c r="N47" s="4"/>
      <c r="O47" s="4" t="s">
        <v>62</v>
      </c>
    </row>
    <row r="48" spans="1:15">
      <c r="A48" s="2" t="s">
        <v>202</v>
      </c>
      <c r="B48" s="10" t="s">
        <v>1</v>
      </c>
      <c r="C48" s="10" t="s">
        <v>30</v>
      </c>
      <c r="D48" s="10" t="s">
        <v>31</v>
      </c>
      <c r="E48" s="10" t="s">
        <v>32</v>
      </c>
      <c r="F48" s="10" t="s">
        <v>33</v>
      </c>
      <c r="G48" s="10" t="s">
        <v>3</v>
      </c>
      <c r="H48" s="10" t="s">
        <v>34</v>
      </c>
      <c r="I48" s="28" t="s">
        <v>1098</v>
      </c>
      <c r="J48" s="10" t="s">
        <v>35</v>
      </c>
      <c r="K48" s="10" t="s">
        <v>36</v>
      </c>
      <c r="L48" s="10" t="s">
        <v>37</v>
      </c>
      <c r="M48" s="10" t="s">
        <v>38</v>
      </c>
      <c r="N48" s="10" t="s">
        <v>39</v>
      </c>
      <c r="O48" s="10"/>
    </row>
    <row r="49" spans="1:15" ht="24">
      <c r="A49" s="38" t="s">
        <v>48</v>
      </c>
      <c r="B49" s="8"/>
      <c r="C49" s="8" t="s">
        <v>43</v>
      </c>
      <c r="D49" s="8"/>
      <c r="E49" s="8"/>
      <c r="F49" s="8" t="s">
        <v>49</v>
      </c>
      <c r="G49" s="8" t="s">
        <v>50</v>
      </c>
      <c r="H49" s="8" t="s">
        <v>51</v>
      </c>
      <c r="I49" s="8" t="s">
        <v>1099</v>
      </c>
      <c r="J49" s="3" t="s">
        <v>203</v>
      </c>
      <c r="K49" s="3"/>
      <c r="L49" s="3"/>
      <c r="M49" s="4" t="s">
        <v>204</v>
      </c>
      <c r="N49" s="7" t="s">
        <v>205</v>
      </c>
      <c r="O49" s="4" t="s">
        <v>62</v>
      </c>
    </row>
    <row r="50" spans="1:15">
      <c r="A50" s="38" t="s">
        <v>206</v>
      </c>
      <c r="B50" s="17" t="s">
        <v>207</v>
      </c>
      <c r="C50" s="8" t="s">
        <v>43</v>
      </c>
      <c r="D50" s="8"/>
      <c r="E50" s="8"/>
      <c r="F50" s="8" t="s">
        <v>208</v>
      </c>
      <c r="G50" s="17" t="s">
        <v>103</v>
      </c>
      <c r="H50" s="8" t="s">
        <v>128</v>
      </c>
      <c r="I50" s="8" t="s">
        <v>1099</v>
      </c>
      <c r="J50" s="3" t="s">
        <v>209</v>
      </c>
      <c r="K50" s="3"/>
      <c r="L50" s="3"/>
      <c r="M50" s="4" t="s">
        <v>204</v>
      </c>
      <c r="N50" s="7" t="s">
        <v>205</v>
      </c>
      <c r="O50" s="4" t="s">
        <v>62</v>
      </c>
    </row>
    <row r="51" spans="1:15">
      <c r="A51" s="38" t="s">
        <v>210</v>
      </c>
      <c r="B51" s="8" t="s">
        <v>190</v>
      </c>
      <c r="C51" s="8" t="s">
        <v>43</v>
      </c>
      <c r="D51" s="8"/>
      <c r="E51" s="8"/>
      <c r="F51" s="8">
        <v>95</v>
      </c>
      <c r="G51" s="8" t="s">
        <v>14</v>
      </c>
      <c r="H51" s="8" t="s">
        <v>193</v>
      </c>
      <c r="I51" s="8" t="s">
        <v>1099</v>
      </c>
      <c r="J51" s="3" t="s">
        <v>203</v>
      </c>
      <c r="K51" s="3"/>
      <c r="L51" s="3"/>
      <c r="M51" s="4" t="s">
        <v>204</v>
      </c>
      <c r="N51" s="7" t="s">
        <v>205</v>
      </c>
      <c r="O51" s="4" t="s">
        <v>62</v>
      </c>
    </row>
    <row r="52" spans="1:15">
      <c r="A52" s="38" t="s">
        <v>211</v>
      </c>
      <c r="B52" s="8" t="s">
        <v>190</v>
      </c>
      <c r="C52" s="8" t="s">
        <v>43</v>
      </c>
      <c r="D52" s="8"/>
      <c r="E52" s="8"/>
      <c r="F52" s="8">
        <v>40</v>
      </c>
      <c r="G52" s="8" t="s">
        <v>14</v>
      </c>
      <c r="H52" s="8" t="s">
        <v>191</v>
      </c>
      <c r="I52" s="8" t="s">
        <v>1099</v>
      </c>
      <c r="J52" s="3" t="s">
        <v>203</v>
      </c>
      <c r="K52" s="3"/>
      <c r="L52" s="3"/>
      <c r="M52" s="4" t="s">
        <v>204</v>
      </c>
      <c r="N52" s="7" t="s">
        <v>205</v>
      </c>
      <c r="O52" s="4" t="s">
        <v>62</v>
      </c>
    </row>
    <row r="53" spans="1:15" ht="24">
      <c r="A53" s="38" t="s">
        <v>76</v>
      </c>
      <c r="B53" s="8"/>
      <c r="C53" s="8" t="s">
        <v>43</v>
      </c>
      <c r="D53" s="8"/>
      <c r="E53" s="8"/>
      <c r="F53" s="8" t="s">
        <v>77</v>
      </c>
      <c r="G53" s="8" t="s">
        <v>69</v>
      </c>
      <c r="H53" s="8" t="s">
        <v>78</v>
      </c>
      <c r="I53" s="8" t="s">
        <v>1099</v>
      </c>
      <c r="J53" s="3" t="s">
        <v>203</v>
      </c>
      <c r="K53" s="3"/>
      <c r="L53" s="3"/>
      <c r="M53" s="4" t="s">
        <v>204</v>
      </c>
      <c r="N53" s="7" t="s">
        <v>205</v>
      </c>
      <c r="O53" s="4" t="s">
        <v>62</v>
      </c>
    </row>
    <row r="54" spans="1:15">
      <c r="A54" s="2" t="s">
        <v>212</v>
      </c>
      <c r="B54" s="10" t="s">
        <v>1</v>
      </c>
      <c r="C54" s="10" t="s">
        <v>30</v>
      </c>
      <c r="D54" s="10"/>
      <c r="E54" s="10"/>
      <c r="F54" s="10" t="s">
        <v>33</v>
      </c>
      <c r="G54" s="10" t="s">
        <v>3</v>
      </c>
      <c r="H54" s="10" t="s">
        <v>34</v>
      </c>
      <c r="I54" s="28" t="s">
        <v>1098</v>
      </c>
      <c r="J54" s="10" t="s">
        <v>35</v>
      </c>
      <c r="K54" s="10" t="s">
        <v>36</v>
      </c>
      <c r="L54" s="10" t="s">
        <v>37</v>
      </c>
      <c r="M54" s="10" t="s">
        <v>38</v>
      </c>
      <c r="N54" s="10" t="s">
        <v>39</v>
      </c>
      <c r="O54" s="10"/>
    </row>
    <row r="55" spans="1:15">
      <c r="A55" s="38" t="s">
        <v>67</v>
      </c>
      <c r="B55" s="3"/>
      <c r="C55" s="4" t="s">
        <v>43</v>
      </c>
      <c r="D55" s="4"/>
      <c r="E55" s="4"/>
      <c r="F55" s="7" t="str">
        <f>F8</f>
        <v>0.42,
[0.4,0.5]</v>
      </c>
      <c r="G55" s="7" t="str">
        <f>G8</f>
        <v>guyton2006medical,
valtin1995renal</v>
      </c>
      <c r="H55" s="3"/>
      <c r="I55" s="4" t="s">
        <v>1099</v>
      </c>
      <c r="J55" s="3"/>
      <c r="K55" s="3"/>
      <c r="L55" s="3"/>
      <c r="M55" s="4" t="s">
        <v>213</v>
      </c>
      <c r="N55" s="7" t="s">
        <v>214</v>
      </c>
      <c r="O55" s="4" t="s">
        <v>62</v>
      </c>
    </row>
    <row r="56" spans="1:15">
      <c r="A56" s="38" t="s">
        <v>215</v>
      </c>
      <c r="B56" s="4" t="s">
        <v>101</v>
      </c>
      <c r="C56" s="4" t="s">
        <v>43</v>
      </c>
      <c r="D56" s="4" t="s">
        <v>155</v>
      </c>
      <c r="E56" s="4" t="s">
        <v>156</v>
      </c>
      <c r="F56" s="7" t="str">
        <f>IF(Patient!C2="Male",D56,E56)</f>
        <v>[13.8,17.2]</v>
      </c>
      <c r="G56" s="7" t="str">
        <f>G31</f>
        <v>guyton2006medical</v>
      </c>
      <c r="H56" s="3"/>
      <c r="I56" s="4" t="s">
        <v>1099</v>
      </c>
      <c r="J56" s="3"/>
      <c r="K56" s="3"/>
      <c r="L56" s="3"/>
      <c r="M56" s="4" t="s">
        <v>213</v>
      </c>
      <c r="N56" s="7" t="s">
        <v>214</v>
      </c>
      <c r="O56" s="4" t="s">
        <v>62</v>
      </c>
    </row>
    <row r="57" spans="1:15">
      <c r="A57" s="38" t="s">
        <v>216</v>
      </c>
      <c r="B57" s="4" t="s">
        <v>217</v>
      </c>
      <c r="C57" s="4" t="s">
        <v>43</v>
      </c>
      <c r="D57" s="4"/>
      <c r="E57" s="4"/>
      <c r="F57" s="7" t="s">
        <v>218</v>
      </c>
      <c r="G57" s="8" t="s">
        <v>219</v>
      </c>
      <c r="H57" s="4"/>
      <c r="I57" s="4" t="s">
        <v>1099</v>
      </c>
      <c r="J57" s="3"/>
      <c r="K57" s="39" t="s">
        <v>220</v>
      </c>
      <c r="L57" s="3"/>
      <c r="M57" s="4" t="s">
        <v>213</v>
      </c>
      <c r="N57" s="7" t="s">
        <v>214</v>
      </c>
      <c r="O57" s="4" t="s">
        <v>62</v>
      </c>
    </row>
    <row r="58" spans="1:15">
      <c r="A58" s="38" t="s">
        <v>221</v>
      </c>
      <c r="B58" s="4" t="s">
        <v>101</v>
      </c>
      <c r="C58" s="4" t="s">
        <v>43</v>
      </c>
      <c r="D58" s="4"/>
      <c r="E58" s="4"/>
      <c r="F58" s="7" t="s">
        <v>222</v>
      </c>
      <c r="G58" s="8" t="s">
        <v>223</v>
      </c>
      <c r="H58" s="3"/>
      <c r="I58" s="4" t="s">
        <v>1099</v>
      </c>
      <c r="J58" s="3"/>
      <c r="K58" s="3"/>
      <c r="L58" s="3"/>
      <c r="M58" s="4" t="s">
        <v>213</v>
      </c>
      <c r="N58" s="7" t="s">
        <v>214</v>
      </c>
      <c r="O58" s="4" t="s">
        <v>62</v>
      </c>
    </row>
    <row r="59" spans="1:15">
      <c r="A59" s="38" t="s">
        <v>224</v>
      </c>
      <c r="B59" s="4" t="s">
        <v>225</v>
      </c>
      <c r="C59" s="4" t="s">
        <v>43</v>
      </c>
      <c r="D59" s="4"/>
      <c r="E59" s="4"/>
      <c r="F59" s="40">
        <v>8.9999999999999999E-8</v>
      </c>
      <c r="G59" s="8" t="s">
        <v>14</v>
      </c>
      <c r="H59" s="4" t="s">
        <v>226</v>
      </c>
      <c r="I59" s="4" t="s">
        <v>1099</v>
      </c>
      <c r="J59" s="3"/>
      <c r="K59" s="3"/>
      <c r="L59" s="3"/>
      <c r="M59" s="4" t="s">
        <v>213</v>
      </c>
      <c r="N59" s="7" t="s">
        <v>214</v>
      </c>
      <c r="O59" s="4" t="s">
        <v>92</v>
      </c>
    </row>
    <row r="60" spans="1:15">
      <c r="A60" s="38" t="s">
        <v>227</v>
      </c>
      <c r="B60" s="4" t="s">
        <v>90</v>
      </c>
      <c r="C60" s="4" t="s">
        <v>43</v>
      </c>
      <c r="D60" s="4"/>
      <c r="E60" s="4"/>
      <c r="F60" s="16" t="s">
        <v>228</v>
      </c>
      <c r="G60" s="41" t="s">
        <v>229</v>
      </c>
      <c r="H60" s="3"/>
      <c r="I60" s="4" t="s">
        <v>1099</v>
      </c>
      <c r="J60" s="3"/>
      <c r="K60" s="3" t="s">
        <v>230</v>
      </c>
      <c r="L60" s="3"/>
      <c r="M60" s="4" t="s">
        <v>213</v>
      </c>
      <c r="N60" s="7" t="s">
        <v>214</v>
      </c>
      <c r="O60" s="4" t="s">
        <v>92</v>
      </c>
    </row>
    <row r="61" spans="1:15">
      <c r="A61" s="38" t="s">
        <v>89</v>
      </c>
      <c r="B61" s="7" t="str">
        <f>B14</f>
        <v>ct/uL</v>
      </c>
      <c r="C61" s="4" t="s">
        <v>43</v>
      </c>
      <c r="D61" s="4"/>
      <c r="E61" s="4"/>
      <c r="F61" s="7">
        <f>F14</f>
        <v>5172413.793103449</v>
      </c>
      <c r="G61" s="7" t="str">
        <f>G14</f>
        <v>guyton2006medical</v>
      </c>
      <c r="H61" s="3"/>
      <c r="I61" s="4" t="s">
        <v>1099</v>
      </c>
      <c r="J61" s="3"/>
      <c r="K61" s="3"/>
      <c r="L61" s="3"/>
      <c r="M61" s="4" t="s">
        <v>213</v>
      </c>
      <c r="N61" s="7" t="s">
        <v>214</v>
      </c>
      <c r="O61" s="4" t="s">
        <v>92</v>
      </c>
    </row>
    <row r="62" spans="1:15">
      <c r="A62" s="38" t="s">
        <v>109</v>
      </c>
      <c r="B62" s="42" t="str">
        <f>B20</f>
        <v>ct/uL</v>
      </c>
      <c r="C62" s="4" t="s">
        <v>43</v>
      </c>
      <c r="D62" s="4"/>
      <c r="E62" s="4"/>
      <c r="F62" s="42">
        <f>F20</f>
        <v>7000</v>
      </c>
      <c r="G62" s="42" t="str">
        <f>G20</f>
        <v xml:space="preserve">guyton2006medical   </v>
      </c>
      <c r="H62" s="3"/>
      <c r="I62" s="4" t="s">
        <v>1099</v>
      </c>
      <c r="J62" s="3"/>
      <c r="K62" s="3"/>
      <c r="L62" s="3"/>
      <c r="M62" s="4" t="s">
        <v>213</v>
      </c>
      <c r="N62" s="7" t="s">
        <v>214</v>
      </c>
      <c r="O62" s="4" t="s">
        <v>62</v>
      </c>
    </row>
    <row r="63" spans="1:15">
      <c r="A63" s="2" t="s">
        <v>231</v>
      </c>
      <c r="B63" s="10" t="s">
        <v>1</v>
      </c>
      <c r="C63" s="10" t="s">
        <v>30</v>
      </c>
      <c r="D63" s="10" t="s">
        <v>31</v>
      </c>
      <c r="E63" s="10" t="s">
        <v>32</v>
      </c>
      <c r="F63" s="10" t="s">
        <v>33</v>
      </c>
      <c r="G63" s="10" t="s">
        <v>3</v>
      </c>
      <c r="H63" s="10" t="s">
        <v>34</v>
      </c>
      <c r="I63" s="28" t="s">
        <v>1098</v>
      </c>
      <c r="J63" s="10" t="s">
        <v>35</v>
      </c>
      <c r="K63" s="10" t="s">
        <v>36</v>
      </c>
      <c r="L63" s="10" t="s">
        <v>37</v>
      </c>
      <c r="M63" s="10" t="s">
        <v>38</v>
      </c>
      <c r="N63" s="10" t="s">
        <v>39</v>
      </c>
      <c r="O63" s="10"/>
    </row>
    <row r="64" spans="1:15">
      <c r="A64" s="38" t="s">
        <v>232</v>
      </c>
      <c r="B64" s="4" t="s">
        <v>101</v>
      </c>
      <c r="C64" s="4" t="s">
        <v>43</v>
      </c>
      <c r="D64" s="4"/>
      <c r="E64" s="4"/>
      <c r="F64" s="7" t="str">
        <f>F23</f>
        <v>[4,5]</v>
      </c>
      <c r="G64" s="7" t="str">
        <f>G23</f>
        <v>valtin1995renal</v>
      </c>
      <c r="H64" s="3"/>
      <c r="I64" s="4" t="s">
        <v>1099</v>
      </c>
      <c r="J64" s="3"/>
      <c r="K64" s="3"/>
      <c r="L64" s="3"/>
      <c r="M64" s="4" t="s">
        <v>233</v>
      </c>
      <c r="N64" s="7" t="s">
        <v>234</v>
      </c>
      <c r="O64" s="4" t="s">
        <v>62</v>
      </c>
    </row>
    <row r="65" spans="1:15">
      <c r="A65" s="38" t="s">
        <v>235</v>
      </c>
      <c r="B65" s="3"/>
      <c r="C65" s="4" t="s">
        <v>43</v>
      </c>
      <c r="D65" s="4"/>
      <c r="E65" s="4"/>
      <c r="F65" s="7"/>
      <c r="G65" s="3"/>
      <c r="H65" s="3"/>
      <c r="I65" s="4" t="s">
        <v>1099</v>
      </c>
      <c r="J65" s="3"/>
      <c r="K65" s="3"/>
      <c r="L65" s="3"/>
      <c r="M65" s="4" t="s">
        <v>233</v>
      </c>
      <c r="N65" s="7" t="s">
        <v>234</v>
      </c>
      <c r="O65" s="4" t="s">
        <v>62</v>
      </c>
    </row>
    <row r="66" spans="1:15">
      <c r="A66" s="38" t="s">
        <v>236</v>
      </c>
      <c r="B66" s="3"/>
      <c r="C66" s="4" t="s">
        <v>43</v>
      </c>
      <c r="D66" s="4"/>
      <c r="E66" s="4"/>
      <c r="F66" s="7"/>
      <c r="G66" s="3"/>
      <c r="H66" s="3"/>
      <c r="I66" s="4" t="s">
        <v>1099</v>
      </c>
      <c r="J66" s="3"/>
      <c r="K66" s="3"/>
      <c r="L66" s="3"/>
      <c r="M66" s="4" t="s">
        <v>233</v>
      </c>
      <c r="N66" s="7" t="s">
        <v>234</v>
      </c>
      <c r="O66" s="4" t="s">
        <v>62</v>
      </c>
    </row>
    <row r="67" spans="1:15">
      <c r="A67" s="38" t="s">
        <v>237</v>
      </c>
      <c r="B67" s="3"/>
      <c r="C67" s="4" t="s">
        <v>43</v>
      </c>
      <c r="D67" s="4"/>
      <c r="E67" s="4"/>
      <c r="F67" s="7"/>
      <c r="G67" s="3"/>
      <c r="H67" s="3"/>
      <c r="I67" s="4" t="s">
        <v>1099</v>
      </c>
      <c r="J67" s="3"/>
      <c r="K67" s="3"/>
      <c r="L67" s="3"/>
      <c r="M67" s="4" t="s">
        <v>233</v>
      </c>
      <c r="N67" s="7" t="s">
        <v>234</v>
      </c>
      <c r="O67" s="4" t="s">
        <v>62</v>
      </c>
    </row>
    <row r="68" spans="1:15">
      <c r="A68" s="38" t="s">
        <v>238</v>
      </c>
      <c r="B68" s="4" t="s">
        <v>57</v>
      </c>
      <c r="C68" s="4" t="s">
        <v>43</v>
      </c>
      <c r="D68" s="4"/>
      <c r="E68" s="4"/>
      <c r="F68" s="7" t="str">
        <f>F5</f>
        <v>[9.0,18.0],
[6.0,20.0]</v>
      </c>
      <c r="G68" s="7" t="str">
        <f>G5</f>
        <v>valtin1995renal,
Deepakfirst</v>
      </c>
      <c r="H68" s="3"/>
      <c r="I68" s="4" t="s">
        <v>1099</v>
      </c>
      <c r="J68" s="3"/>
      <c r="K68" s="3"/>
      <c r="L68" s="3"/>
      <c r="M68" s="4" t="s">
        <v>233</v>
      </c>
      <c r="N68" s="7" t="s">
        <v>234</v>
      </c>
      <c r="O68" s="4" t="s">
        <v>62</v>
      </c>
    </row>
    <row r="69" spans="1:15">
      <c r="A69" s="38" t="s">
        <v>239</v>
      </c>
      <c r="B69" s="4" t="s">
        <v>119</v>
      </c>
      <c r="C69" s="4" t="s">
        <v>43</v>
      </c>
      <c r="D69" s="4"/>
      <c r="E69" s="4"/>
      <c r="F69" s="7" t="str">
        <f>F25</f>
        <v>[44.08,52.1]</v>
      </c>
      <c r="G69" s="7" t="str">
        <f>G25</f>
        <v>cheuvront2014comparison</v>
      </c>
      <c r="H69" s="3"/>
      <c r="I69" s="4" t="s">
        <v>1099</v>
      </c>
      <c r="J69" s="3"/>
      <c r="K69" s="3"/>
      <c r="L69" s="3"/>
      <c r="M69" s="4" t="s">
        <v>233</v>
      </c>
      <c r="N69" s="7" t="s">
        <v>234</v>
      </c>
      <c r="O69" s="4" t="s">
        <v>62</v>
      </c>
    </row>
    <row r="70" spans="1:15">
      <c r="A70" s="38" t="s">
        <v>240</v>
      </c>
      <c r="B70" s="7"/>
      <c r="C70" s="4" t="s">
        <v>43</v>
      </c>
      <c r="D70" s="4"/>
      <c r="E70" s="4"/>
      <c r="F70" s="7"/>
      <c r="G70" s="3"/>
      <c r="H70" s="3"/>
      <c r="I70" s="4" t="s">
        <v>1099</v>
      </c>
      <c r="J70" s="3"/>
      <c r="K70" s="3"/>
      <c r="L70" s="3"/>
      <c r="M70" s="4" t="s">
        <v>233</v>
      </c>
      <c r="N70" s="7" t="s">
        <v>234</v>
      </c>
      <c r="O70" s="4" t="s">
        <v>62</v>
      </c>
    </row>
    <row r="71" spans="1:15">
      <c r="A71" s="38" t="s">
        <v>241</v>
      </c>
      <c r="B71" s="7" t="s">
        <v>80</v>
      </c>
      <c r="C71" s="4" t="s">
        <v>43</v>
      </c>
      <c r="D71" s="4"/>
      <c r="E71" s="4"/>
      <c r="F71" s="7" t="s">
        <v>242</v>
      </c>
      <c r="G71" s="7" t="str">
        <f>G24</f>
        <v>valtin1995renal</v>
      </c>
      <c r="H71" s="3"/>
      <c r="I71" s="4" t="s">
        <v>1099</v>
      </c>
      <c r="J71" s="3"/>
      <c r="K71" s="3"/>
      <c r="L71" s="3"/>
      <c r="M71" s="4" t="s">
        <v>233</v>
      </c>
      <c r="N71" s="7" t="s">
        <v>234</v>
      </c>
      <c r="O71" s="4" t="s">
        <v>62</v>
      </c>
    </row>
    <row r="72" spans="1:15">
      <c r="A72" s="38" t="s">
        <v>243</v>
      </c>
      <c r="B72" s="4" t="s">
        <v>119</v>
      </c>
      <c r="C72" s="4" t="s">
        <v>43</v>
      </c>
      <c r="D72" s="4"/>
      <c r="E72" s="4"/>
      <c r="F72" s="7" t="str">
        <f>F27</f>
        <v>[5.0,15.0]</v>
      </c>
      <c r="G72" s="7" t="str">
        <f>G27</f>
        <v>valtin1995renal</v>
      </c>
      <c r="H72" s="3"/>
      <c r="I72" s="4" t="s">
        <v>1099</v>
      </c>
      <c r="J72" s="3"/>
      <c r="K72" s="3"/>
      <c r="L72" s="3"/>
      <c r="M72" s="4" t="s">
        <v>233</v>
      </c>
      <c r="N72" s="7" t="s">
        <v>234</v>
      </c>
      <c r="O72" s="4" t="s">
        <v>62</v>
      </c>
    </row>
    <row r="73" spans="1:15">
      <c r="A73" s="38" t="s">
        <v>244</v>
      </c>
      <c r="B73" s="4" t="s">
        <v>57</v>
      </c>
      <c r="C73" s="4" t="s">
        <v>43</v>
      </c>
      <c r="D73" s="4"/>
      <c r="E73" s="4"/>
      <c r="F73" s="7" t="s">
        <v>245</v>
      </c>
      <c r="G73" s="7" t="s">
        <v>82</v>
      </c>
      <c r="H73" s="3"/>
      <c r="I73" s="4" t="s">
        <v>1099</v>
      </c>
      <c r="J73" s="3"/>
      <c r="K73" s="3"/>
      <c r="L73" s="3"/>
      <c r="M73" s="4" t="s">
        <v>233</v>
      </c>
      <c r="N73" s="7" t="s">
        <v>234</v>
      </c>
      <c r="O73" s="4" t="s">
        <v>62</v>
      </c>
    </row>
    <row r="74" spans="1:15">
      <c r="A74" s="38" t="s">
        <v>246</v>
      </c>
      <c r="B74" s="3"/>
      <c r="C74" s="4" t="s">
        <v>43</v>
      </c>
      <c r="D74" s="4"/>
      <c r="E74" s="4"/>
      <c r="F74" s="7"/>
      <c r="G74" s="3"/>
      <c r="H74" s="3"/>
      <c r="I74" s="4" t="s">
        <v>1099</v>
      </c>
      <c r="J74" s="3"/>
      <c r="K74" s="3"/>
      <c r="L74" s="3"/>
      <c r="M74" s="4" t="s">
        <v>233</v>
      </c>
      <c r="N74" s="7" t="s">
        <v>234</v>
      </c>
      <c r="O74" s="4" t="s">
        <v>62</v>
      </c>
    </row>
    <row r="75" spans="1:15">
      <c r="A75" s="38" t="s">
        <v>247</v>
      </c>
      <c r="B75" s="17" t="s">
        <v>80</v>
      </c>
      <c r="C75" s="4" t="s">
        <v>43</v>
      </c>
      <c r="D75" s="4"/>
      <c r="E75" s="4"/>
      <c r="F75" s="7" t="s">
        <v>248</v>
      </c>
      <c r="G75" s="7" t="str">
        <f>G35</f>
        <v>Leeuwen2015laboratory,
valtin1995renal</v>
      </c>
      <c r="H75" s="3"/>
      <c r="I75" s="4" t="s">
        <v>1099</v>
      </c>
      <c r="J75" s="3"/>
      <c r="K75" s="3"/>
      <c r="L75" s="3"/>
      <c r="M75" s="4" t="s">
        <v>233</v>
      </c>
      <c r="N75" s="7" t="s">
        <v>234</v>
      </c>
      <c r="O75" s="4" t="s">
        <v>62</v>
      </c>
    </row>
    <row r="76" spans="1:15">
      <c r="A76" s="38" t="s">
        <v>249</v>
      </c>
      <c r="B76" s="3"/>
      <c r="C76" s="4" t="s">
        <v>43</v>
      </c>
      <c r="D76" s="4"/>
      <c r="E76" s="4"/>
      <c r="F76" s="7"/>
      <c r="G76" s="3"/>
      <c r="H76" s="3"/>
      <c r="I76" s="4" t="s">
        <v>1099</v>
      </c>
      <c r="J76" s="3"/>
      <c r="K76" s="3"/>
      <c r="L76" s="3"/>
      <c r="M76" s="4" t="s">
        <v>233</v>
      </c>
      <c r="N76" s="7" t="s">
        <v>234</v>
      </c>
      <c r="O76" s="4" t="s">
        <v>62</v>
      </c>
    </row>
    <row r="77" spans="1:15">
      <c r="A77" s="38" t="s">
        <v>250</v>
      </c>
      <c r="B77" s="17" t="s">
        <v>101</v>
      </c>
      <c r="C77" s="4" t="s">
        <v>43</v>
      </c>
      <c r="D77" s="4"/>
      <c r="E77" s="4"/>
      <c r="F77" s="7" t="str">
        <f>F17</f>
        <v>[6,8]</v>
      </c>
      <c r="G77" s="7" t="str">
        <f>G17</f>
        <v>valtin1995renal</v>
      </c>
      <c r="H77" s="3"/>
      <c r="I77" s="4" t="s">
        <v>1099</v>
      </c>
      <c r="J77" s="7"/>
      <c r="K77" s="3"/>
      <c r="L77" s="3"/>
      <c r="M77" s="4" t="s">
        <v>233</v>
      </c>
      <c r="N77" s="7" t="s">
        <v>234</v>
      </c>
      <c r="O77" s="4" t="s">
        <v>62</v>
      </c>
    </row>
  </sheetData>
  <hyperlinks>
    <hyperlink ref="L12" r:id="rId1" xr:uid="{00000000-0004-0000-0100-000000000000}"/>
    <hyperlink ref="L31" r:id="rId2" xr:uid="{00000000-0004-0000-0100-000001000000}"/>
    <hyperlink ref="L38" r:id="rId3" xr:uid="{00000000-0004-0000-0100-000002000000}"/>
    <hyperlink ref="K57"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110"/>
  <sheetViews>
    <sheetView topLeftCell="A37" zoomScaleNormal="100" workbookViewId="0">
      <pane xSplit="1" topLeftCell="E1" activePane="topRight" state="frozen"/>
      <selection activeCell="A77" sqref="A77"/>
      <selection pane="topRight" activeCell="I38" sqref="I38:I110"/>
    </sheetView>
  </sheetViews>
  <sheetFormatPr defaultRowHeight="15"/>
  <cols>
    <col min="1" max="1" width="38.5703125" style="1" customWidth="1"/>
    <col min="2" max="2" width="9.85546875" style="9" customWidth="1"/>
    <col min="3" max="5" width="16.85546875" style="9" customWidth="1"/>
    <col min="6" max="6" width="17.5703125" style="9" customWidth="1"/>
    <col min="7" max="7" width="29" style="43" customWidth="1"/>
    <col min="8" max="8" width="12" style="43" bestFit="1" customWidth="1"/>
    <col min="9" max="9" width="11.42578125" style="43" bestFit="1" customWidth="1"/>
    <col min="10" max="10" width="32.7109375" style="9" customWidth="1"/>
    <col min="11" max="11" width="36.28515625" style="44" customWidth="1"/>
    <col min="12" max="12" width="29.5703125" style="1" customWidth="1"/>
    <col min="13" max="13" width="27.5703125" style="9" customWidth="1"/>
    <col min="14" max="14" width="28.85546875" style="9" customWidth="1"/>
    <col min="15" max="15" width="13.7109375" style="9" customWidth="1"/>
    <col min="16" max="16" width="25.140625" style="1" customWidth="1"/>
    <col min="17" max="1026" width="9.140625" style="1" customWidth="1"/>
  </cols>
  <sheetData>
    <row r="1" spans="1:16">
      <c r="A1" s="2" t="s">
        <v>29</v>
      </c>
      <c r="B1" s="10" t="s">
        <v>1</v>
      </c>
      <c r="C1" s="10" t="s">
        <v>30</v>
      </c>
      <c r="D1" s="10" t="s">
        <v>31</v>
      </c>
      <c r="E1" s="10" t="s">
        <v>32</v>
      </c>
      <c r="F1" s="10" t="s">
        <v>33</v>
      </c>
      <c r="G1" s="10" t="s">
        <v>3</v>
      </c>
      <c r="H1" s="10" t="s">
        <v>34</v>
      </c>
      <c r="I1" s="10" t="s">
        <v>1098</v>
      </c>
      <c r="J1" s="10" t="s">
        <v>35</v>
      </c>
      <c r="K1" s="10" t="s">
        <v>36</v>
      </c>
      <c r="L1" s="28" t="s">
        <v>37</v>
      </c>
      <c r="M1" s="10" t="s">
        <v>38</v>
      </c>
      <c r="N1" s="10" t="s">
        <v>39</v>
      </c>
      <c r="O1" s="10" t="s">
        <v>40</v>
      </c>
      <c r="P1" s="10" t="s">
        <v>251</v>
      </c>
    </row>
    <row r="2" spans="1:16" ht="24">
      <c r="A2" s="45" t="s">
        <v>252</v>
      </c>
      <c r="B2" s="8"/>
      <c r="C2" s="8"/>
      <c r="D2" s="8"/>
      <c r="E2" s="8"/>
      <c r="F2" s="8"/>
      <c r="G2" s="8"/>
      <c r="H2" s="8"/>
      <c r="I2" s="8"/>
      <c r="J2" s="25" t="s">
        <v>253</v>
      </c>
      <c r="K2" s="24"/>
      <c r="L2" s="46"/>
      <c r="M2" s="4" t="s">
        <v>254</v>
      </c>
      <c r="N2" s="4"/>
      <c r="O2" s="4"/>
      <c r="P2" s="3"/>
    </row>
    <row r="3" spans="1:16" ht="36.75" customHeight="1">
      <c r="A3" s="11" t="s">
        <v>15</v>
      </c>
      <c r="B3" s="8" t="s">
        <v>16</v>
      </c>
      <c r="C3" s="8" t="s">
        <v>43</v>
      </c>
      <c r="D3" s="8"/>
      <c r="E3" s="8"/>
      <c r="F3" s="22">
        <f>Patient!$C$7</f>
        <v>5509.6546665792184</v>
      </c>
      <c r="G3" s="8" t="s">
        <v>14</v>
      </c>
      <c r="H3" s="8" t="s">
        <v>255</v>
      </c>
      <c r="I3" s="8" t="s">
        <v>1099</v>
      </c>
      <c r="J3" s="4"/>
      <c r="K3" s="8" t="s">
        <v>256</v>
      </c>
      <c r="L3" s="46"/>
      <c r="M3" s="4" t="s">
        <v>254</v>
      </c>
      <c r="N3" s="4"/>
      <c r="O3" s="4" t="s">
        <v>47</v>
      </c>
      <c r="P3" s="3"/>
    </row>
    <row r="4" spans="1:16" ht="36.75" customHeight="1">
      <c r="A4" s="11" t="s">
        <v>17</v>
      </c>
      <c r="B4" s="8" t="s">
        <v>257</v>
      </c>
      <c r="C4" s="8" t="s">
        <v>43</v>
      </c>
      <c r="D4" s="8"/>
      <c r="E4" s="8"/>
      <c r="F4" s="47">
        <f>Patient!$C$8</f>
        <v>2.9991033145287878</v>
      </c>
      <c r="G4" s="8" t="s">
        <v>14</v>
      </c>
      <c r="H4" s="8" t="s">
        <v>258</v>
      </c>
      <c r="I4" s="8" t="s">
        <v>1099</v>
      </c>
      <c r="J4" s="25" t="s">
        <v>259</v>
      </c>
      <c r="K4" s="8"/>
      <c r="L4" s="46"/>
      <c r="M4" s="4" t="s">
        <v>254</v>
      </c>
      <c r="N4" s="4"/>
      <c r="O4" s="4" t="s">
        <v>62</v>
      </c>
      <c r="P4" s="3"/>
    </row>
    <row r="5" spans="1:16" ht="45.75" customHeight="1">
      <c r="A5" s="11" t="s">
        <v>12</v>
      </c>
      <c r="B5" s="8" t="s">
        <v>13</v>
      </c>
      <c r="C5" s="8" t="s">
        <v>43</v>
      </c>
      <c r="D5" s="8"/>
      <c r="E5" s="8"/>
      <c r="F5" s="22">
        <f>Patient!$C$6</f>
        <v>5600</v>
      </c>
      <c r="G5" s="8" t="s">
        <v>14</v>
      </c>
      <c r="H5" s="8" t="s">
        <v>258</v>
      </c>
      <c r="I5" s="8" t="s">
        <v>1099</v>
      </c>
      <c r="J5" s="4"/>
      <c r="K5" s="8"/>
      <c r="L5" s="46"/>
      <c r="M5" s="4" t="s">
        <v>254</v>
      </c>
      <c r="N5" s="4"/>
      <c r="O5" s="4" t="s">
        <v>47</v>
      </c>
      <c r="P5" s="3"/>
    </row>
    <row r="6" spans="1:16" ht="60">
      <c r="A6" s="45" t="s">
        <v>260</v>
      </c>
      <c r="B6" s="16" t="s">
        <v>190</v>
      </c>
      <c r="C6" s="8" t="s">
        <v>43</v>
      </c>
      <c r="D6" s="8"/>
      <c r="E6" s="8"/>
      <c r="F6" s="19" t="s">
        <v>261</v>
      </c>
      <c r="G6" s="16" t="s">
        <v>82</v>
      </c>
      <c r="H6" s="8" t="s">
        <v>262</v>
      </c>
      <c r="I6" s="8"/>
      <c r="J6" s="25" t="s">
        <v>253</v>
      </c>
      <c r="K6" s="16" t="s">
        <v>263</v>
      </c>
      <c r="L6" s="46"/>
      <c r="M6" s="4" t="s">
        <v>254</v>
      </c>
      <c r="N6" s="4"/>
      <c r="O6" s="4"/>
      <c r="P6" s="3"/>
    </row>
    <row r="7" spans="1:16">
      <c r="A7" s="11" t="s">
        <v>264</v>
      </c>
      <c r="B7" s="8" t="s">
        <v>13</v>
      </c>
      <c r="C7" s="8" t="s">
        <v>43</v>
      </c>
      <c r="D7" s="8"/>
      <c r="E7" s="8"/>
      <c r="F7" s="19">
        <f>F41*60</f>
        <v>672</v>
      </c>
      <c r="G7" s="16" t="s">
        <v>265</v>
      </c>
      <c r="H7" s="8"/>
      <c r="I7" s="8" t="s">
        <v>1099</v>
      </c>
      <c r="J7" s="25"/>
      <c r="K7" s="16"/>
      <c r="L7" s="46"/>
      <c r="M7" s="4" t="s">
        <v>254</v>
      </c>
      <c r="N7" s="4"/>
      <c r="O7" s="4" t="s">
        <v>47</v>
      </c>
      <c r="P7" s="3"/>
    </row>
    <row r="8" spans="1:16">
      <c r="A8" s="11" t="s">
        <v>266</v>
      </c>
      <c r="B8" s="16" t="s">
        <v>190</v>
      </c>
      <c r="C8" s="8" t="s">
        <v>43</v>
      </c>
      <c r="D8" s="8"/>
      <c r="E8" s="8"/>
      <c r="F8" s="19" t="s">
        <v>267</v>
      </c>
      <c r="G8" s="16" t="s">
        <v>268</v>
      </c>
      <c r="H8" s="8"/>
      <c r="I8" s="8" t="s">
        <v>1099</v>
      </c>
      <c r="J8" s="25"/>
      <c r="K8" s="16"/>
      <c r="L8" s="46"/>
      <c r="M8" s="4" t="s">
        <v>254</v>
      </c>
      <c r="N8" s="4"/>
      <c r="O8" s="4" t="s">
        <v>62</v>
      </c>
      <c r="P8" s="3"/>
    </row>
    <row r="9" spans="1:16">
      <c r="A9" s="11" t="s">
        <v>1102</v>
      </c>
      <c r="B9" s="16" t="s">
        <v>190</v>
      </c>
      <c r="C9" s="8" t="s">
        <v>43</v>
      </c>
      <c r="D9" s="8"/>
      <c r="E9" s="8"/>
      <c r="F9" s="19" t="s">
        <v>1103</v>
      </c>
      <c r="G9" s="16" t="s">
        <v>1104</v>
      </c>
      <c r="H9" s="8"/>
      <c r="I9" s="8" t="s">
        <v>1099</v>
      </c>
      <c r="J9" s="25"/>
      <c r="K9" s="16"/>
      <c r="L9" s="46"/>
      <c r="M9" s="4"/>
      <c r="N9" s="4"/>
      <c r="O9" s="4"/>
      <c r="P9" s="3"/>
    </row>
    <row r="10" spans="1:16" ht="45.75" customHeight="1">
      <c r="A10" s="11" t="s">
        <v>269</v>
      </c>
      <c r="B10" s="8" t="s">
        <v>190</v>
      </c>
      <c r="C10" s="8" t="s">
        <v>43</v>
      </c>
      <c r="D10" s="8"/>
      <c r="E10" s="8"/>
      <c r="F10" s="19" t="s">
        <v>270</v>
      </c>
      <c r="G10" s="16" t="s">
        <v>82</v>
      </c>
      <c r="H10" s="8" t="s">
        <v>262</v>
      </c>
      <c r="I10" s="8" t="s">
        <v>1099</v>
      </c>
      <c r="J10" s="8"/>
      <c r="K10" s="8" t="s">
        <v>271</v>
      </c>
      <c r="L10" s="46"/>
      <c r="M10" s="4" t="s">
        <v>254</v>
      </c>
      <c r="N10" s="4"/>
      <c r="O10" s="4" t="s">
        <v>62</v>
      </c>
      <c r="P10" s="3"/>
    </row>
    <row r="11" spans="1:16" ht="45.75" customHeight="1">
      <c r="A11" s="11" t="s">
        <v>272</v>
      </c>
      <c r="B11" s="8" t="s">
        <v>190</v>
      </c>
      <c r="C11" s="8" t="s">
        <v>43</v>
      </c>
      <c r="D11" s="8"/>
      <c r="E11" s="8"/>
      <c r="F11" s="8" t="s">
        <v>273</v>
      </c>
      <c r="G11" s="16" t="s">
        <v>274</v>
      </c>
      <c r="H11" s="8"/>
      <c r="I11" s="8" t="s">
        <v>1099</v>
      </c>
      <c r="J11" s="8"/>
      <c r="K11" s="8"/>
      <c r="L11" s="46"/>
      <c r="M11" s="4" t="s">
        <v>254</v>
      </c>
      <c r="N11" s="4"/>
      <c r="O11" s="4" t="s">
        <v>62</v>
      </c>
      <c r="P11" s="3"/>
    </row>
    <row r="12" spans="1:16" ht="45.75" customHeight="1">
      <c r="A12" s="11" t="s">
        <v>275</v>
      </c>
      <c r="B12" s="8" t="s">
        <v>190</v>
      </c>
      <c r="C12" s="8" t="s">
        <v>43</v>
      </c>
      <c r="D12" s="8"/>
      <c r="E12" s="8"/>
      <c r="F12" s="8" t="s">
        <v>276</v>
      </c>
      <c r="G12" s="16" t="s">
        <v>274</v>
      </c>
      <c r="H12" s="16"/>
      <c r="I12" s="8" t="s">
        <v>1099</v>
      </c>
      <c r="J12" s="48"/>
      <c r="K12" s="24" t="s">
        <v>277</v>
      </c>
      <c r="L12" s="46"/>
      <c r="M12" s="4" t="s">
        <v>254</v>
      </c>
      <c r="N12" s="4"/>
      <c r="O12" s="4" t="s">
        <v>62</v>
      </c>
      <c r="P12" s="3"/>
    </row>
    <row r="13" spans="1:16" ht="27.75" customHeight="1">
      <c r="A13" s="11" t="s">
        <v>278</v>
      </c>
      <c r="B13" s="8"/>
      <c r="C13" s="8" t="s">
        <v>43</v>
      </c>
      <c r="D13" s="8"/>
      <c r="E13" s="8"/>
      <c r="F13" s="19">
        <v>0.55000000000000004</v>
      </c>
      <c r="G13" s="8" t="s">
        <v>14</v>
      </c>
      <c r="H13" s="25"/>
      <c r="I13" s="8" t="s">
        <v>1099</v>
      </c>
      <c r="J13" s="8"/>
      <c r="K13" s="8" t="s">
        <v>279</v>
      </c>
      <c r="L13" s="46"/>
      <c r="M13" s="4" t="s">
        <v>254</v>
      </c>
      <c r="N13" s="4"/>
      <c r="O13" s="4" t="s">
        <v>52</v>
      </c>
      <c r="P13" s="3"/>
    </row>
    <row r="14" spans="1:16" ht="74.25" customHeight="1">
      <c r="A14" s="11" t="s">
        <v>280</v>
      </c>
      <c r="B14" s="8" t="s">
        <v>281</v>
      </c>
      <c r="C14" s="8" t="s">
        <v>43</v>
      </c>
      <c r="D14" s="8"/>
      <c r="E14" s="8"/>
      <c r="F14" s="19" t="s">
        <v>282</v>
      </c>
      <c r="G14" s="8" t="s">
        <v>283</v>
      </c>
      <c r="H14" s="8"/>
      <c r="I14" s="8" t="s">
        <v>1099</v>
      </c>
      <c r="K14" s="8"/>
      <c r="L14" s="46"/>
      <c r="M14" s="4" t="s">
        <v>254</v>
      </c>
      <c r="N14" s="4"/>
      <c r="O14" s="4" t="s">
        <v>47</v>
      </c>
      <c r="P14" s="3"/>
    </row>
    <row r="15" spans="1:16">
      <c r="A15" s="45" t="s">
        <v>284</v>
      </c>
      <c r="B15" s="8"/>
      <c r="C15" s="8"/>
      <c r="D15" s="8"/>
      <c r="E15" s="8"/>
      <c r="F15" s="8"/>
      <c r="G15" s="8"/>
      <c r="H15" s="8"/>
      <c r="I15" s="8"/>
      <c r="J15" s="8" t="s">
        <v>285</v>
      </c>
      <c r="K15" s="8"/>
      <c r="L15" s="46"/>
      <c r="M15" s="4" t="s">
        <v>254</v>
      </c>
      <c r="N15" s="4"/>
      <c r="O15" s="4"/>
      <c r="P15" s="3"/>
    </row>
    <row r="16" spans="1:16" ht="65.25" customHeight="1">
      <c r="A16" s="11" t="s">
        <v>286</v>
      </c>
      <c r="B16" s="8" t="s">
        <v>16</v>
      </c>
      <c r="C16" s="8" t="s">
        <v>43</v>
      </c>
      <c r="D16" s="8"/>
      <c r="E16" s="8"/>
      <c r="F16" s="8" t="s">
        <v>287</v>
      </c>
      <c r="G16" s="43" t="s">
        <v>288</v>
      </c>
      <c r="H16" s="8"/>
      <c r="I16" s="8" t="s">
        <v>1099</v>
      </c>
      <c r="J16" s="8"/>
      <c r="K16" s="8" t="s">
        <v>289</v>
      </c>
      <c r="L16" s="46"/>
      <c r="M16" s="4" t="s">
        <v>254</v>
      </c>
      <c r="N16" s="4"/>
      <c r="O16" s="4" t="s">
        <v>62</v>
      </c>
      <c r="P16" s="3"/>
    </row>
    <row r="17" spans="1:16">
      <c r="A17" s="11" t="s">
        <v>290</v>
      </c>
      <c r="B17" s="16" t="s">
        <v>190</v>
      </c>
      <c r="C17" s="8" t="s">
        <v>43</v>
      </c>
      <c r="D17" s="8"/>
      <c r="E17" s="8"/>
      <c r="F17" s="19" t="s">
        <v>291</v>
      </c>
      <c r="G17" s="16" t="s">
        <v>292</v>
      </c>
      <c r="H17" s="8"/>
      <c r="I17" s="8" t="s">
        <v>1099</v>
      </c>
      <c r="J17" s="25" t="s">
        <v>293</v>
      </c>
      <c r="K17" s="16"/>
      <c r="L17" s="46"/>
      <c r="M17" s="4" t="s">
        <v>254</v>
      </c>
      <c r="N17" s="4"/>
      <c r="O17" s="4" t="s">
        <v>62</v>
      </c>
      <c r="P17" s="3"/>
    </row>
    <row r="18" spans="1:16" ht="40.5" customHeight="1">
      <c r="A18" s="11" t="s">
        <v>294</v>
      </c>
      <c r="B18" s="8" t="s">
        <v>190</v>
      </c>
      <c r="C18" s="8" t="s">
        <v>43</v>
      </c>
      <c r="D18" s="8"/>
      <c r="E18" s="8"/>
      <c r="F18" s="8" t="s">
        <v>295</v>
      </c>
      <c r="G18" s="16" t="s">
        <v>82</v>
      </c>
      <c r="H18" s="8" t="s">
        <v>262</v>
      </c>
      <c r="I18" s="8" t="s">
        <v>1099</v>
      </c>
      <c r="J18" s="8"/>
      <c r="K18" s="8" t="s">
        <v>271</v>
      </c>
      <c r="L18" s="46"/>
      <c r="M18" s="4" t="s">
        <v>254</v>
      </c>
      <c r="N18" s="4"/>
      <c r="O18" s="4" t="s">
        <v>62</v>
      </c>
      <c r="P18" s="3"/>
    </row>
    <row r="19" spans="1:16">
      <c r="A19" s="45" t="s">
        <v>296</v>
      </c>
      <c r="B19" s="8"/>
      <c r="C19" s="8"/>
      <c r="D19" s="8"/>
      <c r="E19" s="8"/>
      <c r="F19" s="8"/>
      <c r="G19" s="8"/>
      <c r="H19" s="8"/>
      <c r="I19" s="8"/>
      <c r="J19" s="8" t="s">
        <v>297</v>
      </c>
      <c r="K19" s="8"/>
      <c r="L19" s="46"/>
      <c r="M19" s="4" t="s">
        <v>254</v>
      </c>
      <c r="N19" s="4"/>
      <c r="O19" s="4"/>
      <c r="P19" s="3"/>
    </row>
    <row r="20" spans="1:16">
      <c r="A20" s="45" t="s">
        <v>298</v>
      </c>
      <c r="B20" s="8"/>
      <c r="C20" s="8"/>
      <c r="D20" s="8"/>
      <c r="E20" s="8"/>
      <c r="F20" s="8"/>
      <c r="G20" s="8"/>
      <c r="H20" s="8"/>
      <c r="I20" s="8"/>
      <c r="J20" s="8" t="s">
        <v>297</v>
      </c>
      <c r="K20" s="8"/>
      <c r="L20" s="46"/>
      <c r="M20" s="4" t="s">
        <v>254</v>
      </c>
      <c r="N20" s="4"/>
      <c r="O20" s="4"/>
      <c r="P20" s="3"/>
    </row>
    <row r="21" spans="1:16" ht="60">
      <c r="A21" s="11" t="s">
        <v>299</v>
      </c>
      <c r="B21" s="16" t="s">
        <v>190</v>
      </c>
      <c r="C21" s="8" t="s">
        <v>43</v>
      </c>
      <c r="D21" s="8"/>
      <c r="E21" s="8"/>
      <c r="F21" s="19" t="s">
        <v>261</v>
      </c>
      <c r="G21" s="16" t="s">
        <v>82</v>
      </c>
      <c r="H21" s="8" t="s">
        <v>262</v>
      </c>
      <c r="I21" s="8" t="s">
        <v>1099</v>
      </c>
      <c r="J21" s="8"/>
      <c r="K21" s="16" t="s">
        <v>263</v>
      </c>
      <c r="L21" s="46"/>
      <c r="M21" s="4" t="s">
        <v>254</v>
      </c>
      <c r="N21" s="4"/>
      <c r="O21" s="4" t="s">
        <v>62</v>
      </c>
      <c r="P21" s="3"/>
    </row>
    <row r="22" spans="1:16" s="1" customFormat="1" ht="24">
      <c r="A22" s="11" t="s">
        <v>300</v>
      </c>
      <c r="B22" s="8" t="s">
        <v>301</v>
      </c>
      <c r="C22" s="8" t="s">
        <v>43</v>
      </c>
      <c r="D22" s="8"/>
      <c r="E22" s="8"/>
      <c r="F22" s="49">
        <f>F102</f>
        <v>4.666666666666667</v>
      </c>
      <c r="G22" s="8" t="s">
        <v>265</v>
      </c>
      <c r="H22" s="8"/>
      <c r="I22" s="8" t="s">
        <v>1099</v>
      </c>
      <c r="K22" s="8" t="s">
        <v>302</v>
      </c>
      <c r="L22" s="46"/>
      <c r="M22" s="4" t="s">
        <v>254</v>
      </c>
      <c r="N22" s="4"/>
      <c r="O22" s="4" t="s">
        <v>62</v>
      </c>
      <c r="P22" s="3"/>
    </row>
    <row r="23" spans="1:16" ht="24">
      <c r="A23" s="45" t="s">
        <v>303</v>
      </c>
      <c r="B23" s="8"/>
      <c r="C23" s="8"/>
      <c r="D23" s="8"/>
      <c r="E23" s="8"/>
      <c r="F23" s="8"/>
      <c r="G23" s="8"/>
      <c r="H23" s="8"/>
      <c r="I23" s="8"/>
      <c r="J23" s="25" t="s">
        <v>253</v>
      </c>
      <c r="K23" s="8"/>
      <c r="L23" s="46"/>
      <c r="M23" s="4" t="s">
        <v>254</v>
      </c>
      <c r="N23" s="4"/>
      <c r="O23" s="4"/>
      <c r="P23" s="3"/>
    </row>
    <row r="24" spans="1:16" ht="41.25" customHeight="1">
      <c r="A24" s="11" t="s">
        <v>304</v>
      </c>
      <c r="B24" s="16" t="s">
        <v>190</v>
      </c>
      <c r="C24" s="8" t="s">
        <v>43</v>
      </c>
      <c r="D24" s="8"/>
      <c r="E24" s="8"/>
      <c r="F24" s="16" t="s">
        <v>273</v>
      </c>
      <c r="G24" s="16" t="s">
        <v>82</v>
      </c>
      <c r="H24" s="16" t="s">
        <v>262</v>
      </c>
      <c r="I24" s="8" t="s">
        <v>1099</v>
      </c>
      <c r="J24" s="16"/>
      <c r="K24" s="16" t="s">
        <v>305</v>
      </c>
      <c r="L24" s="46"/>
      <c r="M24" s="4" t="s">
        <v>254</v>
      </c>
      <c r="N24" s="4"/>
      <c r="O24" s="4" t="s">
        <v>62</v>
      </c>
      <c r="P24" s="3"/>
    </row>
    <row r="25" spans="1:16" ht="24">
      <c r="A25" s="11" t="s">
        <v>306</v>
      </c>
      <c r="B25" s="8" t="s">
        <v>190</v>
      </c>
      <c r="C25" s="8" t="s">
        <v>43</v>
      </c>
      <c r="D25" s="8"/>
      <c r="E25" s="8"/>
      <c r="F25" s="8" t="s">
        <v>307</v>
      </c>
      <c r="G25" s="16" t="s">
        <v>308</v>
      </c>
      <c r="H25" s="8" t="s">
        <v>309</v>
      </c>
      <c r="I25" s="8" t="s">
        <v>1099</v>
      </c>
      <c r="J25" s="8"/>
      <c r="K25" s="8" t="s">
        <v>271</v>
      </c>
      <c r="L25" s="46"/>
      <c r="M25" s="4" t="s">
        <v>254</v>
      </c>
      <c r="N25" s="4"/>
      <c r="O25" s="4" t="s">
        <v>62</v>
      </c>
      <c r="P25" s="3"/>
    </row>
    <row r="26" spans="1:16">
      <c r="A26" s="11" t="s">
        <v>310</v>
      </c>
      <c r="B26" s="8" t="s">
        <v>190</v>
      </c>
      <c r="C26" s="8" t="s">
        <v>43</v>
      </c>
      <c r="D26" s="8"/>
      <c r="E26" s="8"/>
      <c r="F26" s="8" t="s">
        <v>311</v>
      </c>
      <c r="G26" s="8" t="s">
        <v>274</v>
      </c>
      <c r="H26" s="8"/>
      <c r="I26" s="8" t="s">
        <v>1099</v>
      </c>
      <c r="J26" s="8"/>
      <c r="K26" s="8"/>
      <c r="L26" s="46"/>
      <c r="M26" s="4" t="s">
        <v>254</v>
      </c>
      <c r="N26" s="4"/>
      <c r="O26" s="4" t="s">
        <v>62</v>
      </c>
      <c r="P26" s="3"/>
    </row>
    <row r="27" spans="1:16">
      <c r="A27" s="45" t="s">
        <v>312</v>
      </c>
      <c r="B27" s="8"/>
      <c r="C27" s="8"/>
      <c r="D27" s="8"/>
      <c r="E27" s="8"/>
      <c r="F27" s="8"/>
      <c r="G27" s="8"/>
      <c r="H27" s="8"/>
      <c r="I27" s="8"/>
      <c r="J27" s="8"/>
      <c r="K27" s="8" t="s">
        <v>313</v>
      </c>
      <c r="L27" s="46"/>
      <c r="M27" s="4" t="s">
        <v>254</v>
      </c>
      <c r="N27" s="4"/>
      <c r="O27" s="4"/>
      <c r="P27" s="3"/>
    </row>
    <row r="28" spans="1:16">
      <c r="A28" s="45" t="s">
        <v>314</v>
      </c>
      <c r="B28" s="8"/>
      <c r="C28" s="8"/>
      <c r="D28" s="8"/>
      <c r="E28" s="8"/>
      <c r="F28" s="50"/>
      <c r="G28" s="8"/>
      <c r="H28" s="8"/>
      <c r="I28" s="8"/>
      <c r="J28" s="8"/>
      <c r="K28" s="8" t="s">
        <v>313</v>
      </c>
      <c r="L28" s="46"/>
      <c r="M28" s="4" t="s">
        <v>254</v>
      </c>
      <c r="N28" s="4"/>
      <c r="O28" s="4"/>
      <c r="P28" s="3"/>
    </row>
    <row r="29" spans="1:16">
      <c r="A29" s="11" t="s">
        <v>315</v>
      </c>
      <c r="B29" s="8" t="s">
        <v>190</v>
      </c>
      <c r="C29" s="8" t="s">
        <v>43</v>
      </c>
      <c r="D29" s="8"/>
      <c r="E29" s="8"/>
      <c r="F29" s="8" t="s">
        <v>316</v>
      </c>
      <c r="G29" s="16" t="s">
        <v>82</v>
      </c>
      <c r="H29" s="8" t="s">
        <v>262</v>
      </c>
      <c r="I29" s="8" t="s">
        <v>1099</v>
      </c>
      <c r="J29" s="8"/>
      <c r="K29" s="8" t="s">
        <v>271</v>
      </c>
      <c r="L29" s="46"/>
      <c r="M29" s="4" t="s">
        <v>254</v>
      </c>
      <c r="N29" s="4"/>
      <c r="O29" s="4" t="s">
        <v>62</v>
      </c>
      <c r="P29" s="3"/>
    </row>
    <row r="30" spans="1:16" ht="24">
      <c r="A30" s="11" t="s">
        <v>317</v>
      </c>
      <c r="B30" s="8" t="s">
        <v>318</v>
      </c>
      <c r="C30" s="8" t="s">
        <v>43</v>
      </c>
      <c r="D30" s="8"/>
      <c r="E30" s="8"/>
      <c r="F30" s="8">
        <v>0.14000000000000001</v>
      </c>
      <c r="G30" s="8" t="s">
        <v>14</v>
      </c>
      <c r="H30" s="8" t="s">
        <v>319</v>
      </c>
      <c r="I30" s="8" t="s">
        <v>1099</v>
      </c>
      <c r="J30" s="8"/>
      <c r="K30" s="8"/>
      <c r="L30" s="46"/>
      <c r="M30" s="4" t="s">
        <v>254</v>
      </c>
      <c r="N30" s="4"/>
      <c r="O30" s="4" t="s">
        <v>130</v>
      </c>
      <c r="P30" s="3"/>
    </row>
    <row r="31" spans="1:16" s="1" customFormat="1" ht="36">
      <c r="A31" s="11" t="s">
        <v>320</v>
      </c>
      <c r="B31" s="8" t="s">
        <v>321</v>
      </c>
      <c r="C31" s="8" t="s">
        <v>43</v>
      </c>
      <c r="D31" s="8"/>
      <c r="E31" s="8"/>
      <c r="F31" s="8">
        <v>0.24</v>
      </c>
      <c r="G31" s="8" t="s">
        <v>14</v>
      </c>
      <c r="H31" s="8" t="s">
        <v>322</v>
      </c>
      <c r="I31" s="8" t="s">
        <v>1099</v>
      </c>
      <c r="J31" s="8" t="s">
        <v>323</v>
      </c>
      <c r="L31" s="46"/>
      <c r="M31" s="4" t="s">
        <v>254</v>
      </c>
      <c r="N31" s="4"/>
      <c r="O31" s="4" t="s">
        <v>130</v>
      </c>
      <c r="P31" s="3"/>
    </row>
    <row r="32" spans="1:16" ht="24">
      <c r="A32" s="11" t="s">
        <v>324</v>
      </c>
      <c r="B32" s="8" t="s">
        <v>190</v>
      </c>
      <c r="C32" s="8" t="s">
        <v>43</v>
      </c>
      <c r="D32" s="8"/>
      <c r="E32" s="8"/>
      <c r="F32" s="8" t="s">
        <v>325</v>
      </c>
      <c r="G32" s="8" t="s">
        <v>326</v>
      </c>
      <c r="H32" s="8"/>
      <c r="I32" s="8" t="s">
        <v>1099</v>
      </c>
      <c r="J32" s="8" t="s">
        <v>327</v>
      </c>
      <c r="K32" s="8" t="s">
        <v>328</v>
      </c>
      <c r="L32" s="46"/>
      <c r="M32" s="4" t="s">
        <v>254</v>
      </c>
      <c r="N32" s="4"/>
      <c r="O32" s="4" t="s">
        <v>62</v>
      </c>
      <c r="P32" s="3"/>
    </row>
    <row r="33" spans="1:16" ht="24" customHeight="1">
      <c r="A33" s="11" t="s">
        <v>329</v>
      </c>
      <c r="B33" s="8" t="s">
        <v>318</v>
      </c>
      <c r="C33" s="8" t="s">
        <v>43</v>
      </c>
      <c r="D33" s="8"/>
      <c r="E33" s="8"/>
      <c r="F33" s="49">
        <v>1</v>
      </c>
      <c r="G33" s="8" t="s">
        <v>14</v>
      </c>
      <c r="H33" s="8" t="s">
        <v>330</v>
      </c>
      <c r="I33" s="8" t="s">
        <v>1099</v>
      </c>
      <c r="J33" s="8"/>
      <c r="K33" s="8" t="s">
        <v>331</v>
      </c>
      <c r="L33" s="46"/>
      <c r="M33" s="4" t="s">
        <v>254</v>
      </c>
      <c r="N33" s="4"/>
      <c r="O33" s="4" t="s">
        <v>62</v>
      </c>
      <c r="P33" s="3"/>
    </row>
    <row r="34" spans="1:16" ht="44.25" customHeight="1">
      <c r="A34" s="11" t="s">
        <v>332</v>
      </c>
      <c r="B34" s="8" t="s">
        <v>190</v>
      </c>
      <c r="C34" s="8" t="s">
        <v>43</v>
      </c>
      <c r="D34" s="8"/>
      <c r="E34" s="8"/>
      <c r="F34" s="19" t="s">
        <v>333</v>
      </c>
      <c r="G34" s="16" t="s">
        <v>82</v>
      </c>
      <c r="H34" s="8" t="s">
        <v>262</v>
      </c>
      <c r="I34" s="8" t="s">
        <v>1099</v>
      </c>
      <c r="J34" s="8"/>
      <c r="K34" s="8" t="s">
        <v>271</v>
      </c>
      <c r="L34" s="46"/>
      <c r="M34" s="4" t="s">
        <v>254</v>
      </c>
      <c r="N34" s="4"/>
      <c r="O34" s="4" t="s">
        <v>62</v>
      </c>
      <c r="P34" s="3"/>
    </row>
    <row r="35" spans="1:16" ht="44.25" customHeight="1">
      <c r="A35" s="11" t="s">
        <v>334</v>
      </c>
      <c r="B35" s="8" t="s">
        <v>190</v>
      </c>
      <c r="C35" s="8" t="s">
        <v>43</v>
      </c>
      <c r="D35" s="8"/>
      <c r="E35" s="8"/>
      <c r="F35" s="8" t="s">
        <v>333</v>
      </c>
      <c r="G35" s="16" t="s">
        <v>335</v>
      </c>
      <c r="H35" s="16" t="s">
        <v>336</v>
      </c>
      <c r="I35" s="8" t="s">
        <v>1099</v>
      </c>
      <c r="J35" s="48"/>
      <c r="K35" s="24" t="s">
        <v>337</v>
      </c>
      <c r="L35" s="46"/>
      <c r="M35" s="4" t="s">
        <v>254</v>
      </c>
      <c r="N35" s="4"/>
      <c r="O35" s="4" t="s">
        <v>62</v>
      </c>
      <c r="P35" s="3"/>
    </row>
    <row r="36" spans="1:16" ht="44.25" customHeight="1">
      <c r="A36" s="11" t="s">
        <v>338</v>
      </c>
      <c r="B36" s="8" t="s">
        <v>190</v>
      </c>
      <c r="C36" s="8" t="s">
        <v>43</v>
      </c>
      <c r="D36" s="8"/>
      <c r="E36" s="8"/>
      <c r="F36" s="8" t="s">
        <v>316</v>
      </c>
      <c r="G36" s="16" t="s">
        <v>274</v>
      </c>
      <c r="H36" s="8"/>
      <c r="I36" s="8" t="s">
        <v>1099</v>
      </c>
      <c r="J36" s="8"/>
      <c r="K36" s="8"/>
      <c r="L36" s="46"/>
      <c r="M36" s="4" t="s">
        <v>254</v>
      </c>
      <c r="N36" s="4"/>
      <c r="O36" s="4" t="s">
        <v>62</v>
      </c>
      <c r="P36" s="3"/>
    </row>
    <row r="37" spans="1:16">
      <c r="A37" s="27" t="s">
        <v>339</v>
      </c>
      <c r="B37" s="2" t="s">
        <v>1</v>
      </c>
      <c r="C37" s="10" t="s">
        <v>30</v>
      </c>
      <c r="D37" s="10" t="s">
        <v>31</v>
      </c>
      <c r="E37" s="10" t="s">
        <v>32</v>
      </c>
      <c r="F37" s="10" t="s">
        <v>115</v>
      </c>
      <c r="G37" s="28" t="s">
        <v>116</v>
      </c>
      <c r="H37" s="28" t="s">
        <v>117</v>
      </c>
      <c r="I37" s="10" t="s">
        <v>1098</v>
      </c>
      <c r="J37" s="2" t="s">
        <v>35</v>
      </c>
      <c r="K37" s="2" t="s">
        <v>36</v>
      </c>
      <c r="L37" s="28" t="s">
        <v>37</v>
      </c>
      <c r="M37" s="10" t="s">
        <v>38</v>
      </c>
      <c r="N37" s="10" t="s">
        <v>39</v>
      </c>
      <c r="O37" s="10" t="s">
        <v>40</v>
      </c>
      <c r="P37" s="10" t="s">
        <v>251</v>
      </c>
    </row>
    <row r="38" spans="1:16" ht="24.75">
      <c r="A38" s="11" t="s">
        <v>340</v>
      </c>
      <c r="B38" s="16" t="s">
        <v>16</v>
      </c>
      <c r="C38" s="8" t="s">
        <v>43</v>
      </c>
      <c r="D38" s="8">
        <v>0.05</v>
      </c>
      <c r="E38" s="8">
        <v>0.05</v>
      </c>
      <c r="F38" s="49">
        <f>Patient!C7*IF(Patient!C2="Male",D38,E38)</f>
        <v>275.48273332896093</v>
      </c>
      <c r="G38" s="16" t="s">
        <v>265</v>
      </c>
      <c r="H38" s="16"/>
      <c r="I38" s="16" t="s">
        <v>1099</v>
      </c>
      <c r="J38" s="48"/>
      <c r="K38" s="44" t="s">
        <v>341</v>
      </c>
      <c r="L38" s="46"/>
      <c r="M38" s="4" t="s">
        <v>342</v>
      </c>
      <c r="N38" s="4"/>
      <c r="O38" s="4" t="s">
        <v>62</v>
      </c>
      <c r="P38" s="7" t="s">
        <v>343</v>
      </c>
    </row>
    <row r="39" spans="1:16" ht="36.75">
      <c r="A39" s="11" t="s">
        <v>344</v>
      </c>
      <c r="B39" s="16" t="s">
        <v>301</v>
      </c>
      <c r="C39" s="8" t="s">
        <v>43</v>
      </c>
      <c r="D39" s="8">
        <v>1</v>
      </c>
      <c r="E39" s="8">
        <v>1</v>
      </c>
      <c r="F39" s="49">
        <f>Patient!C6*IF(Patient!C2="Male",D39,E39)/60</f>
        <v>93.333333333333329</v>
      </c>
      <c r="G39" s="16" t="s">
        <v>265</v>
      </c>
      <c r="H39" s="16"/>
      <c r="I39" s="16" t="s">
        <v>1099</v>
      </c>
      <c r="J39" s="48"/>
      <c r="K39" s="24" t="s">
        <v>345</v>
      </c>
      <c r="L39" s="46"/>
      <c r="M39" s="4" t="s">
        <v>342</v>
      </c>
      <c r="N39" s="4"/>
      <c r="O39" s="4" t="s">
        <v>62</v>
      </c>
      <c r="P39" s="7" t="s">
        <v>343</v>
      </c>
    </row>
    <row r="40" spans="1:16">
      <c r="A40" s="11" t="s">
        <v>346</v>
      </c>
      <c r="B40" s="16" t="s">
        <v>16</v>
      </c>
      <c r="C40" s="8" t="s">
        <v>43</v>
      </c>
      <c r="D40" s="8">
        <v>1.2E-2</v>
      </c>
      <c r="E40" s="8">
        <v>1.2E-2</v>
      </c>
      <c r="F40" s="49">
        <f>Patient!C7*IF(Patient!C2="Male",D40,E40)</f>
        <v>66.115855998950622</v>
      </c>
      <c r="G40" s="16" t="s">
        <v>265</v>
      </c>
      <c r="H40" s="16"/>
      <c r="I40" s="16" t="s">
        <v>1099</v>
      </c>
      <c r="J40" s="16"/>
      <c r="K40" s="24"/>
      <c r="L40" s="46"/>
      <c r="M40" s="4" t="s">
        <v>342</v>
      </c>
      <c r="N40" s="4"/>
      <c r="O40" s="4" t="s">
        <v>62</v>
      </c>
      <c r="P40" s="7" t="s">
        <v>343</v>
      </c>
    </row>
    <row r="41" spans="1:16">
      <c r="A41" s="11" t="s">
        <v>347</v>
      </c>
      <c r="B41" s="16" t="s">
        <v>301</v>
      </c>
      <c r="C41" s="8" t="s">
        <v>43</v>
      </c>
      <c r="D41" s="8">
        <v>0.12</v>
      </c>
      <c r="E41" s="8">
        <v>0.12</v>
      </c>
      <c r="F41" s="49">
        <f>Patient!C6*IF(Patient!C2="Male",D41,E41)/60</f>
        <v>11.2</v>
      </c>
      <c r="G41" s="16" t="s">
        <v>265</v>
      </c>
      <c r="H41" s="16"/>
      <c r="I41" s="16" t="s">
        <v>1099</v>
      </c>
      <c r="J41" s="16"/>
      <c r="K41" s="24"/>
      <c r="L41" s="46"/>
      <c r="M41" s="4" t="s">
        <v>342</v>
      </c>
      <c r="N41" s="4"/>
      <c r="O41" s="4" t="s">
        <v>62</v>
      </c>
      <c r="P41" s="7" t="s">
        <v>343</v>
      </c>
    </row>
    <row r="42" spans="1:16">
      <c r="A42" s="11" t="s">
        <v>348</v>
      </c>
      <c r="B42" s="16" t="s">
        <v>190</v>
      </c>
      <c r="C42" s="8" t="s">
        <v>43</v>
      </c>
      <c r="D42" s="8"/>
      <c r="E42" s="8"/>
      <c r="F42" s="19">
        <v>40</v>
      </c>
      <c r="G42" s="16" t="s">
        <v>349</v>
      </c>
      <c r="H42" s="16">
        <v>409</v>
      </c>
      <c r="I42" s="16" t="s">
        <v>1099</v>
      </c>
      <c r="J42" s="16"/>
      <c r="K42" s="51"/>
      <c r="L42" s="46"/>
      <c r="M42" s="4" t="s">
        <v>342</v>
      </c>
      <c r="N42" s="4"/>
      <c r="O42" s="4" t="s">
        <v>62</v>
      </c>
      <c r="P42" s="3"/>
    </row>
    <row r="43" spans="1:16">
      <c r="A43" s="11" t="s">
        <v>350</v>
      </c>
      <c r="B43" s="16" t="s">
        <v>16</v>
      </c>
      <c r="C43" s="8" t="s">
        <v>43</v>
      </c>
      <c r="D43" s="8">
        <v>7.0000000000000007E-2</v>
      </c>
      <c r="E43" s="8">
        <v>7.0000000000000007E-2</v>
      </c>
      <c r="F43" s="47">
        <f>Patient!C7*IF(Patient!C2="Male",D43,E43)</f>
        <v>385.67582666054534</v>
      </c>
      <c r="G43" s="16" t="s">
        <v>265</v>
      </c>
      <c r="H43" s="16"/>
      <c r="I43" s="16" t="s">
        <v>1099</v>
      </c>
      <c r="J43" s="16"/>
      <c r="K43" s="44" t="s">
        <v>351</v>
      </c>
      <c r="L43" s="46"/>
      <c r="M43" s="4" t="s">
        <v>342</v>
      </c>
      <c r="N43" s="4"/>
      <c r="O43" s="4" t="s">
        <v>62</v>
      </c>
      <c r="P43" s="7" t="s">
        <v>343</v>
      </c>
    </row>
    <row r="44" spans="1:16">
      <c r="A44" s="11" t="s">
        <v>352</v>
      </c>
      <c r="B44" s="16" t="s">
        <v>301</v>
      </c>
      <c r="C44" s="8" t="s">
        <v>43</v>
      </c>
      <c r="D44" s="8">
        <v>0.05</v>
      </c>
      <c r="E44" s="8">
        <v>0.05</v>
      </c>
      <c r="F44" s="47">
        <f>Patient!C6*IF(Patient!C2="Male",D44,E44)/60</f>
        <v>4.666666666666667</v>
      </c>
      <c r="G44" s="16" t="s">
        <v>265</v>
      </c>
      <c r="H44" s="16"/>
      <c r="I44" s="16" t="s">
        <v>1099</v>
      </c>
      <c r="J44" s="16"/>
      <c r="K44" s="24"/>
      <c r="L44" s="46"/>
      <c r="M44" s="4" t="s">
        <v>342</v>
      </c>
      <c r="N44" s="4"/>
      <c r="O44" s="4" t="s">
        <v>62</v>
      </c>
      <c r="P44" s="7" t="s">
        <v>343</v>
      </c>
    </row>
    <row r="45" spans="1:16">
      <c r="A45" s="11" t="s">
        <v>353</v>
      </c>
      <c r="B45" s="16" t="s">
        <v>16</v>
      </c>
      <c r="C45" s="8" t="s">
        <v>43</v>
      </c>
      <c r="D45" s="8">
        <v>0.05</v>
      </c>
      <c r="E45" s="8">
        <v>8.5000000000000006E-2</v>
      </c>
      <c r="F45" s="47">
        <f>Patient!C7*IF(Patient!C2="Male",D45,E45)</f>
        <v>275.48273332896093</v>
      </c>
      <c r="G45" s="16" t="s">
        <v>265</v>
      </c>
      <c r="H45" s="8"/>
      <c r="I45" s="16" t="s">
        <v>1099</v>
      </c>
      <c r="J45" s="8"/>
      <c r="K45" s="24"/>
      <c r="L45" s="46"/>
      <c r="M45" s="4" t="s">
        <v>342</v>
      </c>
      <c r="N45" s="4"/>
      <c r="O45" s="4" t="s">
        <v>62</v>
      </c>
      <c r="P45" s="7" t="s">
        <v>343</v>
      </c>
    </row>
    <row r="46" spans="1:16">
      <c r="A46" s="11" t="s">
        <v>354</v>
      </c>
      <c r="B46" s="16" t="s">
        <v>301</v>
      </c>
      <c r="C46" s="8" t="s">
        <v>43</v>
      </c>
      <c r="D46" s="8">
        <v>0.05</v>
      </c>
      <c r="E46" s="8">
        <v>8.5000000000000006E-2</v>
      </c>
      <c r="F46" s="47">
        <f>Patient!C6*IF(Patient!C2="Male",D46,E46)/60</f>
        <v>4.666666666666667</v>
      </c>
      <c r="G46" s="16" t="s">
        <v>265</v>
      </c>
      <c r="H46" s="16"/>
      <c r="I46" s="16" t="s">
        <v>1099</v>
      </c>
      <c r="J46" s="16"/>
      <c r="K46" s="24"/>
      <c r="L46" s="46"/>
      <c r="M46" s="4" t="s">
        <v>342</v>
      </c>
      <c r="N46" s="4"/>
      <c r="O46" s="4" t="s">
        <v>62</v>
      </c>
      <c r="P46" s="7" t="s">
        <v>343</v>
      </c>
    </row>
    <row r="47" spans="1:16">
      <c r="A47" s="11" t="s">
        <v>355</v>
      </c>
      <c r="B47" s="16" t="s">
        <v>16</v>
      </c>
      <c r="C47" s="8" t="s">
        <v>43</v>
      </c>
      <c r="D47" s="8">
        <v>0.02</v>
      </c>
      <c r="E47" s="8">
        <v>0.02</v>
      </c>
      <c r="F47" s="47">
        <f>Patient!C7*IF(Patient!C2="Male",D47,E47)</f>
        <v>110.19309333158436</v>
      </c>
      <c r="G47" s="16" t="s">
        <v>265</v>
      </c>
      <c r="H47" s="52"/>
      <c r="I47" s="16" t="s">
        <v>1099</v>
      </c>
      <c r="J47" s="52"/>
      <c r="K47" s="24"/>
      <c r="L47" s="46"/>
      <c r="M47" s="4" t="s">
        <v>342</v>
      </c>
      <c r="N47" s="4"/>
      <c r="O47" s="4" t="s">
        <v>62</v>
      </c>
      <c r="P47" s="7" t="s">
        <v>343</v>
      </c>
    </row>
    <row r="48" spans="1:16">
      <c r="A48" s="11" t="s">
        <v>356</v>
      </c>
      <c r="B48" s="16" t="s">
        <v>301</v>
      </c>
      <c r="C48" s="8" t="s">
        <v>43</v>
      </c>
      <c r="D48" s="8">
        <v>0.19</v>
      </c>
      <c r="E48" s="8">
        <v>0.17</v>
      </c>
      <c r="F48" s="47">
        <f>Patient!C6*IF(Patient!C2="Male",D48,E48)/60</f>
        <v>17.733333333333334</v>
      </c>
      <c r="G48" s="16" t="s">
        <v>265</v>
      </c>
      <c r="H48" s="16"/>
      <c r="I48" s="16" t="s">
        <v>1099</v>
      </c>
      <c r="J48" s="16"/>
      <c r="K48" s="24"/>
      <c r="L48" s="46"/>
      <c r="M48" s="4" t="s">
        <v>342</v>
      </c>
      <c r="N48" s="4"/>
      <c r="O48" s="4" t="s">
        <v>62</v>
      </c>
      <c r="P48" s="7" t="s">
        <v>343</v>
      </c>
    </row>
    <row r="49" spans="1:16" ht="24.75">
      <c r="A49" s="11" t="s">
        <v>357</v>
      </c>
      <c r="B49" s="16" t="s">
        <v>16</v>
      </c>
      <c r="C49" s="8" t="s">
        <v>43</v>
      </c>
      <c r="D49" s="8">
        <v>2.1999999999999999E-2</v>
      </c>
      <c r="E49" s="8">
        <v>2.1999999999999999E-2</v>
      </c>
      <c r="F49" s="47">
        <f>Patient!C7*IF(Patient!C2="Male",D49,E49)</f>
        <v>121.2124026647428</v>
      </c>
      <c r="G49" s="16" t="s">
        <v>265</v>
      </c>
      <c r="H49" s="16"/>
      <c r="I49" s="16" t="s">
        <v>1099</v>
      </c>
      <c r="J49" s="16"/>
      <c r="K49" s="44" t="s">
        <v>358</v>
      </c>
      <c r="L49" s="46"/>
      <c r="M49" s="4" t="s">
        <v>342</v>
      </c>
      <c r="N49" s="4"/>
      <c r="O49" s="4" t="s">
        <v>62</v>
      </c>
      <c r="P49" s="7" t="s">
        <v>343</v>
      </c>
    </row>
    <row r="50" spans="1:16">
      <c r="A50" s="11" t="s">
        <v>359</v>
      </c>
      <c r="B50" s="16" t="s">
        <v>301</v>
      </c>
      <c r="C50" s="8" t="s">
        <v>43</v>
      </c>
      <c r="D50" s="8">
        <v>0.04</v>
      </c>
      <c r="E50" s="8">
        <v>0.05</v>
      </c>
      <c r="F50" s="47">
        <f>Patient!C6*IF(Patient!C2="Male",D50,E50)/60</f>
        <v>3.7333333333333334</v>
      </c>
      <c r="G50" s="16" t="s">
        <v>265</v>
      </c>
      <c r="H50" s="16"/>
      <c r="I50" s="16" t="s">
        <v>1099</v>
      </c>
      <c r="J50" s="16"/>
      <c r="K50" s="24"/>
      <c r="L50" s="46"/>
      <c r="M50" s="4" t="s">
        <v>342</v>
      </c>
      <c r="N50" s="4"/>
      <c r="O50" s="4" t="s">
        <v>62</v>
      </c>
      <c r="P50" s="7" t="s">
        <v>343</v>
      </c>
    </row>
    <row r="51" spans="1:16" ht="36.75">
      <c r="A51" s="11" t="s">
        <v>360</v>
      </c>
      <c r="B51" s="16" t="s">
        <v>16</v>
      </c>
      <c r="C51" s="8" t="s">
        <v>43</v>
      </c>
      <c r="D51" s="8">
        <v>0.02</v>
      </c>
      <c r="E51" s="8">
        <v>0.02</v>
      </c>
      <c r="F51" s="49">
        <f>Patient!C7*IF(Patient!C2="Male",D51,E51)</f>
        <v>110.19309333158436</v>
      </c>
      <c r="G51" s="16" t="s">
        <v>265</v>
      </c>
      <c r="H51" s="16"/>
      <c r="I51" s="16" t="s">
        <v>1099</v>
      </c>
      <c r="J51" s="48"/>
      <c r="K51" s="44" t="s">
        <v>361</v>
      </c>
      <c r="L51" s="46"/>
      <c r="M51" s="4" t="s">
        <v>342</v>
      </c>
      <c r="N51" s="4"/>
      <c r="O51" s="4" t="s">
        <v>62</v>
      </c>
      <c r="P51" s="7" t="s">
        <v>343</v>
      </c>
    </row>
    <row r="52" spans="1:16">
      <c r="A52" s="11" t="s">
        <v>362</v>
      </c>
      <c r="B52" s="16" t="s">
        <v>301</v>
      </c>
      <c r="C52" s="8" t="s">
        <v>43</v>
      </c>
      <c r="D52" s="8">
        <v>1.4999999999999999E-2</v>
      </c>
      <c r="E52" s="8">
        <v>1.4999999999999999E-2</v>
      </c>
      <c r="F52" s="49">
        <f>Patient!C6*IF(Patient!C2="Male",D52,E52)/60</f>
        <v>1.4</v>
      </c>
      <c r="G52" s="16" t="s">
        <v>265</v>
      </c>
      <c r="H52" s="16"/>
      <c r="I52" s="16" t="s">
        <v>1099</v>
      </c>
      <c r="J52" s="48"/>
      <c r="K52" s="44" t="s">
        <v>363</v>
      </c>
      <c r="L52" s="46"/>
      <c r="M52" s="4" t="s">
        <v>342</v>
      </c>
      <c r="N52" s="4"/>
      <c r="O52" s="4"/>
      <c r="P52" s="7" t="s">
        <v>343</v>
      </c>
    </row>
    <row r="53" spans="1:16">
      <c r="A53" s="11" t="s">
        <v>364</v>
      </c>
      <c r="B53" s="16" t="s">
        <v>16</v>
      </c>
      <c r="C53" s="19" t="s">
        <v>365</v>
      </c>
      <c r="D53" s="19"/>
      <c r="E53" s="19"/>
      <c r="F53" s="8" t="s">
        <v>366</v>
      </c>
      <c r="G53" s="16" t="s">
        <v>367</v>
      </c>
      <c r="H53" s="16"/>
      <c r="I53" s="16" t="s">
        <v>1099</v>
      </c>
      <c r="J53" s="48"/>
      <c r="K53" s="24"/>
      <c r="L53" s="46"/>
      <c r="M53" s="4" t="s">
        <v>342</v>
      </c>
      <c r="N53" s="4"/>
      <c r="O53" s="4" t="s">
        <v>62</v>
      </c>
      <c r="P53" s="7" t="s">
        <v>343</v>
      </c>
    </row>
    <row r="54" spans="1:16">
      <c r="A54" s="11" t="s">
        <v>364</v>
      </c>
      <c r="B54" s="16" t="s">
        <v>16</v>
      </c>
      <c r="C54" s="19" t="s">
        <v>368</v>
      </c>
      <c r="D54" s="19"/>
      <c r="E54" s="19"/>
      <c r="F54" s="8" t="s">
        <v>369</v>
      </c>
      <c r="G54" s="16" t="s">
        <v>367</v>
      </c>
      <c r="H54" s="16"/>
      <c r="I54" s="16" t="s">
        <v>1099</v>
      </c>
      <c r="J54" s="48"/>
      <c r="K54" s="24"/>
      <c r="L54" s="46"/>
      <c r="M54" s="4" t="s">
        <v>342</v>
      </c>
      <c r="N54" s="4"/>
      <c r="O54" s="4" t="s">
        <v>62</v>
      </c>
      <c r="P54" s="7" t="s">
        <v>343</v>
      </c>
    </row>
    <row r="55" spans="1:16">
      <c r="A55" s="11" t="s">
        <v>370</v>
      </c>
      <c r="B55" s="16" t="s">
        <v>190</v>
      </c>
      <c r="C55" s="19" t="s">
        <v>365</v>
      </c>
      <c r="D55" s="19"/>
      <c r="E55" s="19"/>
      <c r="F55" s="8" t="s">
        <v>273</v>
      </c>
      <c r="G55" s="16" t="s">
        <v>274</v>
      </c>
      <c r="H55" s="16"/>
      <c r="I55" s="16" t="s">
        <v>1099</v>
      </c>
      <c r="J55" s="48"/>
      <c r="K55" s="24"/>
      <c r="L55" s="46"/>
      <c r="M55" s="4" t="s">
        <v>342</v>
      </c>
      <c r="N55" s="4"/>
      <c r="O55" s="4" t="s">
        <v>62</v>
      </c>
      <c r="P55" s="7" t="s">
        <v>343</v>
      </c>
    </row>
    <row r="56" spans="1:16" ht="48.75">
      <c r="A56" s="11" t="s">
        <v>370</v>
      </c>
      <c r="B56" s="16" t="s">
        <v>190</v>
      </c>
      <c r="C56" s="19" t="s">
        <v>368</v>
      </c>
      <c r="D56" s="19"/>
      <c r="E56" s="19"/>
      <c r="F56" s="8" t="s">
        <v>333</v>
      </c>
      <c r="G56" s="16" t="s">
        <v>335</v>
      </c>
      <c r="H56" s="16" t="s">
        <v>336</v>
      </c>
      <c r="I56" s="16" t="s">
        <v>1099</v>
      </c>
      <c r="J56" s="48"/>
      <c r="K56" s="24" t="s">
        <v>337</v>
      </c>
      <c r="L56" s="46"/>
      <c r="M56" s="4" t="s">
        <v>342</v>
      </c>
      <c r="N56" s="4"/>
      <c r="O56" s="4" t="s">
        <v>62</v>
      </c>
      <c r="P56" s="7" t="s">
        <v>343</v>
      </c>
    </row>
    <row r="57" spans="1:16">
      <c r="A57" s="11" t="s">
        <v>371</v>
      </c>
      <c r="B57" s="16" t="s">
        <v>301</v>
      </c>
      <c r="C57" s="8" t="s">
        <v>43</v>
      </c>
      <c r="D57" s="8">
        <v>1</v>
      </c>
      <c r="E57" s="8">
        <v>1</v>
      </c>
      <c r="F57" s="8">
        <v>94.7</v>
      </c>
      <c r="G57" s="16" t="s">
        <v>265</v>
      </c>
      <c r="H57" s="16"/>
      <c r="I57" s="16" t="s">
        <v>1099</v>
      </c>
      <c r="J57" s="48"/>
      <c r="K57" s="24"/>
      <c r="L57" s="46"/>
      <c r="M57" s="4" t="s">
        <v>342</v>
      </c>
      <c r="N57" s="4"/>
      <c r="O57" s="4" t="s">
        <v>62</v>
      </c>
      <c r="P57" s="7" t="s">
        <v>343</v>
      </c>
    </row>
    <row r="58" spans="1:16" ht="24.75">
      <c r="A58" s="11" t="s">
        <v>372</v>
      </c>
      <c r="B58" s="16" t="s">
        <v>16</v>
      </c>
      <c r="C58" s="8" t="s">
        <v>43</v>
      </c>
      <c r="D58" s="8"/>
      <c r="E58" s="8"/>
      <c r="F58" s="6">
        <f>F47*0.5</f>
        <v>55.096546665792182</v>
      </c>
      <c r="G58" s="25" t="s">
        <v>373</v>
      </c>
      <c r="H58" s="16"/>
      <c r="I58" s="16" t="s">
        <v>1099</v>
      </c>
      <c r="J58" s="48"/>
      <c r="K58" s="44" t="s">
        <v>374</v>
      </c>
      <c r="L58" s="46"/>
      <c r="M58" s="4" t="s">
        <v>342</v>
      </c>
      <c r="N58" s="4"/>
      <c r="O58" s="4" t="s">
        <v>62</v>
      </c>
      <c r="P58" s="7" t="s">
        <v>343</v>
      </c>
    </row>
    <row r="59" spans="1:16" ht="24.75">
      <c r="A59" s="11" t="s">
        <v>375</v>
      </c>
      <c r="B59" s="16" t="s">
        <v>301</v>
      </c>
      <c r="C59" s="8" t="s">
        <v>43</v>
      </c>
      <c r="D59" s="8"/>
      <c r="E59" s="8"/>
      <c r="F59" s="47">
        <f>F48*0.5</f>
        <v>8.8666666666666671</v>
      </c>
      <c r="G59" s="16" t="s">
        <v>265</v>
      </c>
      <c r="H59" s="16"/>
      <c r="I59" s="16" t="s">
        <v>1099</v>
      </c>
      <c r="J59" s="48"/>
      <c r="K59" s="24" t="s">
        <v>376</v>
      </c>
      <c r="L59" s="46"/>
      <c r="M59" s="4" t="s">
        <v>342</v>
      </c>
      <c r="N59" s="4"/>
      <c r="O59" s="4" t="s">
        <v>62</v>
      </c>
      <c r="P59" s="7" t="s">
        <v>343</v>
      </c>
    </row>
    <row r="60" spans="1:16" ht="36.75">
      <c r="A60" s="11" t="s">
        <v>377</v>
      </c>
      <c r="B60" s="16" t="s">
        <v>16</v>
      </c>
      <c r="C60" s="8" t="s">
        <v>43</v>
      </c>
      <c r="D60" s="8">
        <v>0.04</v>
      </c>
      <c r="E60" s="8">
        <v>0.04</v>
      </c>
      <c r="F60" s="49">
        <f>Patient!C7*IF(Patient!C2="Male",D60,E60)</f>
        <v>220.38618666316873</v>
      </c>
      <c r="G60" s="16" t="s">
        <v>265</v>
      </c>
      <c r="H60" s="16"/>
      <c r="I60" s="16" t="s">
        <v>1099</v>
      </c>
      <c r="J60" s="48"/>
      <c r="K60" s="44" t="s">
        <v>361</v>
      </c>
      <c r="L60" s="46"/>
      <c r="M60" s="4" t="s">
        <v>342</v>
      </c>
      <c r="N60" s="4"/>
      <c r="O60" s="4" t="s">
        <v>62</v>
      </c>
      <c r="P60" s="7" t="s">
        <v>343</v>
      </c>
    </row>
    <row r="61" spans="1:16">
      <c r="A61" s="11" t="s">
        <v>378</v>
      </c>
      <c r="B61" s="16" t="s">
        <v>301</v>
      </c>
      <c r="C61" s="8" t="s">
        <v>43</v>
      </c>
      <c r="D61" s="8">
        <v>5.2499999999999998E-2</v>
      </c>
      <c r="E61" s="8">
        <v>5.2499999999999998E-2</v>
      </c>
      <c r="F61" s="49">
        <f>Patient!C6*IF(Patient!C2="Male",D61,E61)/60</f>
        <v>4.9000000000000004</v>
      </c>
      <c r="G61" s="16" t="s">
        <v>379</v>
      </c>
      <c r="H61" s="16"/>
      <c r="I61" s="16" t="s">
        <v>1099</v>
      </c>
      <c r="J61" s="48"/>
      <c r="K61" s="44" t="s">
        <v>380</v>
      </c>
      <c r="L61" s="46"/>
      <c r="M61" s="4" t="s">
        <v>342</v>
      </c>
      <c r="N61" s="4"/>
      <c r="O61" s="4"/>
      <c r="P61" s="7" t="s">
        <v>343</v>
      </c>
    </row>
    <row r="62" spans="1:16" ht="24.75">
      <c r="A62" s="11" t="s">
        <v>381</v>
      </c>
      <c r="B62" s="16" t="s">
        <v>16</v>
      </c>
      <c r="C62" s="8" t="s">
        <v>43</v>
      </c>
      <c r="D62" s="8">
        <v>0.03</v>
      </c>
      <c r="E62" s="8">
        <v>0.03</v>
      </c>
      <c r="F62" s="49">
        <f>Patient!C10*Patient!C7*IF(Patient!C2="Male",D62,E62)</f>
        <v>66.115855998950622</v>
      </c>
      <c r="G62" s="16" t="s">
        <v>265</v>
      </c>
      <c r="H62" s="16"/>
      <c r="I62" s="16" t="s">
        <v>1099</v>
      </c>
      <c r="J62" s="48"/>
      <c r="K62" s="44" t="s">
        <v>382</v>
      </c>
      <c r="L62" s="46"/>
      <c r="M62" s="4" t="s">
        <v>342</v>
      </c>
      <c r="N62" s="4"/>
      <c r="O62" s="4" t="s">
        <v>62</v>
      </c>
      <c r="P62" s="7" t="s">
        <v>343</v>
      </c>
    </row>
    <row r="63" spans="1:16">
      <c r="A63" s="11" t="s">
        <v>383</v>
      </c>
      <c r="B63" s="16" t="s">
        <v>301</v>
      </c>
      <c r="C63" s="8" t="s">
        <v>43</v>
      </c>
      <c r="D63" s="8">
        <v>1</v>
      </c>
      <c r="E63" s="8">
        <v>1</v>
      </c>
      <c r="F63" s="49">
        <f>Patient!C10*Patient!C6*IF(Patient!C3="Male",D63,E63)/60</f>
        <v>37.333333333333336</v>
      </c>
      <c r="G63" s="16" t="s">
        <v>265</v>
      </c>
      <c r="H63" s="16"/>
      <c r="I63" s="16" t="s">
        <v>1099</v>
      </c>
      <c r="J63" s="48"/>
      <c r="K63" s="24"/>
      <c r="L63" s="46"/>
      <c r="M63" s="4" t="s">
        <v>342</v>
      </c>
      <c r="N63" s="4"/>
      <c r="O63" s="4" t="s">
        <v>62</v>
      </c>
      <c r="P63" s="7" t="s">
        <v>343</v>
      </c>
    </row>
    <row r="64" spans="1:16" ht="24.75">
      <c r="A64" s="11" t="s">
        <v>384</v>
      </c>
      <c r="B64" s="16" t="s">
        <v>16</v>
      </c>
      <c r="C64" s="8" t="s">
        <v>43</v>
      </c>
      <c r="D64" s="8">
        <v>0.02</v>
      </c>
      <c r="E64" s="8">
        <v>0.02</v>
      </c>
      <c r="F64" s="49">
        <f>Patient!C10*Patient!C7*IF(Patient!C4="Male",D64,E64)</f>
        <v>44.07723733263375</v>
      </c>
      <c r="G64" s="16" t="s">
        <v>265</v>
      </c>
      <c r="H64" s="16"/>
      <c r="I64" s="16" t="s">
        <v>1099</v>
      </c>
      <c r="J64" s="48"/>
      <c r="K64" s="44" t="s">
        <v>382</v>
      </c>
      <c r="L64" s="46"/>
      <c r="M64" s="4" t="s">
        <v>342</v>
      </c>
      <c r="N64" s="4"/>
      <c r="O64" s="4" t="s">
        <v>62</v>
      </c>
      <c r="P64" s="7" t="s">
        <v>343</v>
      </c>
    </row>
    <row r="65" spans="1:16">
      <c r="A65" s="11" t="s">
        <v>385</v>
      </c>
      <c r="B65" s="16" t="s">
        <v>301</v>
      </c>
      <c r="C65" s="8" t="s">
        <v>43</v>
      </c>
      <c r="D65" s="8">
        <v>1</v>
      </c>
      <c r="E65" s="8">
        <v>1</v>
      </c>
      <c r="F65" s="49">
        <f>Patient!C10*Patient!C6*IF(Patient!C5="Male",D65,E65)/60</f>
        <v>37.333333333333336</v>
      </c>
      <c r="G65" s="16" t="s">
        <v>265</v>
      </c>
      <c r="H65" s="16"/>
      <c r="I65" s="16" t="s">
        <v>1099</v>
      </c>
      <c r="J65" s="48"/>
      <c r="K65" s="24"/>
      <c r="L65" s="46"/>
      <c r="M65" s="4" t="s">
        <v>342</v>
      </c>
      <c r="N65" s="4"/>
      <c r="O65" s="4" t="s">
        <v>62</v>
      </c>
      <c r="P65" s="7" t="s">
        <v>343</v>
      </c>
    </row>
    <row r="66" spans="1:16" ht="24.75">
      <c r="A66" s="11" t="s">
        <v>386</v>
      </c>
      <c r="B66" s="16" t="s">
        <v>16</v>
      </c>
      <c r="C66" s="8" t="s">
        <v>43</v>
      </c>
      <c r="D66" s="8">
        <v>5.5E-2</v>
      </c>
      <c r="E66" s="8">
        <v>5.5E-2</v>
      </c>
      <c r="F66" s="49">
        <f>Patient!C10*Patient!C7*IF(Patient!C6="Male",D66,E66)</f>
        <v>121.21240266474281</v>
      </c>
      <c r="G66" s="16" t="s">
        <v>265</v>
      </c>
      <c r="H66" s="16"/>
      <c r="I66" s="16" t="s">
        <v>1099</v>
      </c>
      <c r="J66" s="48"/>
      <c r="K66" s="44" t="s">
        <v>382</v>
      </c>
      <c r="L66" s="46"/>
      <c r="M66" s="4" t="s">
        <v>342</v>
      </c>
      <c r="N66" s="4"/>
      <c r="O66" s="4" t="s">
        <v>62</v>
      </c>
      <c r="P66" s="7" t="s">
        <v>343</v>
      </c>
    </row>
    <row r="67" spans="1:16">
      <c r="A67" s="11" t="s">
        <v>387</v>
      </c>
      <c r="B67" s="16" t="s">
        <v>301</v>
      </c>
      <c r="C67" s="8" t="s">
        <v>43</v>
      </c>
      <c r="D67" s="8">
        <v>1</v>
      </c>
      <c r="E67" s="8">
        <v>1</v>
      </c>
      <c r="F67" s="49">
        <f>Patient!C10*Patient!C6*IF(Patient!C7="Male",D67,E67)/60</f>
        <v>37.333333333333336</v>
      </c>
      <c r="G67" s="16" t="s">
        <v>265</v>
      </c>
      <c r="H67" s="16"/>
      <c r="I67" s="16" t="s">
        <v>1099</v>
      </c>
      <c r="J67" s="48"/>
      <c r="K67" s="24"/>
      <c r="L67" s="46"/>
      <c r="M67" s="4" t="s">
        <v>342</v>
      </c>
      <c r="N67" s="4"/>
      <c r="O67" s="4" t="s">
        <v>62</v>
      </c>
      <c r="P67" s="7" t="s">
        <v>343</v>
      </c>
    </row>
    <row r="68" spans="1:16" ht="24.75">
      <c r="A68" s="11" t="s">
        <v>388</v>
      </c>
      <c r="B68" s="16" t="s">
        <v>16</v>
      </c>
      <c r="C68" s="8" t="s">
        <v>43</v>
      </c>
      <c r="D68" s="8">
        <v>0.1</v>
      </c>
      <c r="E68" s="8">
        <v>0.1</v>
      </c>
      <c r="F68" s="47">
        <f>Patient!C7*IF(Patient!C2="Male",D68,E68)</f>
        <v>550.96546665792187</v>
      </c>
      <c r="G68" s="16" t="s">
        <v>265</v>
      </c>
      <c r="H68" s="16"/>
      <c r="I68" s="16" t="s">
        <v>1099</v>
      </c>
      <c r="J68" s="16"/>
      <c r="K68" s="44" t="s">
        <v>389</v>
      </c>
      <c r="L68" s="46"/>
      <c r="M68" s="4" t="s">
        <v>342</v>
      </c>
      <c r="N68" s="4"/>
      <c r="O68" s="4" t="s">
        <v>62</v>
      </c>
      <c r="P68" s="7" t="s">
        <v>343</v>
      </c>
    </row>
    <row r="69" spans="1:16">
      <c r="A69" s="11" t="s">
        <v>390</v>
      </c>
      <c r="B69" s="16" t="s">
        <v>301</v>
      </c>
      <c r="C69" s="8" t="s">
        <v>43</v>
      </c>
      <c r="D69" s="8">
        <v>0.255</v>
      </c>
      <c r="E69" s="8">
        <v>0.27</v>
      </c>
      <c r="F69" s="47">
        <f>Patient!C6*IF(Patient!C2="Male",D69,E69)/60</f>
        <v>23.8</v>
      </c>
      <c r="G69" s="16" t="s">
        <v>14</v>
      </c>
      <c r="H69" s="16" t="s">
        <v>391</v>
      </c>
      <c r="I69" s="16" t="s">
        <v>1099</v>
      </c>
      <c r="J69" s="16"/>
      <c r="K69" s="24" t="s">
        <v>392</v>
      </c>
      <c r="L69" s="46"/>
      <c r="M69" s="4" t="s">
        <v>342</v>
      </c>
      <c r="N69" s="4"/>
      <c r="O69" s="4" t="s">
        <v>62</v>
      </c>
      <c r="P69" s="7" t="s">
        <v>343</v>
      </c>
    </row>
    <row r="70" spans="1:16">
      <c r="A70" s="11" t="s">
        <v>393</v>
      </c>
      <c r="B70" s="16" t="s">
        <v>16</v>
      </c>
      <c r="C70" s="8" t="s">
        <v>43</v>
      </c>
      <c r="D70" s="8">
        <v>0.14000000000000001</v>
      </c>
      <c r="E70" s="8">
        <v>0.105</v>
      </c>
      <c r="F70" s="49">
        <f>Patient!C7*IF(Patient!C2="Male",D70,E70)</f>
        <v>771.35165332109068</v>
      </c>
      <c r="G70" s="16" t="s">
        <v>265</v>
      </c>
      <c r="H70" s="16"/>
      <c r="I70" s="16" t="s">
        <v>1099</v>
      </c>
      <c r="J70" s="16"/>
      <c r="K70" s="44" t="s">
        <v>394</v>
      </c>
      <c r="L70" s="46"/>
      <c r="M70" s="4" t="s">
        <v>342</v>
      </c>
      <c r="N70" s="4"/>
      <c r="O70" s="4" t="s">
        <v>62</v>
      </c>
      <c r="P70" s="7" t="s">
        <v>343</v>
      </c>
    </row>
    <row r="71" spans="1:16">
      <c r="A71" s="11" t="s">
        <v>395</v>
      </c>
      <c r="B71" s="16" t="s">
        <v>301</v>
      </c>
      <c r="C71" s="8" t="s">
        <v>43</v>
      </c>
      <c r="D71" s="8">
        <v>0.17</v>
      </c>
      <c r="E71" s="8">
        <v>0.12</v>
      </c>
      <c r="F71" s="49">
        <f>Patient!C6*IF(Patient!C2="Male",D71,E71)/60</f>
        <v>15.866666666666669</v>
      </c>
      <c r="G71" s="16" t="s">
        <v>265</v>
      </c>
      <c r="H71" s="16"/>
      <c r="I71" s="16" t="s">
        <v>1099</v>
      </c>
      <c r="J71" s="16"/>
      <c r="K71" s="24"/>
      <c r="L71" s="46"/>
      <c r="M71" s="4" t="s">
        <v>342</v>
      </c>
      <c r="N71" s="4"/>
      <c r="O71" s="4" t="s">
        <v>62</v>
      </c>
      <c r="P71" s="7" t="s">
        <v>343</v>
      </c>
    </row>
    <row r="72" spans="1:16">
      <c r="A72" s="11" t="s">
        <v>396</v>
      </c>
      <c r="B72" s="16" t="s">
        <v>16</v>
      </c>
      <c r="C72" s="8" t="s">
        <v>43</v>
      </c>
      <c r="D72" s="8">
        <v>0.01</v>
      </c>
      <c r="E72" s="8">
        <v>0.01</v>
      </c>
      <c r="F72" s="49">
        <f>Patient!C7*IF(Patient!C2="Male",D72,E72)</f>
        <v>55.096546665792182</v>
      </c>
      <c r="G72" s="16" t="s">
        <v>265</v>
      </c>
      <c r="H72" s="16"/>
      <c r="I72" s="16" t="s">
        <v>1099</v>
      </c>
      <c r="J72" s="48"/>
      <c r="K72" s="44" t="s">
        <v>397</v>
      </c>
      <c r="L72" s="46"/>
      <c r="M72" s="4" t="s">
        <v>342</v>
      </c>
      <c r="N72" s="4"/>
      <c r="O72" s="4" t="s">
        <v>62</v>
      </c>
      <c r="P72" s="7" t="s">
        <v>343</v>
      </c>
    </row>
    <row r="73" spans="1:16">
      <c r="A73" s="11" t="s">
        <v>398</v>
      </c>
      <c r="B73" s="16" t="s">
        <v>301</v>
      </c>
      <c r="C73" s="8" t="s">
        <v>43</v>
      </c>
      <c r="D73" s="8">
        <v>0.04</v>
      </c>
      <c r="E73" s="8">
        <v>0.05</v>
      </c>
      <c r="F73" s="49">
        <f>Patient!C6*IF(Patient!C2="Male",D73,E73)/60</f>
        <v>3.7333333333333334</v>
      </c>
      <c r="G73" s="16" t="s">
        <v>265</v>
      </c>
      <c r="H73" s="16"/>
      <c r="I73" s="16" t="s">
        <v>1099</v>
      </c>
      <c r="J73" s="48"/>
      <c r="K73" s="24"/>
      <c r="L73" s="46"/>
      <c r="M73" s="4" t="s">
        <v>342</v>
      </c>
      <c r="N73" s="4"/>
      <c r="O73" s="4" t="s">
        <v>62</v>
      </c>
      <c r="P73" s="7" t="s">
        <v>343</v>
      </c>
    </row>
    <row r="74" spans="1:16" ht="24.75">
      <c r="A74" s="11" t="s">
        <v>399</v>
      </c>
      <c r="B74" s="16" t="s">
        <v>16</v>
      </c>
      <c r="C74" s="8" t="s">
        <v>43</v>
      </c>
      <c r="D74" s="8">
        <v>0.03</v>
      </c>
      <c r="E74" s="8">
        <v>0.03</v>
      </c>
      <c r="F74" s="49">
        <f>Patient!C7*IF(Patient!C19="Male",D74,E74)</f>
        <v>165.28963999737655</v>
      </c>
      <c r="G74" s="16" t="s">
        <v>265</v>
      </c>
      <c r="H74" s="16"/>
      <c r="I74" s="16" t="s">
        <v>1099</v>
      </c>
      <c r="J74" s="48"/>
      <c r="K74" s="44" t="s">
        <v>382</v>
      </c>
      <c r="L74" s="46"/>
      <c r="M74" s="4" t="s">
        <v>342</v>
      </c>
      <c r="N74" s="4"/>
      <c r="O74" s="4" t="s">
        <v>62</v>
      </c>
      <c r="P74" s="7" t="s">
        <v>343</v>
      </c>
    </row>
    <row r="75" spans="1:16">
      <c r="A75" s="11" t="s">
        <v>400</v>
      </c>
      <c r="B75" s="16" t="s">
        <v>301</v>
      </c>
      <c r="C75" s="8" t="s">
        <v>43</v>
      </c>
      <c r="D75" s="8">
        <v>1</v>
      </c>
      <c r="E75" s="8">
        <v>1</v>
      </c>
      <c r="F75" s="49">
        <f>Patient!C6*IF(Patient!C2="Male",D75,E75)/60</f>
        <v>93.333333333333329</v>
      </c>
      <c r="G75" s="16" t="s">
        <v>265</v>
      </c>
      <c r="H75" s="16"/>
      <c r="I75" s="16" t="s">
        <v>1099</v>
      </c>
      <c r="J75" s="48"/>
      <c r="K75" s="24"/>
      <c r="L75" s="46"/>
      <c r="M75" s="4" t="s">
        <v>342</v>
      </c>
      <c r="N75" s="4"/>
      <c r="O75" s="4" t="s">
        <v>62</v>
      </c>
      <c r="P75" s="7" t="s">
        <v>343</v>
      </c>
    </row>
    <row r="76" spans="1:16">
      <c r="A76" s="11" t="s">
        <v>401</v>
      </c>
      <c r="B76" s="16" t="s">
        <v>190</v>
      </c>
      <c r="C76" s="19" t="s">
        <v>365</v>
      </c>
      <c r="D76" s="4"/>
      <c r="E76" s="4"/>
      <c r="F76" s="8" t="s">
        <v>273</v>
      </c>
      <c r="G76" s="16" t="s">
        <v>82</v>
      </c>
      <c r="H76" s="16" t="s">
        <v>262</v>
      </c>
      <c r="I76" s="16" t="s">
        <v>1099</v>
      </c>
      <c r="J76" s="48"/>
      <c r="K76" s="24"/>
      <c r="L76" s="46"/>
      <c r="M76" s="4" t="s">
        <v>342</v>
      </c>
      <c r="N76" s="4"/>
      <c r="O76" s="4" t="s">
        <v>62</v>
      </c>
      <c r="P76" s="7" t="s">
        <v>343</v>
      </c>
    </row>
    <row r="77" spans="1:16">
      <c r="A77" s="11" t="s">
        <v>401</v>
      </c>
      <c r="B77" s="16" t="s">
        <v>190</v>
      </c>
      <c r="C77" s="19" t="s">
        <v>368</v>
      </c>
      <c r="D77" s="4"/>
      <c r="E77" s="4"/>
      <c r="F77" s="8" t="s">
        <v>316</v>
      </c>
      <c r="G77" s="16" t="s">
        <v>82</v>
      </c>
      <c r="H77" s="16" t="s">
        <v>262</v>
      </c>
      <c r="I77" s="16" t="s">
        <v>1099</v>
      </c>
      <c r="J77" s="48"/>
      <c r="K77" s="24"/>
      <c r="L77" s="46"/>
      <c r="M77" s="4" t="s">
        <v>342</v>
      </c>
      <c r="N77" s="4"/>
      <c r="O77" s="4" t="s">
        <v>62</v>
      </c>
      <c r="P77" s="7" t="s">
        <v>343</v>
      </c>
    </row>
    <row r="78" spans="1:16" ht="24.75">
      <c r="A78" s="11" t="s">
        <v>402</v>
      </c>
      <c r="B78" s="16" t="s">
        <v>16</v>
      </c>
      <c r="C78" s="8" t="s">
        <v>43</v>
      </c>
      <c r="D78" s="8">
        <v>0.02</v>
      </c>
      <c r="E78" s="8">
        <v>0.02</v>
      </c>
      <c r="F78" s="49">
        <f>Patient!C7*IF(Patient!C2="Male",D78,E78)</f>
        <v>110.19309333158436</v>
      </c>
      <c r="G78" s="16" t="s">
        <v>265</v>
      </c>
      <c r="H78" s="16"/>
      <c r="I78" s="16" t="s">
        <v>1099</v>
      </c>
      <c r="J78" s="48"/>
      <c r="K78" s="44" t="s">
        <v>382</v>
      </c>
      <c r="L78" s="46"/>
      <c r="M78" s="4" t="s">
        <v>342</v>
      </c>
      <c r="N78" s="4"/>
      <c r="O78" s="4" t="s">
        <v>62</v>
      </c>
      <c r="P78" s="7" t="s">
        <v>343</v>
      </c>
    </row>
    <row r="79" spans="1:16">
      <c r="A79" s="11" t="s">
        <v>403</v>
      </c>
      <c r="B79" s="16" t="s">
        <v>301</v>
      </c>
      <c r="C79" s="8" t="s">
        <v>43</v>
      </c>
      <c r="D79" s="8">
        <v>1</v>
      </c>
      <c r="E79" s="8">
        <v>1</v>
      </c>
      <c r="F79" s="49">
        <f>Patient!C6*IF(Patient!C20="Male",D79,E79)/60</f>
        <v>93.333333333333329</v>
      </c>
      <c r="G79" s="16" t="s">
        <v>265</v>
      </c>
      <c r="H79" s="16"/>
      <c r="I79" s="16" t="s">
        <v>1099</v>
      </c>
      <c r="J79" s="48"/>
      <c r="K79" s="24"/>
      <c r="L79" s="46"/>
      <c r="M79" s="4" t="s">
        <v>342</v>
      </c>
      <c r="N79" s="4"/>
      <c r="O79" s="4" t="s">
        <v>62</v>
      </c>
      <c r="P79" s="7" t="s">
        <v>343</v>
      </c>
    </row>
    <row r="80" spans="1:16">
      <c r="A80" s="11" t="s">
        <v>404</v>
      </c>
      <c r="B80" s="16" t="s">
        <v>190</v>
      </c>
      <c r="C80" s="19" t="s">
        <v>43</v>
      </c>
      <c r="D80" s="4"/>
      <c r="E80" s="4"/>
      <c r="F80" s="8" t="s">
        <v>273</v>
      </c>
      <c r="G80" s="16" t="s">
        <v>82</v>
      </c>
      <c r="H80" s="16" t="s">
        <v>262</v>
      </c>
      <c r="I80" s="16" t="s">
        <v>1099</v>
      </c>
      <c r="J80" s="48"/>
      <c r="K80" s="24" t="s">
        <v>405</v>
      </c>
      <c r="L80" s="46"/>
      <c r="M80" s="4" t="s">
        <v>342</v>
      </c>
      <c r="N80" s="4"/>
      <c r="O80" s="4" t="s">
        <v>62</v>
      </c>
      <c r="P80" s="7" t="s">
        <v>343</v>
      </c>
    </row>
    <row r="81" spans="1:16" ht="24.75">
      <c r="A81" s="11" t="s">
        <v>406</v>
      </c>
      <c r="B81" s="16" t="s">
        <v>16</v>
      </c>
      <c r="C81" s="8" t="s">
        <v>43</v>
      </c>
      <c r="D81" s="8">
        <v>5.5E-2</v>
      </c>
      <c r="E81" s="8">
        <v>5.5E-2</v>
      </c>
      <c r="F81" s="49">
        <f>Patient!C7*IF(Patient!C22="Male",D81,E81)</f>
        <v>303.03100666185702</v>
      </c>
      <c r="G81" s="16" t="s">
        <v>265</v>
      </c>
      <c r="H81" s="16"/>
      <c r="I81" s="16" t="s">
        <v>1099</v>
      </c>
      <c r="J81" s="48"/>
      <c r="K81" s="44" t="s">
        <v>382</v>
      </c>
      <c r="L81" s="46"/>
      <c r="M81" s="4" t="s">
        <v>342</v>
      </c>
      <c r="N81" s="4"/>
      <c r="O81" s="4" t="s">
        <v>62</v>
      </c>
      <c r="P81" s="7" t="s">
        <v>343</v>
      </c>
    </row>
    <row r="82" spans="1:16">
      <c r="A82" s="11" t="s">
        <v>407</v>
      </c>
      <c r="B82" s="16" t="s">
        <v>301</v>
      </c>
      <c r="C82" s="8" t="s">
        <v>43</v>
      </c>
      <c r="D82" s="8">
        <v>1</v>
      </c>
      <c r="E82" s="8">
        <v>1</v>
      </c>
      <c r="F82" s="49">
        <f>Patient!C6*IF(Patient!C23="Male",D82,E82)/60</f>
        <v>93.333333333333329</v>
      </c>
      <c r="G82" s="16" t="s">
        <v>265</v>
      </c>
      <c r="H82" s="16"/>
      <c r="I82" s="16" t="s">
        <v>1099</v>
      </c>
      <c r="J82" s="48"/>
      <c r="K82" s="24"/>
      <c r="L82" s="46"/>
      <c r="M82" s="4" t="s">
        <v>342</v>
      </c>
      <c r="N82" s="4"/>
      <c r="O82" s="4" t="s">
        <v>62</v>
      </c>
      <c r="P82" s="7" t="s">
        <v>343</v>
      </c>
    </row>
    <row r="83" spans="1:16" ht="36.75">
      <c r="A83" s="11" t="s">
        <v>408</v>
      </c>
      <c r="B83" s="16" t="s">
        <v>190</v>
      </c>
      <c r="C83" s="19" t="s">
        <v>43</v>
      </c>
      <c r="D83" s="19"/>
      <c r="E83" s="19"/>
      <c r="F83" s="8" t="s">
        <v>273</v>
      </c>
      <c r="G83" s="16" t="s">
        <v>82</v>
      </c>
      <c r="H83" s="16" t="s">
        <v>262</v>
      </c>
      <c r="I83" s="16" t="s">
        <v>1099</v>
      </c>
      <c r="J83" s="48"/>
      <c r="K83" s="24" t="s">
        <v>409</v>
      </c>
      <c r="L83" s="46"/>
      <c r="M83" s="4" t="s">
        <v>342</v>
      </c>
      <c r="N83" s="4"/>
      <c r="O83" s="4" t="s">
        <v>62</v>
      </c>
      <c r="P83" s="7" t="s">
        <v>343</v>
      </c>
    </row>
    <row r="84" spans="1:16" ht="36.75">
      <c r="A84" s="11" t="s">
        <v>410</v>
      </c>
      <c r="B84" s="16" t="s">
        <v>16</v>
      </c>
      <c r="C84" s="8" t="s">
        <v>43</v>
      </c>
      <c r="D84" s="8">
        <v>0.02</v>
      </c>
      <c r="E84" s="8">
        <v>0.02</v>
      </c>
      <c r="F84" s="49">
        <f>Patient!C7*IF(Patient!C2="Male",D84,E84)</f>
        <v>110.19309333158436</v>
      </c>
      <c r="G84" s="16" t="s">
        <v>265</v>
      </c>
      <c r="H84" s="16"/>
      <c r="I84" s="16" t="s">
        <v>1099</v>
      </c>
      <c r="J84" s="48"/>
      <c r="K84" s="44" t="s">
        <v>361</v>
      </c>
      <c r="L84" s="46"/>
      <c r="M84" s="4" t="s">
        <v>342</v>
      </c>
      <c r="N84" s="4"/>
      <c r="O84" s="4" t="s">
        <v>62</v>
      </c>
      <c r="P84" s="7" t="s">
        <v>343</v>
      </c>
    </row>
    <row r="85" spans="1:16">
      <c r="A85" s="11" t="s">
        <v>411</v>
      </c>
      <c r="B85" s="16" t="s">
        <v>301</v>
      </c>
      <c r="C85" s="8" t="s">
        <v>43</v>
      </c>
      <c r="D85" s="8">
        <v>1.4999999999999999E-2</v>
      </c>
      <c r="E85" s="8">
        <v>1.4999999999999999E-2</v>
      </c>
      <c r="F85" s="49">
        <f>Patient!C6*IF(Patient!C2="Male",D85,E85)/60</f>
        <v>1.4</v>
      </c>
      <c r="G85" s="16" t="s">
        <v>412</v>
      </c>
      <c r="H85" s="16"/>
      <c r="I85" s="16" t="s">
        <v>1099</v>
      </c>
      <c r="J85" s="48"/>
      <c r="K85" s="44" t="s">
        <v>363</v>
      </c>
      <c r="L85" s="46"/>
      <c r="M85" s="4" t="s">
        <v>342</v>
      </c>
      <c r="N85" s="4"/>
      <c r="O85" s="4"/>
      <c r="P85" s="7" t="s">
        <v>343</v>
      </c>
    </row>
    <row r="86" spans="1:16" ht="60.75">
      <c r="A86" s="11" t="s">
        <v>413</v>
      </c>
      <c r="B86" s="16" t="s">
        <v>16</v>
      </c>
      <c r="C86" s="19" t="s">
        <v>365</v>
      </c>
      <c r="D86" s="19"/>
      <c r="E86" s="19"/>
      <c r="F86" s="8" t="s">
        <v>414</v>
      </c>
      <c r="G86" s="16" t="s">
        <v>415</v>
      </c>
      <c r="H86" s="16"/>
      <c r="I86" s="16" t="s">
        <v>1099</v>
      </c>
      <c r="J86" s="48"/>
      <c r="K86" s="44" t="s">
        <v>416</v>
      </c>
      <c r="L86" s="46"/>
      <c r="M86" s="4" t="s">
        <v>342</v>
      </c>
      <c r="N86" s="4"/>
      <c r="O86" s="4" t="s">
        <v>62</v>
      </c>
      <c r="P86" s="7" t="s">
        <v>343</v>
      </c>
    </row>
    <row r="87" spans="1:16" ht="24">
      <c r="A87" s="11" t="s">
        <v>413</v>
      </c>
      <c r="B87" s="16" t="s">
        <v>16</v>
      </c>
      <c r="C87" s="19" t="s">
        <v>368</v>
      </c>
      <c r="D87" s="19"/>
      <c r="E87" s="19"/>
      <c r="F87" s="8" t="s">
        <v>417</v>
      </c>
      <c r="G87" s="16" t="s">
        <v>415</v>
      </c>
      <c r="H87" s="16"/>
      <c r="I87" s="16" t="s">
        <v>1099</v>
      </c>
      <c r="J87" s="48"/>
      <c r="K87" s="24"/>
      <c r="L87" s="46"/>
      <c r="M87" s="4" t="s">
        <v>342</v>
      </c>
      <c r="N87" s="4"/>
      <c r="O87" s="4" t="s">
        <v>62</v>
      </c>
      <c r="P87" s="7" t="s">
        <v>343</v>
      </c>
    </row>
    <row r="88" spans="1:16" ht="36.75">
      <c r="A88" s="11" t="s">
        <v>418</v>
      </c>
      <c r="B88" s="16" t="s">
        <v>190</v>
      </c>
      <c r="C88" s="19" t="s">
        <v>365</v>
      </c>
      <c r="D88" s="19"/>
      <c r="E88" s="19"/>
      <c r="F88" s="8" t="s">
        <v>276</v>
      </c>
      <c r="G88" s="16" t="s">
        <v>274</v>
      </c>
      <c r="H88" s="16"/>
      <c r="I88" s="16" t="s">
        <v>1099</v>
      </c>
      <c r="J88" s="48"/>
      <c r="K88" s="24" t="s">
        <v>277</v>
      </c>
      <c r="L88" s="46"/>
      <c r="M88" s="4" t="s">
        <v>342</v>
      </c>
      <c r="N88" s="4"/>
      <c r="O88" s="4" t="s">
        <v>62</v>
      </c>
      <c r="P88" s="7" t="s">
        <v>343</v>
      </c>
    </row>
    <row r="89" spans="1:16">
      <c r="A89" s="11" t="s">
        <v>418</v>
      </c>
      <c r="B89" s="16" t="s">
        <v>190</v>
      </c>
      <c r="C89" s="19" t="s">
        <v>368</v>
      </c>
      <c r="D89" s="19"/>
      <c r="E89" s="19"/>
      <c r="F89" s="8" t="s">
        <v>316</v>
      </c>
      <c r="G89" s="16" t="s">
        <v>274</v>
      </c>
      <c r="H89" s="16"/>
      <c r="I89" s="16" t="s">
        <v>1099</v>
      </c>
      <c r="J89" s="48"/>
      <c r="K89" s="24"/>
      <c r="L89" s="46"/>
      <c r="M89" s="4" t="s">
        <v>342</v>
      </c>
      <c r="N89" s="4"/>
      <c r="O89" s="4" t="s">
        <v>62</v>
      </c>
      <c r="P89" s="7" t="s">
        <v>343</v>
      </c>
    </row>
    <row r="90" spans="1:16">
      <c r="A90" s="11" t="s">
        <v>419</v>
      </c>
      <c r="B90" s="16" t="s">
        <v>301</v>
      </c>
      <c r="C90" s="8" t="s">
        <v>43</v>
      </c>
      <c r="D90" s="8"/>
      <c r="E90" s="8"/>
      <c r="F90" s="8">
        <v>94.7</v>
      </c>
      <c r="G90" s="16" t="s">
        <v>265</v>
      </c>
      <c r="H90" s="16"/>
      <c r="I90" s="16" t="s">
        <v>1099</v>
      </c>
      <c r="J90" s="48"/>
      <c r="K90" s="24"/>
      <c r="L90" s="46"/>
      <c r="M90" s="4" t="s">
        <v>342</v>
      </c>
      <c r="N90" s="4"/>
      <c r="O90" s="4" t="s">
        <v>62</v>
      </c>
      <c r="P90" s="7" t="s">
        <v>343</v>
      </c>
    </row>
    <row r="91" spans="1:16" ht="24.75">
      <c r="A91" s="11" t="s">
        <v>420</v>
      </c>
      <c r="B91" s="16" t="s">
        <v>16</v>
      </c>
      <c r="C91" s="8" t="s">
        <v>43</v>
      </c>
      <c r="D91" s="8"/>
      <c r="E91" s="8"/>
      <c r="F91" s="6">
        <f>F47*0.5</f>
        <v>55.096546665792182</v>
      </c>
      <c r="G91" s="25" t="s">
        <v>373</v>
      </c>
      <c r="H91" s="16"/>
      <c r="I91" s="16" t="s">
        <v>1099</v>
      </c>
      <c r="J91" s="48"/>
      <c r="K91" s="44" t="s">
        <v>374</v>
      </c>
      <c r="L91" s="46"/>
      <c r="M91" s="4" t="s">
        <v>342</v>
      </c>
      <c r="N91" s="4"/>
      <c r="O91" s="4" t="s">
        <v>62</v>
      </c>
      <c r="P91" s="7" t="s">
        <v>343</v>
      </c>
    </row>
    <row r="92" spans="1:16" ht="24.75">
      <c r="A92" s="11" t="s">
        <v>421</v>
      </c>
      <c r="B92" s="16" t="s">
        <v>301</v>
      </c>
      <c r="C92" s="8" t="s">
        <v>43</v>
      </c>
      <c r="D92" s="8"/>
      <c r="E92" s="8"/>
      <c r="F92" s="47">
        <f>F48*0.5</f>
        <v>8.8666666666666671</v>
      </c>
      <c r="G92" s="16" t="s">
        <v>265</v>
      </c>
      <c r="H92" s="16"/>
      <c r="I92" s="16" t="s">
        <v>1099</v>
      </c>
      <c r="J92" s="48"/>
      <c r="K92" s="24" t="s">
        <v>376</v>
      </c>
      <c r="L92" s="46"/>
      <c r="M92" s="4" t="s">
        <v>342</v>
      </c>
      <c r="N92" s="4"/>
      <c r="O92" s="4" t="s">
        <v>62</v>
      </c>
      <c r="P92" s="7" t="s">
        <v>343</v>
      </c>
    </row>
    <row r="93" spans="1:16" ht="36.75">
      <c r="A93" s="11" t="s">
        <v>422</v>
      </c>
      <c r="B93" s="16" t="s">
        <v>16</v>
      </c>
      <c r="C93" s="8" t="s">
        <v>43</v>
      </c>
      <c r="D93" s="8">
        <v>0.04</v>
      </c>
      <c r="E93" s="8">
        <v>0.04</v>
      </c>
      <c r="F93" s="49">
        <f>Patient!C7*IF(Patient!C2="Male",D93,E93)</f>
        <v>220.38618666316873</v>
      </c>
      <c r="G93" s="16" t="s">
        <v>265</v>
      </c>
      <c r="H93" s="16"/>
      <c r="I93" s="16" t="s">
        <v>1099</v>
      </c>
      <c r="J93" s="48"/>
      <c r="K93" s="44" t="s">
        <v>361</v>
      </c>
      <c r="L93" s="46"/>
      <c r="M93" s="4" t="s">
        <v>342</v>
      </c>
      <c r="N93" s="4"/>
      <c r="O93" s="4" t="s">
        <v>62</v>
      </c>
      <c r="P93" s="7" t="s">
        <v>343</v>
      </c>
    </row>
    <row r="94" spans="1:16">
      <c r="A94" s="11" t="s">
        <v>423</v>
      </c>
      <c r="B94" s="16" t="s">
        <v>301</v>
      </c>
      <c r="C94" s="8" t="s">
        <v>43</v>
      </c>
      <c r="D94" s="8">
        <v>5.2499999999999998E-2</v>
      </c>
      <c r="E94" s="8">
        <v>5.2499999999999998E-2</v>
      </c>
      <c r="F94" s="49">
        <f>Patient!C6*IF(Patient!C2="Male",D94,E94)/60</f>
        <v>4.9000000000000004</v>
      </c>
      <c r="G94" s="16" t="s">
        <v>379</v>
      </c>
      <c r="H94" s="16"/>
      <c r="I94" s="16" t="s">
        <v>1099</v>
      </c>
      <c r="J94" s="48"/>
      <c r="K94" s="44" t="s">
        <v>380</v>
      </c>
      <c r="L94" s="46"/>
      <c r="M94" s="4" t="s">
        <v>342</v>
      </c>
      <c r="N94" s="4"/>
      <c r="O94" s="4"/>
      <c r="P94" s="7" t="s">
        <v>343</v>
      </c>
    </row>
    <row r="95" spans="1:16" ht="24.75">
      <c r="A95" s="11" t="s">
        <v>424</v>
      </c>
      <c r="B95" s="16" t="s">
        <v>16</v>
      </c>
      <c r="C95" s="8" t="s">
        <v>43</v>
      </c>
      <c r="D95" s="8">
        <v>0.03</v>
      </c>
      <c r="E95" s="8">
        <v>0.03</v>
      </c>
      <c r="F95" s="49">
        <f>Patient!C9*Patient!C7*IF(Patient!C2="Male",D95,E95)</f>
        <v>99.173783998425932</v>
      </c>
      <c r="G95" s="16" t="s">
        <v>265</v>
      </c>
      <c r="H95" s="16"/>
      <c r="I95" s="16" t="s">
        <v>1099</v>
      </c>
      <c r="J95" s="48"/>
      <c r="K95" s="44" t="s">
        <v>382</v>
      </c>
      <c r="L95" s="46"/>
      <c r="M95" s="4" t="s">
        <v>342</v>
      </c>
      <c r="N95" s="4"/>
      <c r="O95" s="4" t="s">
        <v>62</v>
      </c>
      <c r="P95" s="7" t="s">
        <v>343</v>
      </c>
    </row>
    <row r="96" spans="1:16">
      <c r="A96" s="11" t="s">
        <v>425</v>
      </c>
      <c r="B96" s="16" t="s">
        <v>301</v>
      </c>
      <c r="C96" s="8" t="s">
        <v>43</v>
      </c>
      <c r="D96" s="8">
        <v>1</v>
      </c>
      <c r="E96" s="8">
        <v>1</v>
      </c>
      <c r="F96" s="8">
        <f>Patient!C9*Patient!C6*IF(Patient!C2="Male",D96,E96)/60</f>
        <v>56</v>
      </c>
      <c r="G96" s="16" t="s">
        <v>265</v>
      </c>
      <c r="H96" s="16"/>
      <c r="I96" s="16" t="s">
        <v>1099</v>
      </c>
      <c r="J96" s="48"/>
      <c r="K96" s="24"/>
      <c r="L96" s="46"/>
      <c r="M96" s="4" t="s">
        <v>342</v>
      </c>
      <c r="N96" s="4"/>
      <c r="O96" s="4" t="s">
        <v>62</v>
      </c>
      <c r="P96" s="7" t="s">
        <v>343</v>
      </c>
    </row>
    <row r="97" spans="1:16" ht="24.75">
      <c r="A97" s="11" t="s">
        <v>426</v>
      </c>
      <c r="B97" s="16" t="s">
        <v>16</v>
      </c>
      <c r="C97" s="8" t="s">
        <v>43</v>
      </c>
      <c r="D97" s="8">
        <v>0.02</v>
      </c>
      <c r="E97" s="8">
        <v>0.02</v>
      </c>
      <c r="F97" s="49">
        <f>Patient!C9*Patient!C7*IF(Patient!C2="Male",D97,E97)</f>
        <v>66.115855998950622</v>
      </c>
      <c r="G97" s="16" t="s">
        <v>265</v>
      </c>
      <c r="H97" s="16"/>
      <c r="I97" s="16" t="s">
        <v>1099</v>
      </c>
      <c r="J97" s="48"/>
      <c r="K97" s="44" t="s">
        <v>382</v>
      </c>
      <c r="L97" s="46"/>
      <c r="M97" s="4" t="s">
        <v>342</v>
      </c>
      <c r="N97" s="4"/>
      <c r="O97" s="4" t="s">
        <v>62</v>
      </c>
      <c r="P97" s="7" t="s">
        <v>343</v>
      </c>
    </row>
    <row r="98" spans="1:16">
      <c r="A98" s="11" t="s">
        <v>427</v>
      </c>
      <c r="B98" s="16" t="s">
        <v>301</v>
      </c>
      <c r="C98" s="8" t="s">
        <v>43</v>
      </c>
      <c r="D98" s="8">
        <v>1</v>
      </c>
      <c r="E98" s="8">
        <v>1</v>
      </c>
      <c r="F98" s="8">
        <f>Patient!C9*Patient!C6*IF(Patient!C2="Male",D98,E98)/60</f>
        <v>56</v>
      </c>
      <c r="G98" s="16" t="s">
        <v>265</v>
      </c>
      <c r="H98" s="16"/>
      <c r="I98" s="16" t="s">
        <v>1099</v>
      </c>
      <c r="J98" s="48"/>
      <c r="K98" s="24"/>
      <c r="L98" s="46"/>
      <c r="M98" s="4" t="s">
        <v>342</v>
      </c>
      <c r="N98" s="4"/>
      <c r="O98" s="4" t="s">
        <v>62</v>
      </c>
      <c r="P98" s="7" t="s">
        <v>343</v>
      </c>
    </row>
    <row r="99" spans="1:16" ht="24.75">
      <c r="A99" s="11" t="s">
        <v>428</v>
      </c>
      <c r="B99" s="16" t="s">
        <v>16</v>
      </c>
      <c r="C99" s="8" t="s">
        <v>43</v>
      </c>
      <c r="D99" s="8">
        <v>5.5E-2</v>
      </c>
      <c r="E99" s="8">
        <v>5.5E-2</v>
      </c>
      <c r="F99" s="49">
        <f>Patient!C9*Patient!C7*IF(Patient!C2="Male",D99,E99)</f>
        <v>181.8186039971142</v>
      </c>
      <c r="G99" s="16" t="s">
        <v>265</v>
      </c>
      <c r="H99" s="16"/>
      <c r="I99" s="16" t="s">
        <v>1099</v>
      </c>
      <c r="J99" s="16"/>
      <c r="K99" s="44" t="s">
        <v>382</v>
      </c>
      <c r="L99" s="46"/>
      <c r="M99" s="4" t="s">
        <v>342</v>
      </c>
      <c r="N99" s="4"/>
      <c r="O99" s="4" t="s">
        <v>62</v>
      </c>
      <c r="P99" s="7" t="s">
        <v>343</v>
      </c>
    </row>
    <row r="100" spans="1:16">
      <c r="A100" s="11" t="s">
        <v>429</v>
      </c>
      <c r="B100" s="16" t="s">
        <v>301</v>
      </c>
      <c r="C100" s="8" t="s">
        <v>43</v>
      </c>
      <c r="D100" s="8">
        <v>1</v>
      </c>
      <c r="E100" s="8">
        <v>1</v>
      </c>
      <c r="F100" s="8">
        <f>Patient!C9*Patient!C6*IF(Patient!C2="Male",D100,E100)/60</f>
        <v>56</v>
      </c>
      <c r="G100" s="16" t="s">
        <v>265</v>
      </c>
      <c r="H100" s="16"/>
      <c r="I100" s="16" t="s">
        <v>1099</v>
      </c>
      <c r="J100" s="16"/>
      <c r="K100" s="24"/>
      <c r="L100" s="46"/>
      <c r="M100" s="4" t="s">
        <v>342</v>
      </c>
      <c r="N100" s="4"/>
      <c r="O100" s="4" t="s">
        <v>62</v>
      </c>
      <c r="P100" s="7" t="s">
        <v>343</v>
      </c>
    </row>
    <row r="101" spans="1:16" ht="24.75">
      <c r="A101" s="11" t="s">
        <v>430</v>
      </c>
      <c r="B101" s="16" t="s">
        <v>16</v>
      </c>
      <c r="C101" s="8" t="s">
        <v>43</v>
      </c>
      <c r="D101" s="8">
        <v>0.03</v>
      </c>
      <c r="E101" s="8">
        <v>0.03</v>
      </c>
      <c r="F101" s="49">
        <f>Patient!C7*IF(Patient!C2="Male",D101,E101)</f>
        <v>165.28963999737655</v>
      </c>
      <c r="G101" s="16" t="s">
        <v>265</v>
      </c>
      <c r="H101" s="16"/>
      <c r="I101" s="16" t="s">
        <v>1099</v>
      </c>
      <c r="J101" s="16"/>
      <c r="K101" s="44" t="s">
        <v>389</v>
      </c>
      <c r="L101" s="46"/>
      <c r="M101" s="4" t="s">
        <v>342</v>
      </c>
      <c r="N101" s="4"/>
      <c r="O101" s="4" t="s">
        <v>62</v>
      </c>
      <c r="P101" s="7" t="s">
        <v>343</v>
      </c>
    </row>
    <row r="102" spans="1:16">
      <c r="A102" s="11" t="s">
        <v>431</v>
      </c>
      <c r="B102" s="16" t="s">
        <v>301</v>
      </c>
      <c r="C102" s="8" t="s">
        <v>43</v>
      </c>
      <c r="D102" s="8">
        <v>0.05</v>
      </c>
      <c r="E102" s="8">
        <v>0.05</v>
      </c>
      <c r="F102" s="49">
        <f>Patient!C6*IF(Patient!C2="Male",D102,E102)/60</f>
        <v>4.666666666666667</v>
      </c>
      <c r="G102" s="16" t="s">
        <v>265</v>
      </c>
      <c r="H102" s="16"/>
      <c r="I102" s="16" t="s">
        <v>1099</v>
      </c>
      <c r="J102" s="16"/>
      <c r="K102" s="24"/>
      <c r="L102" s="46"/>
      <c r="M102" s="4" t="s">
        <v>342</v>
      </c>
      <c r="N102" s="4"/>
      <c r="O102" s="4" t="s">
        <v>62</v>
      </c>
      <c r="P102" s="7" t="s">
        <v>343</v>
      </c>
    </row>
    <row r="103" spans="1:16">
      <c r="A103" s="11" t="s">
        <v>432</v>
      </c>
      <c r="B103" s="16" t="s">
        <v>16</v>
      </c>
      <c r="C103" s="8" t="s">
        <v>43</v>
      </c>
      <c r="D103" s="8">
        <v>3.7999999999999999E-2</v>
      </c>
      <c r="E103" s="8">
        <v>3.7999999999999999E-2</v>
      </c>
      <c r="F103" s="47">
        <f>Patient!C7*IF(Patient!C2="Male",D103,E103)</f>
        <v>209.36687733001028</v>
      </c>
      <c r="G103" s="16" t="s">
        <v>265</v>
      </c>
      <c r="H103" s="16"/>
      <c r="I103" s="16" t="s">
        <v>1099</v>
      </c>
      <c r="J103" s="16"/>
      <c r="K103" s="24"/>
      <c r="L103" s="46"/>
      <c r="M103" s="4" t="s">
        <v>342</v>
      </c>
      <c r="N103" s="4"/>
      <c r="O103" s="4" t="s">
        <v>62</v>
      </c>
      <c r="P103" s="7" t="s">
        <v>343</v>
      </c>
    </row>
    <row r="104" spans="1:16">
      <c r="A104" s="11" t="s">
        <v>433</v>
      </c>
      <c r="B104" s="16" t="s">
        <v>301</v>
      </c>
      <c r="C104" s="8" t="s">
        <v>43</v>
      </c>
      <c r="D104" s="8">
        <v>0.1</v>
      </c>
      <c r="E104" s="8">
        <v>0.11</v>
      </c>
      <c r="F104" s="47">
        <f>Patient!C6*IF(Patient!C2="Male",D104,E104)/60</f>
        <v>9.3333333333333339</v>
      </c>
      <c r="G104" s="16" t="s">
        <v>265</v>
      </c>
      <c r="H104" s="16"/>
      <c r="I104" s="16" t="s">
        <v>1099</v>
      </c>
      <c r="J104" s="16"/>
      <c r="K104" s="24"/>
      <c r="L104" s="46"/>
      <c r="M104" s="4" t="s">
        <v>342</v>
      </c>
      <c r="N104" s="4"/>
      <c r="O104" s="4" t="s">
        <v>62</v>
      </c>
      <c r="P104" s="7" t="s">
        <v>343</v>
      </c>
    </row>
    <row r="105" spans="1:16">
      <c r="A105" s="11" t="s">
        <v>434</v>
      </c>
      <c r="B105" s="16" t="s">
        <v>16</v>
      </c>
      <c r="C105" s="8" t="s">
        <v>43</v>
      </c>
      <c r="D105" s="8">
        <v>0.01</v>
      </c>
      <c r="E105" s="8">
        <v>0.01</v>
      </c>
      <c r="F105" s="47">
        <f>Patient!C7*IF(Patient!C2="Male",D105,E105)</f>
        <v>55.096546665792182</v>
      </c>
      <c r="G105" s="16" t="s">
        <v>265</v>
      </c>
      <c r="H105" s="16"/>
      <c r="I105" s="16" t="s">
        <v>1099</v>
      </c>
      <c r="J105" s="16"/>
      <c r="K105" s="24"/>
      <c r="L105" s="46"/>
      <c r="M105" s="4" t="s">
        <v>342</v>
      </c>
      <c r="N105" s="4"/>
      <c r="O105" s="4" t="s">
        <v>62</v>
      </c>
      <c r="P105" s="7" t="s">
        <v>343</v>
      </c>
    </row>
    <row r="106" spans="1:16">
      <c r="A106" s="11" t="s">
        <v>435</v>
      </c>
      <c r="B106" s="16" t="s">
        <v>301</v>
      </c>
      <c r="C106" s="8" t="s">
        <v>43</v>
      </c>
      <c r="D106" s="8">
        <v>0.01</v>
      </c>
      <c r="E106" s="8">
        <v>0.01</v>
      </c>
      <c r="F106" s="47">
        <f>Patient!C6*IF(Patient!C2="Male",D106,E106)/60</f>
        <v>0.93333333333333335</v>
      </c>
      <c r="G106" s="16" t="s">
        <v>265</v>
      </c>
      <c r="H106" s="8"/>
      <c r="I106" s="16" t="s">
        <v>1099</v>
      </c>
      <c r="J106" s="8"/>
      <c r="K106" s="44" t="s">
        <v>436</v>
      </c>
      <c r="L106" s="46"/>
      <c r="M106" s="4" t="s">
        <v>342</v>
      </c>
      <c r="N106" s="4"/>
      <c r="O106" s="4" t="s">
        <v>62</v>
      </c>
      <c r="P106" s="7" t="s">
        <v>343</v>
      </c>
    </row>
    <row r="107" spans="1:16">
      <c r="A107" s="11" t="s">
        <v>437</v>
      </c>
      <c r="B107" s="16" t="s">
        <v>16</v>
      </c>
      <c r="C107" s="8" t="s">
        <v>43</v>
      </c>
      <c r="D107" s="8">
        <v>1.4E-2</v>
      </c>
      <c r="E107" s="8">
        <v>1.4E-2</v>
      </c>
      <c r="F107" s="47">
        <f>Patient!C7*IF(Patient!C2="Male",D107,E107)</f>
        <v>77.135165332109054</v>
      </c>
      <c r="G107" s="16" t="s">
        <v>265</v>
      </c>
      <c r="H107" s="16"/>
      <c r="I107" s="16" t="s">
        <v>1099</v>
      </c>
      <c r="J107" s="48"/>
      <c r="K107" s="24"/>
      <c r="L107" s="46"/>
      <c r="M107" s="4" t="s">
        <v>342</v>
      </c>
      <c r="N107" s="4"/>
      <c r="O107" s="4" t="s">
        <v>62</v>
      </c>
      <c r="P107" s="7" t="s">
        <v>343</v>
      </c>
    </row>
    <row r="108" spans="1:16">
      <c r="A108" s="11" t="s">
        <v>438</v>
      </c>
      <c r="B108" s="16" t="s">
        <v>301</v>
      </c>
      <c r="C108" s="8" t="s">
        <v>43</v>
      </c>
      <c r="D108" s="8">
        <v>0.03</v>
      </c>
      <c r="E108" s="8">
        <v>0.03</v>
      </c>
      <c r="F108" s="47">
        <f>Patient!C6*IF(Patient!C2="Male",D108,E108)/60</f>
        <v>2.8</v>
      </c>
      <c r="G108" s="16" t="s">
        <v>265</v>
      </c>
      <c r="H108" s="16"/>
      <c r="I108" s="16" t="s">
        <v>1099</v>
      </c>
      <c r="J108" s="48"/>
      <c r="K108" s="24"/>
      <c r="L108" s="46"/>
      <c r="M108" s="4" t="s">
        <v>342</v>
      </c>
      <c r="N108" s="4"/>
      <c r="O108" s="4" t="s">
        <v>62</v>
      </c>
      <c r="P108" s="7" t="s">
        <v>343</v>
      </c>
    </row>
    <row r="109" spans="1:16" ht="24.75">
      <c r="A109" s="11" t="s">
        <v>439</v>
      </c>
      <c r="B109" s="16" t="s">
        <v>16</v>
      </c>
      <c r="C109" s="8" t="s">
        <v>43</v>
      </c>
      <c r="D109" s="8">
        <v>0.17499999999999999</v>
      </c>
      <c r="E109" s="8">
        <v>0.17499999999999999</v>
      </c>
      <c r="F109" s="49">
        <f>Patient!C7*IF(Patient!C2="Male",D109,E109)</f>
        <v>964.18956665136318</v>
      </c>
      <c r="G109" s="16" t="s">
        <v>265</v>
      </c>
      <c r="H109" s="25"/>
      <c r="I109" s="16" t="s">
        <v>1099</v>
      </c>
      <c r="J109" s="4"/>
      <c r="K109" s="44" t="s">
        <v>389</v>
      </c>
      <c r="L109" s="53"/>
      <c r="M109" s="4" t="s">
        <v>342</v>
      </c>
      <c r="N109" s="4"/>
      <c r="O109" s="4" t="s">
        <v>62</v>
      </c>
      <c r="P109" s="7" t="s">
        <v>343</v>
      </c>
    </row>
    <row r="110" spans="1:16">
      <c r="A110" s="11" t="s">
        <v>440</v>
      </c>
      <c r="B110" s="16" t="s">
        <v>301</v>
      </c>
      <c r="C110" s="8" t="s">
        <v>43</v>
      </c>
      <c r="D110" s="8">
        <v>1</v>
      </c>
      <c r="E110" s="8">
        <v>1</v>
      </c>
      <c r="F110" s="49">
        <f>Patient!C6*IF(Patient!C2="Male",D110,E110)/60</f>
        <v>93.333333333333329</v>
      </c>
      <c r="G110" s="16" t="s">
        <v>265</v>
      </c>
      <c r="H110" s="25"/>
      <c r="I110" s="16" t="s">
        <v>1099</v>
      </c>
      <c r="J110" s="4"/>
      <c r="K110" s="31"/>
      <c r="L110" s="53"/>
      <c r="M110" s="4" t="s">
        <v>342</v>
      </c>
      <c r="N110" s="4"/>
      <c r="O110" s="4" t="s">
        <v>62</v>
      </c>
      <c r="P110" s="7" t="s">
        <v>343</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L2"/>
  <sheetViews>
    <sheetView zoomScaleNormal="100" workbookViewId="0">
      <pane xSplit="1" ySplit="1" topLeftCell="D2" activePane="bottomRight" state="frozen"/>
      <selection pane="topRight" activeCell="B1" sqref="B1"/>
      <selection pane="bottomLeft" activeCell="A2" sqref="A2"/>
      <selection pane="bottomRight" activeCell="H11" sqref="H11"/>
    </sheetView>
  </sheetViews>
  <sheetFormatPr defaultRowHeight="15"/>
  <cols>
    <col min="1" max="1" width="20.7109375" style="1" customWidth="1"/>
    <col min="2" max="2" width="9.85546875" style="1" customWidth="1"/>
    <col min="3" max="5" width="18.5703125" style="54" customWidth="1"/>
    <col min="6" max="6" width="9.140625" style="54" customWidth="1"/>
    <col min="7" max="8" width="17.28515625" style="1" customWidth="1"/>
    <col min="9" max="9" width="11.42578125" style="1" bestFit="1" customWidth="1"/>
    <col min="10" max="10" width="17.28515625" style="1" customWidth="1"/>
    <col min="11" max="11" width="29.7109375" style="1" customWidth="1"/>
    <col min="12" max="12" width="21.42578125" style="1" customWidth="1"/>
    <col min="13" max="13" width="18.28515625" style="1" customWidth="1"/>
    <col min="14" max="14" width="28.85546875" style="1" customWidth="1"/>
    <col min="15" max="15" width="30.42578125" style="1" customWidth="1"/>
    <col min="16" max="1026" width="9.140625" style="1" customWidth="1"/>
  </cols>
  <sheetData>
    <row r="1" spans="1:1026" ht="24">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026" s="106" customFormat="1" ht="72">
      <c r="A2" s="55" t="s">
        <v>441</v>
      </c>
      <c r="B2" s="4" t="s">
        <v>442</v>
      </c>
      <c r="C2" s="8" t="s">
        <v>43</v>
      </c>
      <c r="D2" s="8"/>
      <c r="E2" s="8"/>
      <c r="F2" s="4" t="s">
        <v>443</v>
      </c>
      <c r="G2" s="4" t="s">
        <v>444</v>
      </c>
      <c r="H2" s="68"/>
      <c r="I2" s="4" t="s">
        <v>1099</v>
      </c>
      <c r="J2" s="4"/>
      <c r="K2" s="25" t="s">
        <v>445</v>
      </c>
      <c r="L2" s="4"/>
      <c r="M2" s="4" t="s">
        <v>446</v>
      </c>
      <c r="N2" s="4"/>
      <c r="O2" s="4" t="s">
        <v>52</v>
      </c>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5"/>
      <c r="IV2" s="105"/>
      <c r="IW2" s="105"/>
      <c r="IX2" s="105"/>
      <c r="IY2" s="105"/>
      <c r="IZ2" s="105"/>
      <c r="JA2" s="105"/>
      <c r="JB2" s="105"/>
      <c r="JC2" s="105"/>
      <c r="JD2" s="105"/>
      <c r="JE2" s="105"/>
      <c r="JF2" s="105"/>
      <c r="JG2" s="105"/>
      <c r="JH2" s="105"/>
      <c r="JI2" s="105"/>
      <c r="JJ2" s="105"/>
      <c r="JK2" s="105"/>
      <c r="JL2" s="105"/>
      <c r="JM2" s="105"/>
      <c r="JN2" s="105"/>
      <c r="JO2" s="105"/>
      <c r="JP2" s="105"/>
      <c r="JQ2" s="105"/>
      <c r="JR2" s="105"/>
      <c r="JS2" s="105"/>
      <c r="JT2" s="105"/>
      <c r="JU2" s="105"/>
      <c r="JV2" s="105"/>
      <c r="JW2" s="105"/>
      <c r="JX2" s="105"/>
      <c r="JY2" s="105"/>
      <c r="JZ2" s="105"/>
      <c r="KA2" s="105"/>
      <c r="KB2" s="105"/>
      <c r="KC2" s="105"/>
      <c r="KD2" s="105"/>
      <c r="KE2" s="105"/>
      <c r="KF2" s="105"/>
      <c r="KG2" s="105"/>
      <c r="KH2" s="105"/>
      <c r="KI2" s="105"/>
      <c r="KJ2" s="105"/>
      <c r="KK2" s="105"/>
      <c r="KL2" s="105"/>
      <c r="KM2" s="105"/>
      <c r="KN2" s="105"/>
      <c r="KO2" s="105"/>
      <c r="KP2" s="105"/>
      <c r="KQ2" s="105"/>
      <c r="KR2" s="105"/>
      <c r="KS2" s="105"/>
      <c r="KT2" s="105"/>
      <c r="KU2" s="105"/>
      <c r="KV2" s="105"/>
      <c r="KW2" s="105"/>
      <c r="KX2" s="105"/>
      <c r="KY2" s="105"/>
      <c r="KZ2" s="105"/>
      <c r="LA2" s="105"/>
      <c r="LB2" s="105"/>
      <c r="LC2" s="105"/>
      <c r="LD2" s="105"/>
      <c r="LE2" s="105"/>
      <c r="LF2" s="105"/>
      <c r="LG2" s="105"/>
      <c r="LH2" s="105"/>
      <c r="LI2" s="105"/>
      <c r="LJ2" s="105"/>
      <c r="LK2" s="105"/>
      <c r="LL2" s="105"/>
      <c r="LM2" s="105"/>
      <c r="LN2" s="105"/>
      <c r="LO2" s="105"/>
      <c r="LP2" s="105"/>
      <c r="LQ2" s="105"/>
      <c r="LR2" s="105"/>
      <c r="LS2" s="105"/>
      <c r="LT2" s="105"/>
      <c r="LU2" s="105"/>
      <c r="LV2" s="105"/>
      <c r="LW2" s="105"/>
      <c r="LX2" s="105"/>
      <c r="LY2" s="105"/>
      <c r="LZ2" s="105"/>
      <c r="MA2" s="105"/>
      <c r="MB2" s="105"/>
      <c r="MC2" s="105"/>
      <c r="MD2" s="105"/>
      <c r="ME2" s="105"/>
      <c r="MF2" s="105"/>
      <c r="MG2" s="105"/>
      <c r="MH2" s="105"/>
      <c r="MI2" s="105"/>
      <c r="MJ2" s="105"/>
      <c r="MK2" s="105"/>
      <c r="ML2" s="105"/>
      <c r="MM2" s="105"/>
      <c r="MN2" s="105"/>
      <c r="MO2" s="105"/>
      <c r="MP2" s="105"/>
      <c r="MQ2" s="105"/>
      <c r="MR2" s="105"/>
      <c r="MS2" s="105"/>
      <c r="MT2" s="105"/>
      <c r="MU2" s="105"/>
      <c r="MV2" s="105"/>
      <c r="MW2" s="105"/>
      <c r="MX2" s="105"/>
      <c r="MY2" s="105"/>
      <c r="MZ2" s="105"/>
      <c r="NA2" s="105"/>
      <c r="NB2" s="105"/>
      <c r="NC2" s="105"/>
      <c r="ND2" s="105"/>
      <c r="NE2" s="105"/>
      <c r="NF2" s="105"/>
      <c r="NG2" s="105"/>
      <c r="NH2" s="105"/>
      <c r="NI2" s="105"/>
      <c r="NJ2" s="105"/>
      <c r="NK2" s="105"/>
      <c r="NL2" s="105"/>
      <c r="NM2" s="105"/>
      <c r="NN2" s="105"/>
      <c r="NO2" s="105"/>
      <c r="NP2" s="105"/>
      <c r="NQ2" s="105"/>
      <c r="NR2" s="105"/>
      <c r="NS2" s="105"/>
      <c r="NT2" s="105"/>
      <c r="NU2" s="105"/>
      <c r="NV2" s="105"/>
      <c r="NW2" s="105"/>
      <c r="NX2" s="105"/>
      <c r="NY2" s="105"/>
      <c r="NZ2" s="105"/>
      <c r="OA2" s="105"/>
      <c r="OB2" s="105"/>
      <c r="OC2" s="105"/>
      <c r="OD2" s="105"/>
      <c r="OE2" s="105"/>
      <c r="OF2" s="105"/>
      <c r="OG2" s="105"/>
      <c r="OH2" s="105"/>
      <c r="OI2" s="105"/>
      <c r="OJ2" s="105"/>
      <c r="OK2" s="105"/>
      <c r="OL2" s="105"/>
      <c r="OM2" s="105"/>
      <c r="ON2" s="105"/>
      <c r="OO2" s="105"/>
      <c r="OP2" s="105"/>
      <c r="OQ2" s="105"/>
      <c r="OR2" s="105"/>
      <c r="OS2" s="105"/>
      <c r="OT2" s="105"/>
      <c r="OU2" s="105"/>
      <c r="OV2" s="105"/>
      <c r="OW2" s="105"/>
      <c r="OX2" s="105"/>
      <c r="OY2" s="105"/>
      <c r="OZ2" s="105"/>
      <c r="PA2" s="105"/>
      <c r="PB2" s="105"/>
      <c r="PC2" s="105"/>
      <c r="PD2" s="105"/>
      <c r="PE2" s="105"/>
      <c r="PF2" s="105"/>
      <c r="PG2" s="105"/>
      <c r="PH2" s="105"/>
      <c r="PI2" s="105"/>
      <c r="PJ2" s="105"/>
      <c r="PK2" s="105"/>
      <c r="PL2" s="105"/>
      <c r="PM2" s="105"/>
      <c r="PN2" s="105"/>
      <c r="PO2" s="105"/>
      <c r="PP2" s="105"/>
      <c r="PQ2" s="105"/>
      <c r="PR2" s="105"/>
      <c r="PS2" s="105"/>
      <c r="PT2" s="105"/>
      <c r="PU2" s="105"/>
      <c r="PV2" s="105"/>
      <c r="PW2" s="105"/>
      <c r="PX2" s="105"/>
      <c r="PY2" s="105"/>
      <c r="PZ2" s="105"/>
      <c r="QA2" s="105"/>
      <c r="QB2" s="105"/>
      <c r="QC2" s="105"/>
      <c r="QD2" s="105"/>
      <c r="QE2" s="105"/>
      <c r="QF2" s="105"/>
      <c r="QG2" s="105"/>
      <c r="QH2" s="105"/>
      <c r="QI2" s="105"/>
      <c r="QJ2" s="105"/>
      <c r="QK2" s="105"/>
      <c r="QL2" s="105"/>
      <c r="QM2" s="105"/>
      <c r="QN2" s="105"/>
      <c r="QO2" s="105"/>
      <c r="QP2" s="105"/>
      <c r="QQ2" s="105"/>
      <c r="QR2" s="105"/>
      <c r="QS2" s="105"/>
      <c r="QT2" s="105"/>
      <c r="QU2" s="105"/>
      <c r="QV2" s="105"/>
      <c r="QW2" s="105"/>
      <c r="QX2" s="105"/>
      <c r="QY2" s="105"/>
      <c r="QZ2" s="105"/>
      <c r="RA2" s="105"/>
      <c r="RB2" s="105"/>
      <c r="RC2" s="105"/>
      <c r="RD2" s="105"/>
      <c r="RE2" s="105"/>
      <c r="RF2" s="105"/>
      <c r="RG2" s="105"/>
      <c r="RH2" s="105"/>
      <c r="RI2" s="105"/>
      <c r="RJ2" s="105"/>
      <c r="RK2" s="105"/>
      <c r="RL2" s="105"/>
      <c r="RM2" s="105"/>
      <c r="RN2" s="105"/>
      <c r="RO2" s="105"/>
      <c r="RP2" s="105"/>
      <c r="RQ2" s="105"/>
      <c r="RR2" s="105"/>
      <c r="RS2" s="105"/>
      <c r="RT2" s="105"/>
      <c r="RU2" s="105"/>
      <c r="RV2" s="105"/>
      <c r="RW2" s="105"/>
      <c r="RX2" s="105"/>
      <c r="RY2" s="105"/>
      <c r="RZ2" s="105"/>
      <c r="SA2" s="105"/>
      <c r="SB2" s="105"/>
      <c r="SC2" s="105"/>
      <c r="SD2" s="105"/>
      <c r="SE2" s="105"/>
      <c r="SF2" s="105"/>
      <c r="SG2" s="105"/>
      <c r="SH2" s="105"/>
      <c r="SI2" s="105"/>
      <c r="SJ2" s="105"/>
      <c r="SK2" s="105"/>
      <c r="SL2" s="105"/>
      <c r="SM2" s="105"/>
      <c r="SN2" s="105"/>
      <c r="SO2" s="105"/>
      <c r="SP2" s="105"/>
      <c r="SQ2" s="105"/>
      <c r="SR2" s="105"/>
      <c r="SS2" s="105"/>
      <c r="ST2" s="105"/>
      <c r="SU2" s="105"/>
      <c r="SV2" s="105"/>
      <c r="SW2" s="105"/>
      <c r="SX2" s="105"/>
      <c r="SY2" s="105"/>
      <c r="SZ2" s="105"/>
      <c r="TA2" s="105"/>
      <c r="TB2" s="105"/>
      <c r="TC2" s="105"/>
      <c r="TD2" s="105"/>
      <c r="TE2" s="105"/>
      <c r="TF2" s="105"/>
      <c r="TG2" s="105"/>
      <c r="TH2" s="105"/>
      <c r="TI2" s="105"/>
      <c r="TJ2" s="105"/>
      <c r="TK2" s="105"/>
      <c r="TL2" s="105"/>
      <c r="TM2" s="105"/>
      <c r="TN2" s="105"/>
      <c r="TO2" s="105"/>
      <c r="TP2" s="105"/>
      <c r="TQ2" s="105"/>
      <c r="TR2" s="105"/>
      <c r="TS2" s="105"/>
      <c r="TT2" s="105"/>
      <c r="TU2" s="105"/>
      <c r="TV2" s="105"/>
      <c r="TW2" s="105"/>
      <c r="TX2" s="105"/>
      <c r="TY2" s="105"/>
      <c r="TZ2" s="105"/>
      <c r="UA2" s="105"/>
      <c r="UB2" s="105"/>
      <c r="UC2" s="105"/>
      <c r="UD2" s="105"/>
      <c r="UE2" s="105"/>
      <c r="UF2" s="105"/>
      <c r="UG2" s="105"/>
      <c r="UH2" s="105"/>
      <c r="UI2" s="105"/>
      <c r="UJ2" s="105"/>
      <c r="UK2" s="105"/>
      <c r="UL2" s="105"/>
      <c r="UM2" s="105"/>
      <c r="UN2" s="105"/>
      <c r="UO2" s="105"/>
      <c r="UP2" s="105"/>
      <c r="UQ2" s="105"/>
      <c r="UR2" s="105"/>
      <c r="US2" s="105"/>
      <c r="UT2" s="105"/>
      <c r="UU2" s="105"/>
      <c r="UV2" s="105"/>
      <c r="UW2" s="105"/>
      <c r="UX2" s="105"/>
      <c r="UY2" s="105"/>
      <c r="UZ2" s="105"/>
      <c r="VA2" s="105"/>
      <c r="VB2" s="105"/>
      <c r="VC2" s="105"/>
      <c r="VD2" s="105"/>
      <c r="VE2" s="105"/>
      <c r="VF2" s="105"/>
      <c r="VG2" s="105"/>
      <c r="VH2" s="105"/>
      <c r="VI2" s="105"/>
      <c r="VJ2" s="105"/>
      <c r="VK2" s="105"/>
      <c r="VL2" s="105"/>
      <c r="VM2" s="105"/>
      <c r="VN2" s="105"/>
      <c r="VO2" s="105"/>
      <c r="VP2" s="105"/>
      <c r="VQ2" s="105"/>
      <c r="VR2" s="105"/>
      <c r="VS2" s="105"/>
      <c r="VT2" s="105"/>
      <c r="VU2" s="105"/>
      <c r="VV2" s="105"/>
      <c r="VW2" s="105"/>
      <c r="VX2" s="105"/>
      <c r="VY2" s="105"/>
      <c r="VZ2" s="105"/>
      <c r="WA2" s="105"/>
      <c r="WB2" s="105"/>
      <c r="WC2" s="105"/>
      <c r="WD2" s="105"/>
      <c r="WE2" s="105"/>
      <c r="WF2" s="105"/>
      <c r="WG2" s="105"/>
      <c r="WH2" s="105"/>
      <c r="WI2" s="105"/>
      <c r="WJ2" s="105"/>
      <c r="WK2" s="105"/>
      <c r="WL2" s="105"/>
      <c r="WM2" s="105"/>
      <c r="WN2" s="105"/>
      <c r="WO2" s="105"/>
      <c r="WP2" s="105"/>
      <c r="WQ2" s="105"/>
      <c r="WR2" s="105"/>
      <c r="WS2" s="105"/>
      <c r="WT2" s="105"/>
      <c r="WU2" s="105"/>
      <c r="WV2" s="105"/>
      <c r="WW2" s="105"/>
      <c r="WX2" s="105"/>
      <c r="WY2" s="105"/>
      <c r="WZ2" s="105"/>
      <c r="XA2" s="105"/>
      <c r="XB2" s="105"/>
      <c r="XC2" s="105"/>
      <c r="XD2" s="105"/>
      <c r="XE2" s="105"/>
      <c r="XF2" s="105"/>
      <c r="XG2" s="105"/>
      <c r="XH2" s="105"/>
      <c r="XI2" s="105"/>
      <c r="XJ2" s="105"/>
      <c r="XK2" s="105"/>
      <c r="XL2" s="105"/>
      <c r="XM2" s="105"/>
      <c r="XN2" s="105"/>
      <c r="XO2" s="105"/>
      <c r="XP2" s="105"/>
      <c r="XQ2" s="105"/>
      <c r="XR2" s="105"/>
      <c r="XS2" s="105"/>
      <c r="XT2" s="105"/>
      <c r="XU2" s="105"/>
      <c r="XV2" s="105"/>
      <c r="XW2" s="105"/>
      <c r="XX2" s="105"/>
      <c r="XY2" s="105"/>
      <c r="XZ2" s="105"/>
      <c r="YA2" s="105"/>
      <c r="YB2" s="105"/>
      <c r="YC2" s="105"/>
      <c r="YD2" s="105"/>
      <c r="YE2" s="105"/>
      <c r="YF2" s="105"/>
      <c r="YG2" s="105"/>
      <c r="YH2" s="105"/>
      <c r="YI2" s="105"/>
      <c r="YJ2" s="105"/>
      <c r="YK2" s="105"/>
      <c r="YL2" s="105"/>
      <c r="YM2" s="105"/>
      <c r="YN2" s="105"/>
      <c r="YO2" s="105"/>
      <c r="YP2" s="105"/>
      <c r="YQ2" s="105"/>
      <c r="YR2" s="105"/>
      <c r="YS2" s="105"/>
      <c r="YT2" s="105"/>
      <c r="YU2" s="105"/>
      <c r="YV2" s="105"/>
      <c r="YW2" s="105"/>
      <c r="YX2" s="105"/>
      <c r="YY2" s="105"/>
      <c r="YZ2" s="105"/>
      <c r="ZA2" s="105"/>
      <c r="ZB2" s="105"/>
      <c r="ZC2" s="105"/>
      <c r="ZD2" s="105"/>
      <c r="ZE2" s="105"/>
      <c r="ZF2" s="105"/>
      <c r="ZG2" s="105"/>
      <c r="ZH2" s="105"/>
      <c r="ZI2" s="105"/>
      <c r="ZJ2" s="105"/>
      <c r="ZK2" s="105"/>
      <c r="ZL2" s="105"/>
      <c r="ZM2" s="105"/>
      <c r="ZN2" s="105"/>
      <c r="ZO2" s="105"/>
      <c r="ZP2" s="105"/>
      <c r="ZQ2" s="105"/>
      <c r="ZR2" s="105"/>
      <c r="ZS2" s="105"/>
      <c r="ZT2" s="105"/>
      <c r="ZU2" s="105"/>
      <c r="ZV2" s="105"/>
      <c r="ZW2" s="105"/>
      <c r="ZX2" s="105"/>
      <c r="ZY2" s="105"/>
      <c r="ZZ2" s="105"/>
      <c r="AAA2" s="105"/>
      <c r="AAB2" s="105"/>
      <c r="AAC2" s="105"/>
      <c r="AAD2" s="105"/>
      <c r="AAE2" s="105"/>
      <c r="AAF2" s="105"/>
      <c r="AAG2" s="105"/>
      <c r="AAH2" s="105"/>
      <c r="AAI2" s="105"/>
      <c r="AAJ2" s="105"/>
      <c r="AAK2" s="105"/>
      <c r="AAL2" s="105"/>
      <c r="AAM2" s="105"/>
      <c r="AAN2" s="105"/>
      <c r="AAO2" s="105"/>
      <c r="AAP2" s="105"/>
      <c r="AAQ2" s="105"/>
      <c r="AAR2" s="105"/>
      <c r="AAS2" s="105"/>
      <c r="AAT2" s="105"/>
      <c r="AAU2" s="105"/>
      <c r="AAV2" s="105"/>
      <c r="AAW2" s="105"/>
      <c r="AAX2" s="105"/>
      <c r="AAY2" s="105"/>
      <c r="AAZ2" s="105"/>
      <c r="ABA2" s="105"/>
      <c r="ABB2" s="105"/>
      <c r="ABC2" s="105"/>
      <c r="ABD2" s="105"/>
      <c r="ABE2" s="105"/>
      <c r="ABF2" s="105"/>
      <c r="ABG2" s="105"/>
      <c r="ABH2" s="105"/>
      <c r="ABI2" s="105"/>
      <c r="ABJ2" s="105"/>
      <c r="ABK2" s="105"/>
      <c r="ABL2" s="105"/>
      <c r="ABM2" s="105"/>
      <c r="ABN2" s="105"/>
      <c r="ABO2" s="105"/>
      <c r="ABP2" s="105"/>
      <c r="ABQ2" s="105"/>
      <c r="ABR2" s="105"/>
      <c r="ABS2" s="105"/>
      <c r="ABT2" s="105"/>
      <c r="ABU2" s="105"/>
      <c r="ABV2" s="105"/>
      <c r="ABW2" s="105"/>
      <c r="ABX2" s="105"/>
      <c r="ABY2" s="105"/>
      <c r="ABZ2" s="105"/>
      <c r="ACA2" s="105"/>
      <c r="ACB2" s="105"/>
      <c r="ACC2" s="105"/>
      <c r="ACD2" s="105"/>
      <c r="ACE2" s="105"/>
      <c r="ACF2" s="105"/>
      <c r="ACG2" s="105"/>
      <c r="ACH2" s="105"/>
      <c r="ACI2" s="105"/>
      <c r="ACJ2" s="105"/>
      <c r="ACK2" s="105"/>
      <c r="ACL2" s="105"/>
      <c r="ACM2" s="105"/>
      <c r="ACN2" s="105"/>
      <c r="ACO2" s="105"/>
      <c r="ACP2" s="105"/>
      <c r="ACQ2" s="105"/>
      <c r="ACR2" s="105"/>
      <c r="ACS2" s="105"/>
      <c r="ACT2" s="105"/>
      <c r="ACU2" s="105"/>
      <c r="ACV2" s="105"/>
      <c r="ACW2" s="105"/>
      <c r="ACX2" s="105"/>
      <c r="ACY2" s="105"/>
      <c r="ACZ2" s="105"/>
      <c r="ADA2" s="105"/>
      <c r="ADB2" s="105"/>
      <c r="ADC2" s="105"/>
      <c r="ADD2" s="105"/>
      <c r="ADE2" s="105"/>
      <c r="ADF2" s="105"/>
      <c r="ADG2" s="105"/>
      <c r="ADH2" s="105"/>
      <c r="ADI2" s="105"/>
      <c r="ADJ2" s="105"/>
      <c r="ADK2" s="105"/>
      <c r="ADL2" s="105"/>
      <c r="ADM2" s="105"/>
      <c r="ADN2" s="105"/>
      <c r="ADO2" s="105"/>
      <c r="ADP2" s="105"/>
      <c r="ADQ2" s="105"/>
      <c r="ADR2" s="105"/>
      <c r="ADS2" s="105"/>
      <c r="ADT2" s="105"/>
      <c r="ADU2" s="105"/>
      <c r="ADV2" s="105"/>
      <c r="ADW2" s="105"/>
      <c r="ADX2" s="105"/>
      <c r="ADY2" s="105"/>
      <c r="ADZ2" s="105"/>
      <c r="AEA2" s="105"/>
      <c r="AEB2" s="105"/>
      <c r="AEC2" s="105"/>
      <c r="AED2" s="105"/>
      <c r="AEE2" s="105"/>
      <c r="AEF2" s="105"/>
      <c r="AEG2" s="105"/>
      <c r="AEH2" s="105"/>
      <c r="AEI2" s="105"/>
      <c r="AEJ2" s="105"/>
      <c r="AEK2" s="105"/>
      <c r="AEL2" s="105"/>
      <c r="AEM2" s="105"/>
      <c r="AEN2" s="105"/>
      <c r="AEO2" s="105"/>
      <c r="AEP2" s="105"/>
      <c r="AEQ2" s="105"/>
      <c r="AER2" s="105"/>
      <c r="AES2" s="105"/>
      <c r="AET2" s="105"/>
      <c r="AEU2" s="105"/>
      <c r="AEV2" s="105"/>
      <c r="AEW2" s="105"/>
      <c r="AEX2" s="105"/>
      <c r="AEY2" s="105"/>
      <c r="AEZ2" s="105"/>
      <c r="AFA2" s="105"/>
      <c r="AFB2" s="105"/>
      <c r="AFC2" s="105"/>
      <c r="AFD2" s="105"/>
      <c r="AFE2" s="105"/>
      <c r="AFF2" s="105"/>
      <c r="AFG2" s="105"/>
      <c r="AFH2" s="105"/>
      <c r="AFI2" s="105"/>
      <c r="AFJ2" s="105"/>
      <c r="AFK2" s="105"/>
      <c r="AFL2" s="105"/>
      <c r="AFM2" s="105"/>
      <c r="AFN2" s="105"/>
      <c r="AFO2" s="105"/>
      <c r="AFP2" s="105"/>
      <c r="AFQ2" s="105"/>
      <c r="AFR2" s="105"/>
      <c r="AFS2" s="105"/>
      <c r="AFT2" s="105"/>
      <c r="AFU2" s="105"/>
      <c r="AFV2" s="105"/>
      <c r="AFW2" s="105"/>
      <c r="AFX2" s="105"/>
      <c r="AFY2" s="105"/>
      <c r="AFZ2" s="105"/>
      <c r="AGA2" s="105"/>
      <c r="AGB2" s="105"/>
      <c r="AGC2" s="105"/>
      <c r="AGD2" s="105"/>
      <c r="AGE2" s="105"/>
      <c r="AGF2" s="105"/>
      <c r="AGG2" s="105"/>
      <c r="AGH2" s="105"/>
      <c r="AGI2" s="105"/>
      <c r="AGJ2" s="105"/>
      <c r="AGK2" s="105"/>
      <c r="AGL2" s="105"/>
      <c r="AGM2" s="105"/>
      <c r="AGN2" s="105"/>
      <c r="AGO2" s="105"/>
      <c r="AGP2" s="105"/>
      <c r="AGQ2" s="105"/>
      <c r="AGR2" s="105"/>
      <c r="AGS2" s="105"/>
      <c r="AGT2" s="105"/>
      <c r="AGU2" s="105"/>
      <c r="AGV2" s="105"/>
      <c r="AGW2" s="105"/>
      <c r="AGX2" s="105"/>
      <c r="AGY2" s="105"/>
      <c r="AGZ2" s="105"/>
      <c r="AHA2" s="105"/>
      <c r="AHB2" s="105"/>
      <c r="AHC2" s="105"/>
      <c r="AHD2" s="105"/>
      <c r="AHE2" s="105"/>
      <c r="AHF2" s="105"/>
      <c r="AHG2" s="105"/>
      <c r="AHH2" s="105"/>
      <c r="AHI2" s="105"/>
      <c r="AHJ2" s="105"/>
      <c r="AHK2" s="105"/>
      <c r="AHL2" s="105"/>
      <c r="AHM2" s="105"/>
      <c r="AHN2" s="105"/>
      <c r="AHO2" s="105"/>
      <c r="AHP2" s="105"/>
      <c r="AHQ2" s="105"/>
      <c r="AHR2" s="105"/>
      <c r="AHS2" s="105"/>
      <c r="AHT2" s="105"/>
      <c r="AHU2" s="105"/>
      <c r="AHV2" s="105"/>
      <c r="AHW2" s="105"/>
      <c r="AHX2" s="105"/>
      <c r="AHY2" s="105"/>
      <c r="AHZ2" s="105"/>
      <c r="AIA2" s="105"/>
      <c r="AIB2" s="105"/>
      <c r="AIC2" s="105"/>
      <c r="AID2" s="105"/>
      <c r="AIE2" s="105"/>
      <c r="AIF2" s="105"/>
      <c r="AIG2" s="105"/>
      <c r="AIH2" s="105"/>
      <c r="AII2" s="105"/>
      <c r="AIJ2" s="105"/>
      <c r="AIK2" s="105"/>
      <c r="AIL2" s="105"/>
      <c r="AIM2" s="105"/>
      <c r="AIN2" s="105"/>
      <c r="AIO2" s="105"/>
      <c r="AIP2" s="105"/>
      <c r="AIQ2" s="105"/>
      <c r="AIR2" s="105"/>
      <c r="AIS2" s="105"/>
      <c r="AIT2" s="105"/>
      <c r="AIU2" s="105"/>
      <c r="AIV2" s="105"/>
      <c r="AIW2" s="105"/>
      <c r="AIX2" s="105"/>
      <c r="AIY2" s="105"/>
      <c r="AIZ2" s="105"/>
      <c r="AJA2" s="105"/>
      <c r="AJB2" s="105"/>
      <c r="AJC2" s="105"/>
      <c r="AJD2" s="105"/>
      <c r="AJE2" s="105"/>
      <c r="AJF2" s="105"/>
      <c r="AJG2" s="105"/>
      <c r="AJH2" s="105"/>
      <c r="AJI2" s="105"/>
      <c r="AJJ2" s="105"/>
      <c r="AJK2" s="105"/>
      <c r="AJL2" s="105"/>
      <c r="AJM2" s="105"/>
      <c r="AJN2" s="105"/>
      <c r="AJO2" s="105"/>
      <c r="AJP2" s="105"/>
      <c r="AJQ2" s="105"/>
      <c r="AJR2" s="105"/>
      <c r="AJS2" s="105"/>
      <c r="AJT2" s="105"/>
      <c r="AJU2" s="105"/>
      <c r="AJV2" s="105"/>
      <c r="AJW2" s="105"/>
      <c r="AJX2" s="105"/>
      <c r="AJY2" s="105"/>
      <c r="AJZ2" s="105"/>
      <c r="AKA2" s="105"/>
      <c r="AKB2" s="105"/>
      <c r="AKC2" s="105"/>
      <c r="AKD2" s="105"/>
      <c r="AKE2" s="105"/>
      <c r="AKF2" s="105"/>
      <c r="AKG2" s="105"/>
      <c r="AKH2" s="105"/>
      <c r="AKI2" s="105"/>
      <c r="AKJ2" s="105"/>
      <c r="AKK2" s="105"/>
      <c r="AKL2" s="105"/>
      <c r="AKM2" s="105"/>
      <c r="AKN2" s="105"/>
      <c r="AKO2" s="105"/>
      <c r="AKP2" s="105"/>
      <c r="AKQ2" s="105"/>
      <c r="AKR2" s="105"/>
      <c r="AKS2" s="105"/>
      <c r="AKT2" s="105"/>
      <c r="AKU2" s="105"/>
      <c r="AKV2" s="105"/>
      <c r="AKW2" s="105"/>
      <c r="AKX2" s="105"/>
      <c r="AKY2" s="105"/>
      <c r="AKZ2" s="105"/>
      <c r="ALA2" s="105"/>
      <c r="ALB2" s="105"/>
      <c r="ALC2" s="105"/>
      <c r="ALD2" s="105"/>
      <c r="ALE2" s="105"/>
      <c r="ALF2" s="105"/>
      <c r="ALG2" s="105"/>
      <c r="ALH2" s="105"/>
      <c r="ALI2" s="105"/>
      <c r="ALJ2" s="105"/>
      <c r="ALK2" s="105"/>
      <c r="ALL2" s="105"/>
      <c r="ALM2" s="105"/>
      <c r="ALN2" s="105"/>
      <c r="ALO2" s="105"/>
      <c r="ALP2" s="105"/>
      <c r="ALQ2" s="105"/>
      <c r="ALR2" s="105"/>
      <c r="ALS2" s="105"/>
      <c r="ALT2" s="105"/>
      <c r="ALU2" s="105"/>
      <c r="ALV2" s="105"/>
      <c r="ALW2" s="105"/>
      <c r="ALX2" s="105"/>
      <c r="ALY2" s="105"/>
      <c r="ALZ2" s="105"/>
      <c r="AMA2" s="105"/>
      <c r="AMB2" s="105"/>
      <c r="AMC2" s="105"/>
      <c r="AMD2" s="105"/>
      <c r="AME2" s="105"/>
      <c r="AMF2" s="105"/>
      <c r="AMG2" s="105"/>
      <c r="AMH2" s="105"/>
      <c r="AMI2" s="105"/>
      <c r="AMJ2" s="105"/>
      <c r="AMK2" s="105"/>
      <c r="AML2" s="105"/>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zoomScaleNormal="100" workbookViewId="0">
      <pane xSplit="1" topLeftCell="F1" activePane="topRight" state="frozen"/>
      <selection pane="topRight" activeCell="I11" activeCellId="5" sqref="I3 I4 I7 I8 I9 I11"/>
    </sheetView>
  </sheetViews>
  <sheetFormatPr defaultRowHeight="15"/>
  <cols>
    <col min="1" max="1" width="29.85546875" customWidth="1"/>
    <col min="2" max="2" width="16.85546875" customWidth="1"/>
    <col min="3" max="3" width="16.7109375" customWidth="1"/>
    <col min="4" max="5" width="18.5703125" style="54" customWidth="1"/>
    <col min="6" max="6" width="12.5703125" customWidth="1"/>
    <col min="7" max="9" width="23.5703125" customWidth="1"/>
    <col min="10" max="10" width="30.85546875" bestFit="1" customWidth="1"/>
    <col min="11" max="11" width="28.42578125" bestFit="1" customWidth="1"/>
    <col min="12" max="12" width="46.140625" customWidth="1"/>
    <col min="13" max="13" width="9.140625" style="57" customWidth="1"/>
    <col min="14" max="14" width="28.85546875" style="1" customWidth="1"/>
    <col min="15" max="15" width="30.42578125" style="1" customWidth="1"/>
    <col min="16" max="1026" width="8.5703125" customWidth="1"/>
  </cols>
  <sheetData>
    <row r="1" spans="1:15" ht="24">
      <c r="A1" s="58"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ht="24">
      <c r="A2" s="45" t="s">
        <v>447</v>
      </c>
      <c r="B2" s="7"/>
      <c r="C2" s="8"/>
      <c r="D2" s="8"/>
      <c r="E2" s="8"/>
      <c r="F2" s="7"/>
      <c r="G2" s="7"/>
      <c r="H2" s="7"/>
      <c r="I2" s="4"/>
      <c r="J2" s="8" t="s">
        <v>448</v>
      </c>
      <c r="K2" s="7"/>
      <c r="L2" s="59"/>
      <c r="M2" s="60" t="s">
        <v>449</v>
      </c>
      <c r="N2" s="4"/>
      <c r="O2" s="4"/>
    </row>
    <row r="3" spans="1:15">
      <c r="A3" s="61" t="s">
        <v>450</v>
      </c>
      <c r="B3" s="7" t="s">
        <v>451</v>
      </c>
      <c r="C3" s="8" t="s">
        <v>43</v>
      </c>
      <c r="D3" s="8"/>
      <c r="E3" s="8"/>
      <c r="F3" s="7">
        <v>37</v>
      </c>
      <c r="G3" s="7" t="s">
        <v>44</v>
      </c>
      <c r="H3" s="59"/>
      <c r="I3" s="4" t="s">
        <v>1099</v>
      </c>
      <c r="J3" s="7"/>
      <c r="K3" s="7"/>
      <c r="L3" s="59"/>
      <c r="M3" s="60" t="s">
        <v>449</v>
      </c>
      <c r="N3" s="4"/>
      <c r="O3" s="4" t="s">
        <v>62</v>
      </c>
    </row>
    <row r="4" spans="1:15">
      <c r="A4" s="61" t="s">
        <v>452</v>
      </c>
      <c r="B4" s="7" t="s">
        <v>453</v>
      </c>
      <c r="C4" s="8" t="s">
        <v>43</v>
      </c>
      <c r="D4" s="8"/>
      <c r="E4" s="8"/>
      <c r="F4" s="9">
        <v>0.17599999999999999</v>
      </c>
      <c r="G4" s="7" t="s">
        <v>454</v>
      </c>
      <c r="H4" s="59"/>
      <c r="I4" s="4" t="s">
        <v>1099</v>
      </c>
      <c r="J4" s="7"/>
      <c r="K4" s="7" t="s">
        <v>455</v>
      </c>
      <c r="L4" s="59"/>
      <c r="M4" s="60" t="s">
        <v>449</v>
      </c>
      <c r="N4" s="4"/>
      <c r="O4" s="4" t="s">
        <v>130</v>
      </c>
    </row>
    <row r="5" spans="1:15" s="7" customFormat="1">
      <c r="A5" s="45" t="s">
        <v>456</v>
      </c>
      <c r="D5" s="8"/>
      <c r="E5" s="8"/>
      <c r="I5" s="4"/>
      <c r="J5" s="7" t="s">
        <v>457</v>
      </c>
      <c r="M5" s="60" t="s">
        <v>449</v>
      </c>
    </row>
    <row r="6" spans="1:15" ht="24">
      <c r="A6" s="45" t="s">
        <v>458</v>
      </c>
      <c r="B6" s="14"/>
      <c r="C6" s="8"/>
      <c r="D6" s="8"/>
      <c r="E6" s="8"/>
      <c r="F6" s="14"/>
      <c r="G6" s="14"/>
      <c r="H6" s="14"/>
      <c r="I6" s="4"/>
      <c r="J6" s="8" t="s">
        <v>459</v>
      </c>
      <c r="K6" s="14"/>
      <c r="L6" s="59"/>
      <c r="M6" s="60" t="s">
        <v>449</v>
      </c>
      <c r="N6" s="4"/>
      <c r="O6" s="4"/>
    </row>
    <row r="7" spans="1:15">
      <c r="A7" s="61" t="s">
        <v>460</v>
      </c>
      <c r="B7" s="7" t="s">
        <v>461</v>
      </c>
      <c r="C7" s="8" t="s">
        <v>43</v>
      </c>
      <c r="D7" s="8"/>
      <c r="E7" s="8"/>
      <c r="F7" s="7">
        <v>308</v>
      </c>
      <c r="G7" s="7" t="s">
        <v>462</v>
      </c>
      <c r="H7" s="59"/>
      <c r="I7" s="4" t="s">
        <v>1099</v>
      </c>
      <c r="J7" s="7"/>
      <c r="K7" s="7"/>
      <c r="L7" s="59"/>
      <c r="M7" s="60" t="s">
        <v>449</v>
      </c>
      <c r="N7" s="4"/>
      <c r="O7" s="4" t="s">
        <v>62</v>
      </c>
    </row>
    <row r="8" spans="1:15">
      <c r="A8" s="61" t="s">
        <v>463</v>
      </c>
      <c r="B8" s="7" t="s">
        <v>464</v>
      </c>
      <c r="C8" s="8" t="s">
        <v>43</v>
      </c>
      <c r="D8" s="8"/>
      <c r="E8" s="8"/>
      <c r="F8" s="7">
        <v>1.3</v>
      </c>
      <c r="G8" s="7" t="s">
        <v>465</v>
      </c>
      <c r="H8" s="59"/>
      <c r="I8" s="4" t="s">
        <v>1099</v>
      </c>
      <c r="J8" s="7"/>
      <c r="K8" s="7"/>
      <c r="L8" s="59"/>
      <c r="M8" s="60" t="s">
        <v>449</v>
      </c>
      <c r="N8" s="4"/>
      <c r="O8" s="4" t="s">
        <v>62</v>
      </c>
    </row>
    <row r="9" spans="1:15">
      <c r="A9" s="61" t="s">
        <v>466</v>
      </c>
      <c r="B9" s="7" t="s">
        <v>451</v>
      </c>
      <c r="C9" s="8" t="s">
        <v>43</v>
      </c>
      <c r="D9" s="8"/>
      <c r="E9" s="8"/>
      <c r="F9" s="7">
        <v>33</v>
      </c>
      <c r="G9" s="7" t="s">
        <v>44</v>
      </c>
      <c r="H9" s="59"/>
      <c r="I9" s="4" t="s">
        <v>1099</v>
      </c>
      <c r="J9" s="7"/>
      <c r="K9" s="7"/>
      <c r="L9" s="59"/>
      <c r="M9" s="60" t="s">
        <v>449</v>
      </c>
      <c r="N9" s="4"/>
      <c r="O9" s="4" t="s">
        <v>62</v>
      </c>
    </row>
    <row r="10" spans="1:15">
      <c r="A10" s="45" t="s">
        <v>467</v>
      </c>
      <c r="B10" s="14"/>
      <c r="C10" s="8"/>
      <c r="D10" s="8"/>
      <c r="E10" s="8"/>
      <c r="F10" s="14"/>
      <c r="G10" s="14"/>
      <c r="H10" s="14"/>
      <c r="I10" s="4"/>
      <c r="J10" s="8" t="s">
        <v>468</v>
      </c>
      <c r="K10" s="14"/>
      <c r="L10" s="59"/>
      <c r="M10" s="60" t="s">
        <v>449</v>
      </c>
      <c r="N10" s="4"/>
      <c r="O10" s="4"/>
    </row>
    <row r="11" spans="1:15">
      <c r="A11" s="61" t="s">
        <v>469</v>
      </c>
      <c r="B11" s="7" t="s">
        <v>470</v>
      </c>
      <c r="C11" s="8" t="s">
        <v>43</v>
      </c>
      <c r="D11" s="8"/>
      <c r="E11" s="8"/>
      <c r="F11" s="7" t="s">
        <v>471</v>
      </c>
      <c r="G11" s="7" t="s">
        <v>472</v>
      </c>
      <c r="H11" s="59"/>
      <c r="I11" s="4" t="s">
        <v>1099</v>
      </c>
      <c r="J11" s="7" t="s">
        <v>473</v>
      </c>
      <c r="K11" s="7" t="s">
        <v>1101</v>
      </c>
      <c r="L11" s="59"/>
      <c r="M11" s="60" t="s">
        <v>449</v>
      </c>
      <c r="N11" s="4"/>
      <c r="O11" s="4" t="s">
        <v>47</v>
      </c>
    </row>
    <row r="12" spans="1:15" ht="24">
      <c r="A12" s="45" t="s">
        <v>474</v>
      </c>
      <c r="B12" s="14"/>
      <c r="C12" s="8"/>
      <c r="D12" s="8"/>
      <c r="E12" s="8"/>
      <c r="F12" s="14"/>
      <c r="G12" s="14"/>
      <c r="H12" s="14"/>
      <c r="I12" s="4"/>
      <c r="J12" s="8" t="s">
        <v>459</v>
      </c>
      <c r="K12" s="14"/>
      <c r="L12" s="59"/>
      <c r="M12" s="60" t="s">
        <v>449</v>
      </c>
      <c r="N12" s="4"/>
      <c r="O12" s="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L2"/>
  <sheetViews>
    <sheetView zoomScaleNormal="100" workbookViewId="0">
      <pane xSplit="1" ySplit="1" topLeftCell="C2" activePane="bottomRight" state="frozen"/>
      <selection pane="topRight" activeCell="B1" sqref="B1"/>
      <selection pane="bottomLeft" activeCell="A2" sqref="A2"/>
      <selection pane="bottomRight" activeCell="I9" sqref="I9"/>
    </sheetView>
  </sheetViews>
  <sheetFormatPr defaultRowHeight="15"/>
  <cols>
    <col min="1" max="1" width="26.42578125" style="1" customWidth="1"/>
    <col min="2" max="2" width="17.7109375" style="1" customWidth="1"/>
    <col min="3" max="3" width="16.5703125" style="1" customWidth="1"/>
    <col min="4" max="5" width="18.5703125" style="54" customWidth="1"/>
    <col min="6" max="6" width="15.28515625" style="1" customWidth="1"/>
    <col min="7" max="7" width="31.42578125" style="1" customWidth="1"/>
    <col min="8" max="9" width="12" style="1" customWidth="1"/>
    <col min="10" max="10" width="5.140625" style="1" customWidth="1"/>
    <col min="11" max="11" width="44.7109375" style="44" customWidth="1"/>
    <col min="12" max="12" width="6.7109375" style="1" customWidth="1"/>
    <col min="13" max="13" width="15.28515625" style="54" customWidth="1"/>
    <col min="14" max="14" width="28.85546875" style="1" customWidth="1"/>
    <col min="15" max="15" width="30.42578125" style="1" customWidth="1"/>
    <col min="16" max="1026" width="9.140625" style="1" customWidth="1"/>
  </cols>
  <sheetData>
    <row r="1" spans="1:15">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62" t="s">
        <v>475</v>
      </c>
      <c r="B2" s="17" t="s">
        <v>13</v>
      </c>
      <c r="C2" s="17" t="s">
        <v>43</v>
      </c>
      <c r="D2" s="8"/>
      <c r="E2" s="8"/>
      <c r="F2" s="17" t="s">
        <v>476</v>
      </c>
      <c r="G2" s="17" t="s">
        <v>477</v>
      </c>
      <c r="H2" s="17"/>
      <c r="I2" s="17" t="s">
        <v>1099</v>
      </c>
      <c r="J2" s="17"/>
      <c r="K2" s="17" t="s">
        <v>478</v>
      </c>
      <c r="L2" s="7"/>
      <c r="M2" s="7" t="s">
        <v>479</v>
      </c>
      <c r="N2" s="4"/>
      <c r="O2" s="4" t="s">
        <v>62</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L7"/>
  <sheetViews>
    <sheetView zoomScaleNormal="100" workbookViewId="0">
      <selection activeCell="D9" sqref="D9"/>
    </sheetView>
  </sheetViews>
  <sheetFormatPr defaultRowHeight="15"/>
  <cols>
    <col min="1" max="1" width="28.28515625" style="54" customWidth="1"/>
    <col min="2" max="2" width="9.85546875" style="54" customWidth="1"/>
    <col min="3" max="3" width="20" style="54" customWidth="1"/>
    <col min="4" max="5" width="18.5703125" style="54" customWidth="1"/>
    <col min="6" max="6" width="9.140625" style="54" customWidth="1"/>
    <col min="7" max="9" width="17.28515625" style="54" customWidth="1"/>
    <col min="10" max="11" width="14.7109375" style="54" customWidth="1"/>
    <col min="12" max="13" width="9.140625" style="54" customWidth="1"/>
    <col min="14" max="14" width="28.85546875" style="1" customWidth="1"/>
    <col min="15" max="15" width="30.42578125" style="1" customWidth="1"/>
    <col min="16" max="1026" width="9.140625" style="54" customWidth="1"/>
  </cols>
  <sheetData>
    <row r="1" spans="1:15" ht="24">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63" t="s">
        <v>480</v>
      </c>
      <c r="B2" s="7"/>
      <c r="C2" s="7"/>
      <c r="D2" s="7"/>
      <c r="E2" s="7"/>
      <c r="F2" s="7"/>
      <c r="G2" s="7"/>
      <c r="H2" s="7"/>
      <c r="I2" s="7"/>
      <c r="J2" s="7"/>
      <c r="K2" s="7"/>
      <c r="L2" s="7"/>
      <c r="M2" s="7"/>
      <c r="N2" s="4"/>
      <c r="O2" s="4"/>
    </row>
    <row r="3" spans="1:15">
      <c r="A3" s="63" t="s">
        <v>481</v>
      </c>
      <c r="B3" s="7"/>
      <c r="C3" s="7"/>
      <c r="D3" s="7"/>
      <c r="E3" s="7"/>
      <c r="F3" s="7"/>
      <c r="G3" s="7"/>
      <c r="H3" s="7"/>
      <c r="I3" s="7"/>
      <c r="J3" s="7"/>
      <c r="K3" s="7"/>
      <c r="L3" s="7"/>
      <c r="M3" s="7"/>
      <c r="N3" s="4"/>
      <c r="O3" s="4"/>
    </row>
    <row r="4" spans="1:15">
      <c r="A4" s="63" t="s">
        <v>482</v>
      </c>
      <c r="B4" s="7"/>
      <c r="C4" s="7"/>
      <c r="D4" s="7"/>
      <c r="E4" s="7"/>
      <c r="F4" s="7"/>
      <c r="G4" s="7"/>
      <c r="H4" s="7"/>
      <c r="I4" s="7"/>
      <c r="J4" s="7"/>
      <c r="K4" s="7"/>
      <c r="L4" s="7"/>
      <c r="M4" s="7"/>
      <c r="N4" s="4"/>
      <c r="O4" s="4"/>
    </row>
    <row r="5" spans="1:15">
      <c r="A5" s="63" t="s">
        <v>483</v>
      </c>
      <c r="B5" s="7"/>
      <c r="C5" s="7"/>
      <c r="D5" s="7"/>
      <c r="E5" s="7"/>
      <c r="F5" s="7"/>
      <c r="G5" s="7"/>
      <c r="H5" s="7"/>
      <c r="I5" s="7"/>
      <c r="J5" s="7"/>
      <c r="K5" s="7"/>
      <c r="L5" s="7"/>
      <c r="M5" s="7"/>
      <c r="N5" s="4"/>
      <c r="O5" s="4"/>
    </row>
    <row r="6" spans="1:15">
      <c r="A6" s="63" t="s">
        <v>484</v>
      </c>
      <c r="B6" s="7"/>
      <c r="C6" s="7"/>
      <c r="D6" s="7"/>
      <c r="E6" s="7"/>
      <c r="F6" s="7"/>
      <c r="G6" s="7"/>
      <c r="H6" s="7"/>
      <c r="I6" s="7"/>
      <c r="J6" s="7"/>
      <c r="K6" s="7"/>
      <c r="L6" s="7"/>
      <c r="M6" s="7"/>
      <c r="N6" s="4"/>
      <c r="O6" s="4"/>
    </row>
    <row r="7" spans="1:15">
      <c r="A7" s="63" t="s">
        <v>485</v>
      </c>
      <c r="B7" s="7"/>
      <c r="C7" s="7"/>
      <c r="D7" s="7"/>
      <c r="E7" s="7"/>
      <c r="F7" s="7"/>
      <c r="G7" s="7"/>
      <c r="H7" s="7"/>
      <c r="I7" s="7"/>
      <c r="J7" s="7"/>
      <c r="K7" s="7"/>
      <c r="L7" s="7"/>
      <c r="M7" s="7"/>
      <c r="N7" s="4"/>
      <c r="O7" s="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L157"/>
  <sheetViews>
    <sheetView topLeftCell="A102" zoomScaleNormal="100" workbookViewId="0">
      <pane xSplit="6" topLeftCell="I1" activePane="topRight" state="frozen"/>
      <selection pane="topRight" activeCell="E122" sqref="E122"/>
    </sheetView>
  </sheetViews>
  <sheetFormatPr defaultRowHeight="15"/>
  <cols>
    <col min="1" max="1" width="38.42578125" style="1" customWidth="1"/>
    <col min="2" max="2" width="14.85546875" style="1" customWidth="1"/>
    <col min="3" max="3" width="17.42578125" style="1" customWidth="1"/>
    <col min="4" max="5" width="18.5703125" style="54" customWidth="1"/>
    <col min="6" max="6" width="19.7109375" style="64" customWidth="1"/>
    <col min="7" max="7" width="24.5703125" style="64" customWidth="1"/>
    <col min="8" max="8" width="28.5703125" style="1" customWidth="1"/>
    <col min="9" max="9" width="11.42578125" style="1" bestFit="1" customWidth="1"/>
    <col min="10" max="10" width="40" style="1" customWidth="1"/>
    <col min="11" max="11" width="41.85546875" style="1" customWidth="1"/>
    <col min="12" max="12" width="51.140625" style="1" customWidth="1"/>
    <col min="13" max="13" width="19.42578125" style="9" customWidth="1"/>
    <col min="14" max="14" width="28.85546875" style="1" customWidth="1"/>
    <col min="15" max="15" width="30.42578125" style="1" customWidth="1"/>
    <col min="16" max="1026" width="9.140625" style="1" customWidth="1"/>
  </cols>
  <sheetData>
    <row r="1" spans="1:15">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11" t="s">
        <v>486</v>
      </c>
      <c r="B2" s="8"/>
      <c r="C2" s="8" t="s">
        <v>43</v>
      </c>
      <c r="D2" s="8"/>
      <c r="E2" s="8"/>
      <c r="F2" s="8">
        <v>0.2</v>
      </c>
      <c r="G2" s="8" t="s">
        <v>14</v>
      </c>
      <c r="H2" s="8">
        <v>317</v>
      </c>
      <c r="I2" s="8" t="s">
        <v>1099</v>
      </c>
      <c r="J2" s="8" t="s">
        <v>487</v>
      </c>
      <c r="K2" s="8"/>
      <c r="L2" s="3"/>
      <c r="M2" s="4" t="s">
        <v>488</v>
      </c>
      <c r="N2" s="4"/>
      <c r="O2" s="4" t="s">
        <v>52</v>
      </c>
    </row>
    <row r="3" spans="1:15">
      <c r="A3" s="11" t="s">
        <v>489</v>
      </c>
      <c r="B3" s="8" t="s">
        <v>490</v>
      </c>
      <c r="C3" s="8" t="s">
        <v>43</v>
      </c>
      <c r="D3" s="8"/>
      <c r="E3" s="8"/>
      <c r="F3" s="8">
        <v>180</v>
      </c>
      <c r="G3" s="8" t="s">
        <v>14</v>
      </c>
      <c r="H3" s="8">
        <v>315</v>
      </c>
      <c r="I3" s="8" t="s">
        <v>1100</v>
      </c>
      <c r="J3" s="8"/>
      <c r="K3" s="8"/>
      <c r="L3" s="14"/>
      <c r="M3" s="4" t="s">
        <v>488</v>
      </c>
      <c r="N3" s="4"/>
      <c r="O3" s="4" t="s">
        <v>62</v>
      </c>
    </row>
    <row r="4" spans="1:15">
      <c r="A4" s="11" t="s">
        <v>491</v>
      </c>
      <c r="B4" s="8" t="s">
        <v>13</v>
      </c>
      <c r="C4" s="8" t="s">
        <v>43</v>
      </c>
      <c r="D4" s="8"/>
      <c r="E4" s="8"/>
      <c r="F4" s="49">
        <f>Cardiovascular!F48*60</f>
        <v>1064</v>
      </c>
      <c r="G4" s="17" t="s">
        <v>265</v>
      </c>
      <c r="H4" s="8">
        <v>91</v>
      </c>
      <c r="I4" s="8" t="s">
        <v>1100</v>
      </c>
      <c r="J4" s="8"/>
      <c r="K4" s="8"/>
      <c r="L4" s="3"/>
      <c r="M4" s="4" t="s">
        <v>488</v>
      </c>
      <c r="N4" s="4"/>
      <c r="O4" s="4" t="s">
        <v>62</v>
      </c>
    </row>
    <row r="5" spans="1:15">
      <c r="A5" s="11" t="s">
        <v>492</v>
      </c>
      <c r="B5" s="8" t="s">
        <v>13</v>
      </c>
      <c r="C5" s="8" t="s">
        <v>43</v>
      </c>
      <c r="D5" s="8"/>
      <c r="E5" s="8"/>
      <c r="F5" s="8">
        <f>F4*0.6</f>
        <v>638.4</v>
      </c>
      <c r="G5" s="17" t="s">
        <v>103</v>
      </c>
      <c r="H5" s="8">
        <v>91</v>
      </c>
      <c r="I5" s="8" t="s">
        <v>1100</v>
      </c>
      <c r="J5" s="8" t="s">
        <v>493</v>
      </c>
      <c r="K5" s="8"/>
      <c r="L5" s="3"/>
      <c r="M5" s="4" t="s">
        <v>488</v>
      </c>
      <c r="N5" s="4"/>
      <c r="O5" s="4" t="s">
        <v>62</v>
      </c>
    </row>
    <row r="6" spans="1:15" ht="24">
      <c r="A6" s="11" t="s">
        <v>494</v>
      </c>
      <c r="B6" s="8" t="s">
        <v>495</v>
      </c>
      <c r="C6" s="8" t="s">
        <v>43</v>
      </c>
      <c r="D6" s="8"/>
      <c r="E6" s="8"/>
      <c r="F6" s="49">
        <v>0.08</v>
      </c>
      <c r="G6" s="8" t="s">
        <v>14</v>
      </c>
      <c r="H6" s="8">
        <v>320</v>
      </c>
      <c r="I6" s="8" t="s">
        <v>1100</v>
      </c>
      <c r="J6" s="8"/>
      <c r="K6" s="8" t="s">
        <v>496</v>
      </c>
      <c r="L6" s="3"/>
      <c r="M6" s="4" t="s">
        <v>488</v>
      </c>
      <c r="N6" s="4"/>
      <c r="O6" s="4" t="s">
        <v>130</v>
      </c>
    </row>
    <row r="7" spans="1:15" ht="24">
      <c r="A7" s="45" t="s">
        <v>497</v>
      </c>
      <c r="B7" s="25" t="s">
        <v>301</v>
      </c>
      <c r="C7" s="8" t="s">
        <v>43</v>
      </c>
      <c r="D7" s="8"/>
      <c r="E7" s="8"/>
      <c r="F7" s="25">
        <v>22</v>
      </c>
      <c r="G7" s="25" t="s">
        <v>498</v>
      </c>
      <c r="H7" s="25" t="s">
        <v>499</v>
      </c>
      <c r="I7" s="8"/>
      <c r="J7" s="3"/>
      <c r="K7" s="25" t="s">
        <v>500</v>
      </c>
      <c r="L7" s="4"/>
      <c r="M7" s="4" t="s">
        <v>488</v>
      </c>
      <c r="N7" s="4"/>
      <c r="O7" s="4"/>
    </row>
    <row r="8" spans="1:15" ht="24">
      <c r="A8" s="11" t="s">
        <v>501</v>
      </c>
      <c r="B8" s="25" t="s">
        <v>502</v>
      </c>
      <c r="C8" s="8" t="s">
        <v>43</v>
      </c>
      <c r="D8" s="8"/>
      <c r="E8" s="8"/>
      <c r="F8" s="25" t="s">
        <v>503</v>
      </c>
      <c r="G8" s="25" t="s">
        <v>103</v>
      </c>
      <c r="H8" s="25" t="s">
        <v>504</v>
      </c>
      <c r="I8" s="8" t="s">
        <v>1099</v>
      </c>
      <c r="J8" s="25"/>
      <c r="K8" s="8"/>
      <c r="L8" s="4"/>
      <c r="M8" s="4" t="s">
        <v>488</v>
      </c>
      <c r="N8" s="4"/>
      <c r="O8" s="4" t="s">
        <v>47</v>
      </c>
    </row>
    <row r="9" spans="1:15">
      <c r="A9" s="11" t="s">
        <v>505</v>
      </c>
      <c r="B9" s="25" t="s">
        <v>506</v>
      </c>
      <c r="C9" s="8" t="s">
        <v>43</v>
      </c>
      <c r="D9" s="8"/>
      <c r="E9" s="8"/>
      <c r="F9" s="25" t="s">
        <v>503</v>
      </c>
      <c r="G9" s="25" t="s">
        <v>103</v>
      </c>
      <c r="H9" s="25" t="s">
        <v>507</v>
      </c>
      <c r="I9" s="8" t="s">
        <v>1099</v>
      </c>
      <c r="J9" s="25"/>
      <c r="K9" s="8"/>
      <c r="L9" s="4"/>
      <c r="M9" s="4" t="s">
        <v>488</v>
      </c>
      <c r="N9" s="4"/>
      <c r="O9" s="4" t="s">
        <v>47</v>
      </c>
    </row>
    <row r="10" spans="1:15">
      <c r="A10" s="11" t="s">
        <v>508</v>
      </c>
      <c r="B10" s="8" t="s">
        <v>490</v>
      </c>
      <c r="C10" s="8" t="s">
        <v>43</v>
      </c>
      <c r="D10" s="8"/>
      <c r="E10" s="8"/>
      <c r="F10" s="8">
        <v>1.5</v>
      </c>
      <c r="G10" s="8" t="s">
        <v>14</v>
      </c>
      <c r="H10" s="8">
        <v>315</v>
      </c>
      <c r="I10" s="8" t="s">
        <v>1100</v>
      </c>
      <c r="J10" s="8"/>
      <c r="K10" s="8"/>
      <c r="L10" s="3"/>
      <c r="M10" s="4" t="s">
        <v>488</v>
      </c>
      <c r="N10" s="4"/>
      <c r="O10" s="4" t="s">
        <v>52</v>
      </c>
    </row>
    <row r="11" spans="1:15" ht="24">
      <c r="A11" s="11" t="s">
        <v>509</v>
      </c>
      <c r="B11" s="25"/>
      <c r="C11" s="8" t="s">
        <v>43</v>
      </c>
      <c r="D11" s="8"/>
      <c r="E11" s="8"/>
      <c r="F11" s="25" t="s">
        <v>510</v>
      </c>
      <c r="G11" s="25" t="s">
        <v>511</v>
      </c>
      <c r="H11" s="25" t="s">
        <v>512</v>
      </c>
      <c r="I11" s="8" t="s">
        <v>1099</v>
      </c>
      <c r="J11" s="25"/>
      <c r="K11" s="8"/>
      <c r="L11" s="4"/>
      <c r="M11" s="4" t="s">
        <v>488</v>
      </c>
      <c r="N11" s="4"/>
      <c r="O11" s="4" t="s">
        <v>130</v>
      </c>
    </row>
    <row r="12" spans="1:15">
      <c r="A12" s="45" t="s">
        <v>513</v>
      </c>
      <c r="B12" s="8"/>
      <c r="C12" s="8"/>
      <c r="D12" s="8"/>
      <c r="E12" s="8"/>
      <c r="F12" s="8"/>
      <c r="G12" s="8"/>
      <c r="H12" s="8"/>
      <c r="I12" s="8"/>
      <c r="J12" s="8"/>
      <c r="K12" s="8"/>
      <c r="L12" s="3"/>
      <c r="M12" s="4" t="s">
        <v>488</v>
      </c>
      <c r="N12" s="4"/>
      <c r="O12" s="4"/>
    </row>
    <row r="13" spans="1:15">
      <c r="A13" s="11" t="s">
        <v>514</v>
      </c>
      <c r="B13" s="25" t="s">
        <v>136</v>
      </c>
      <c r="C13" s="65" t="s">
        <v>43</v>
      </c>
      <c r="D13" s="8"/>
      <c r="E13" s="8"/>
      <c r="F13" s="66" t="s">
        <v>515</v>
      </c>
      <c r="G13" s="66" t="s">
        <v>103</v>
      </c>
      <c r="H13" s="66" t="s">
        <v>512</v>
      </c>
      <c r="I13" s="8" t="s">
        <v>1099</v>
      </c>
      <c r="J13" s="66"/>
      <c r="K13" s="65"/>
      <c r="L13" s="66"/>
      <c r="M13" s="67" t="s">
        <v>488</v>
      </c>
      <c r="N13" s="4"/>
      <c r="O13" s="4" t="s">
        <v>62</v>
      </c>
    </row>
    <row r="14" spans="1:15">
      <c r="A14" s="11" t="s">
        <v>516</v>
      </c>
      <c r="B14" s="25" t="s">
        <v>495</v>
      </c>
      <c r="C14" s="17" t="s">
        <v>43</v>
      </c>
      <c r="D14" s="8"/>
      <c r="E14" s="8"/>
      <c r="F14" s="17">
        <v>4.1700000000000001E-2</v>
      </c>
      <c r="G14" s="17" t="s">
        <v>14</v>
      </c>
      <c r="H14" s="17">
        <v>321</v>
      </c>
      <c r="I14" s="8" t="s">
        <v>1100</v>
      </c>
      <c r="J14" s="17" t="s">
        <v>517</v>
      </c>
      <c r="K14" s="17"/>
      <c r="L14" s="68"/>
      <c r="M14" s="4" t="s">
        <v>488</v>
      </c>
      <c r="N14" s="69"/>
      <c r="O14" s="4" t="s">
        <v>130</v>
      </c>
    </row>
    <row r="15" spans="1:15">
      <c r="A15" s="11" t="s">
        <v>518</v>
      </c>
      <c r="B15" s="4" t="s">
        <v>190</v>
      </c>
      <c r="C15" s="70" t="s">
        <v>43</v>
      </c>
      <c r="D15" s="8"/>
      <c r="E15" s="8"/>
      <c r="F15" s="71">
        <v>18</v>
      </c>
      <c r="G15" s="70" t="s">
        <v>14</v>
      </c>
      <c r="H15" s="71">
        <v>318</v>
      </c>
      <c r="I15" s="8" t="s">
        <v>1100</v>
      </c>
      <c r="J15" s="70"/>
      <c r="K15" s="70"/>
      <c r="L15" s="72"/>
      <c r="M15" s="71" t="s">
        <v>488</v>
      </c>
      <c r="N15" s="4"/>
      <c r="O15" s="4" t="s">
        <v>62</v>
      </c>
    </row>
    <row r="16" spans="1:15">
      <c r="A16" s="11" t="s">
        <v>519</v>
      </c>
      <c r="B16" s="67" t="s">
        <v>190</v>
      </c>
      <c r="C16" s="65" t="s">
        <v>43</v>
      </c>
      <c r="D16" s="8"/>
      <c r="E16" s="8"/>
      <c r="F16" s="67">
        <v>0</v>
      </c>
      <c r="G16" s="65" t="s">
        <v>14</v>
      </c>
      <c r="H16" s="67">
        <v>318</v>
      </c>
      <c r="I16" s="8" t="s">
        <v>1100</v>
      </c>
      <c r="J16" s="65"/>
      <c r="K16" s="65"/>
      <c r="L16" s="73"/>
      <c r="M16" s="67" t="s">
        <v>488</v>
      </c>
      <c r="N16" s="4"/>
      <c r="O16" s="4" t="s">
        <v>62</v>
      </c>
    </row>
    <row r="17" spans="1:15" ht="24">
      <c r="A17" s="74" t="s">
        <v>520</v>
      </c>
      <c r="B17" s="67" t="s">
        <v>495</v>
      </c>
      <c r="C17" s="17" t="s">
        <v>43</v>
      </c>
      <c r="D17" s="8"/>
      <c r="E17" s="8"/>
      <c r="F17" s="17">
        <v>7.6300000000000007E-2</v>
      </c>
      <c r="G17" s="17" t="s">
        <v>14</v>
      </c>
      <c r="H17" s="17">
        <v>321</v>
      </c>
      <c r="I17" s="8" t="s">
        <v>1100</v>
      </c>
      <c r="J17" s="17" t="s">
        <v>521</v>
      </c>
      <c r="K17" s="17"/>
      <c r="L17" s="68"/>
      <c r="M17" s="4" t="s">
        <v>488</v>
      </c>
      <c r="N17" s="69"/>
      <c r="O17" s="4" t="s">
        <v>130</v>
      </c>
    </row>
    <row r="18" spans="1:15">
      <c r="A18" s="74" t="s">
        <v>522</v>
      </c>
      <c r="B18" s="17"/>
      <c r="C18" s="75" t="s">
        <v>43</v>
      </c>
      <c r="D18" s="8"/>
      <c r="E18" s="8"/>
      <c r="F18" s="75">
        <v>0.2</v>
      </c>
      <c r="G18" s="75" t="s">
        <v>14</v>
      </c>
      <c r="H18" s="75">
        <v>317</v>
      </c>
      <c r="I18" s="8" t="s">
        <v>1099</v>
      </c>
      <c r="J18" s="75" t="s">
        <v>487</v>
      </c>
      <c r="K18" s="70"/>
      <c r="L18" s="72"/>
      <c r="M18" s="71" t="s">
        <v>488</v>
      </c>
      <c r="N18" s="4"/>
      <c r="O18" s="4" t="s">
        <v>52</v>
      </c>
    </row>
    <row r="19" spans="1:15">
      <c r="A19" s="11" t="s">
        <v>523</v>
      </c>
      <c r="B19" s="71" t="s">
        <v>190</v>
      </c>
      <c r="C19" s="70" t="s">
        <v>43</v>
      </c>
      <c r="D19" s="8"/>
      <c r="E19" s="8"/>
      <c r="F19" s="71">
        <v>60</v>
      </c>
      <c r="G19" s="70" t="s">
        <v>14</v>
      </c>
      <c r="H19" s="71">
        <v>318</v>
      </c>
      <c r="I19" s="8" t="s">
        <v>1100</v>
      </c>
      <c r="J19" s="70"/>
      <c r="K19" s="70"/>
      <c r="L19" s="72"/>
      <c r="M19" s="4" t="s">
        <v>488</v>
      </c>
      <c r="N19" s="4"/>
      <c r="O19" s="4" t="s">
        <v>62</v>
      </c>
    </row>
    <row r="20" spans="1:15">
      <c r="A20" s="11" t="s">
        <v>524</v>
      </c>
      <c r="B20" s="4" t="s">
        <v>190</v>
      </c>
      <c r="C20" s="8" t="s">
        <v>43</v>
      </c>
      <c r="D20" s="8"/>
      <c r="E20" s="8"/>
      <c r="F20" s="4">
        <v>-32</v>
      </c>
      <c r="G20" s="8" t="s">
        <v>14</v>
      </c>
      <c r="H20" s="4">
        <v>318</v>
      </c>
      <c r="I20" s="8" t="s">
        <v>1100</v>
      </c>
      <c r="J20" s="8"/>
      <c r="K20" s="8"/>
      <c r="L20" s="3"/>
      <c r="M20" s="4" t="s">
        <v>488</v>
      </c>
      <c r="N20" s="4"/>
      <c r="O20" s="4" t="s">
        <v>62</v>
      </c>
    </row>
    <row r="21" spans="1:15">
      <c r="A21" s="11" t="s">
        <v>525</v>
      </c>
      <c r="B21" s="8" t="s">
        <v>526</v>
      </c>
      <c r="C21" s="8" t="s">
        <v>43</v>
      </c>
      <c r="D21" s="8"/>
      <c r="E21" s="8"/>
      <c r="F21" s="8">
        <v>12.5</v>
      </c>
      <c r="G21" s="8" t="s">
        <v>14</v>
      </c>
      <c r="H21" s="8">
        <v>318</v>
      </c>
      <c r="I21" s="8" t="s">
        <v>1099</v>
      </c>
      <c r="J21" s="8" t="s">
        <v>527</v>
      </c>
      <c r="K21" s="8"/>
      <c r="L21" s="3"/>
      <c r="M21" s="4" t="s">
        <v>488</v>
      </c>
      <c r="N21" s="4"/>
      <c r="O21" s="4" t="s">
        <v>62</v>
      </c>
    </row>
    <row r="22" spans="1:15">
      <c r="A22" s="11" t="s">
        <v>528</v>
      </c>
      <c r="B22" s="8" t="s">
        <v>490</v>
      </c>
      <c r="C22" s="8" t="s">
        <v>43</v>
      </c>
      <c r="D22" s="8"/>
      <c r="E22" s="8"/>
      <c r="F22" s="8">
        <v>90</v>
      </c>
      <c r="G22" s="8" t="s">
        <v>14</v>
      </c>
      <c r="H22" s="8">
        <v>315</v>
      </c>
      <c r="I22" s="8" t="s">
        <v>1100</v>
      </c>
      <c r="J22" s="8" t="s">
        <v>529</v>
      </c>
      <c r="K22" s="8"/>
      <c r="L22" s="14"/>
      <c r="M22" s="4" t="s">
        <v>488</v>
      </c>
      <c r="N22" s="4"/>
      <c r="O22" s="4" t="s">
        <v>62</v>
      </c>
    </row>
    <row r="23" spans="1:15" ht="36">
      <c r="A23" s="11" t="s">
        <v>530</v>
      </c>
      <c r="B23" s="8" t="s">
        <v>531</v>
      </c>
      <c r="C23" s="8" t="s">
        <v>43</v>
      </c>
      <c r="D23" s="8"/>
      <c r="E23" s="8"/>
      <c r="F23" s="8" t="s">
        <v>532</v>
      </c>
      <c r="G23" s="8" t="s">
        <v>533</v>
      </c>
      <c r="H23" s="8">
        <v>44</v>
      </c>
      <c r="I23" s="8" t="s">
        <v>1100</v>
      </c>
      <c r="J23" s="8" t="s">
        <v>534</v>
      </c>
      <c r="K23" s="8"/>
      <c r="L23" s="14"/>
      <c r="M23" s="4" t="s">
        <v>488</v>
      </c>
      <c r="N23" s="4"/>
      <c r="O23" s="4" t="s">
        <v>47</v>
      </c>
    </row>
    <row r="24" spans="1:15" ht="24">
      <c r="A24" s="45" t="s">
        <v>535</v>
      </c>
      <c r="B24" s="8" t="s">
        <v>536</v>
      </c>
      <c r="C24" s="8" t="s">
        <v>43</v>
      </c>
      <c r="D24" s="8"/>
      <c r="E24" s="8"/>
      <c r="F24" s="8">
        <v>3.6764700000000001</v>
      </c>
      <c r="G24" s="8" t="s">
        <v>537</v>
      </c>
      <c r="H24" s="8"/>
      <c r="I24" s="8"/>
      <c r="J24" s="8"/>
      <c r="K24" s="8" t="s">
        <v>538</v>
      </c>
      <c r="L24" s="14"/>
      <c r="M24" s="4" t="s">
        <v>488</v>
      </c>
      <c r="N24" s="4"/>
      <c r="O24" s="4"/>
    </row>
    <row r="25" spans="1:15">
      <c r="A25" s="11" t="s">
        <v>539</v>
      </c>
      <c r="B25" s="8" t="s">
        <v>190</v>
      </c>
      <c r="C25" s="8" t="s">
        <v>43</v>
      </c>
      <c r="D25" s="8"/>
      <c r="E25" s="8"/>
      <c r="F25" s="8">
        <v>10</v>
      </c>
      <c r="G25" s="8" t="s">
        <v>14</v>
      </c>
      <c r="H25" s="8">
        <v>318</v>
      </c>
      <c r="I25" s="8" t="s">
        <v>1100</v>
      </c>
      <c r="J25" s="8"/>
      <c r="K25" s="8"/>
      <c r="L25" s="3"/>
      <c r="M25" s="4" t="s">
        <v>488</v>
      </c>
      <c r="N25" s="4"/>
      <c r="O25" s="4" t="s">
        <v>62</v>
      </c>
    </row>
    <row r="26" spans="1:15">
      <c r="A26" s="11" t="s">
        <v>540</v>
      </c>
      <c r="B26" s="8" t="s">
        <v>190</v>
      </c>
      <c r="C26" s="8" t="s">
        <v>43</v>
      </c>
      <c r="D26" s="8"/>
      <c r="E26" s="8"/>
      <c r="F26" s="8">
        <v>10</v>
      </c>
      <c r="G26" s="8" t="s">
        <v>14</v>
      </c>
      <c r="H26" s="8" t="s">
        <v>541</v>
      </c>
      <c r="I26" s="8" t="s">
        <v>1100</v>
      </c>
      <c r="J26" s="8"/>
      <c r="K26" s="8"/>
      <c r="L26" s="3"/>
      <c r="M26" s="4" t="s">
        <v>488</v>
      </c>
      <c r="N26" s="4"/>
      <c r="O26" s="4" t="s">
        <v>62</v>
      </c>
    </row>
    <row r="27" spans="1:15">
      <c r="A27" s="11" t="s">
        <v>542</v>
      </c>
      <c r="B27" s="4" t="s">
        <v>190</v>
      </c>
      <c r="C27" s="8" t="s">
        <v>43</v>
      </c>
      <c r="D27" s="8"/>
      <c r="E27" s="8"/>
      <c r="F27" s="4">
        <v>13</v>
      </c>
      <c r="G27" s="8" t="s">
        <v>14</v>
      </c>
      <c r="H27" s="4">
        <v>340</v>
      </c>
      <c r="I27" s="8" t="s">
        <v>1100</v>
      </c>
      <c r="J27" s="8"/>
      <c r="K27" s="8"/>
      <c r="L27" s="3"/>
      <c r="M27" s="4" t="s">
        <v>488</v>
      </c>
      <c r="N27" s="4"/>
      <c r="O27" s="4" t="s">
        <v>62</v>
      </c>
    </row>
    <row r="28" spans="1:15" ht="12" customHeight="1">
      <c r="A28" s="11" t="s">
        <v>543</v>
      </c>
      <c r="B28" s="4" t="s">
        <v>190</v>
      </c>
      <c r="C28" s="8" t="s">
        <v>43</v>
      </c>
      <c r="D28" s="8"/>
      <c r="E28" s="8"/>
      <c r="F28" s="4">
        <v>-32</v>
      </c>
      <c r="G28" s="8" t="s">
        <v>14</v>
      </c>
      <c r="H28" s="4">
        <v>340</v>
      </c>
      <c r="I28" s="8" t="s">
        <v>1100</v>
      </c>
      <c r="J28" s="8"/>
      <c r="K28" s="8"/>
      <c r="L28" s="3"/>
      <c r="M28" s="4" t="s">
        <v>488</v>
      </c>
      <c r="N28" s="4"/>
      <c r="O28" s="4" t="s">
        <v>62</v>
      </c>
    </row>
    <row r="29" spans="1:15">
      <c r="A29" s="11" t="s">
        <v>544</v>
      </c>
      <c r="B29" s="8" t="s">
        <v>526</v>
      </c>
      <c r="C29" s="8" t="s">
        <v>43</v>
      </c>
      <c r="D29" s="8"/>
      <c r="E29" s="8"/>
      <c r="F29" s="8">
        <v>6.2</v>
      </c>
      <c r="G29" s="8" t="s">
        <v>14</v>
      </c>
      <c r="H29" s="8" t="s">
        <v>541</v>
      </c>
      <c r="I29" s="8" t="s">
        <v>1100</v>
      </c>
      <c r="J29" s="8" t="s">
        <v>527</v>
      </c>
      <c r="K29" s="8"/>
      <c r="L29" s="3"/>
      <c r="M29" s="4" t="s">
        <v>488</v>
      </c>
      <c r="N29" s="4"/>
      <c r="O29" s="4" t="s">
        <v>62</v>
      </c>
    </row>
    <row r="30" spans="1:15">
      <c r="A30" s="11" t="s">
        <v>545</v>
      </c>
      <c r="B30" s="8" t="s">
        <v>13</v>
      </c>
      <c r="C30" s="8" t="s">
        <v>43</v>
      </c>
      <c r="D30" s="8"/>
      <c r="E30" s="8"/>
      <c r="F30" s="8">
        <v>62</v>
      </c>
      <c r="G30" s="8" t="s">
        <v>14</v>
      </c>
      <c r="H30" s="8">
        <v>339</v>
      </c>
      <c r="I30" s="8" t="s">
        <v>1100</v>
      </c>
      <c r="J30" s="8" t="s">
        <v>546</v>
      </c>
      <c r="K30" s="8"/>
      <c r="L30" s="3"/>
      <c r="M30" s="4" t="s">
        <v>488</v>
      </c>
      <c r="N30" s="4"/>
      <c r="O30" s="4" t="s">
        <v>62</v>
      </c>
    </row>
    <row r="31" spans="1:15">
      <c r="A31" s="45" t="s">
        <v>547</v>
      </c>
      <c r="B31" s="8" t="s">
        <v>548</v>
      </c>
      <c r="C31" s="8" t="s">
        <v>43</v>
      </c>
      <c r="D31" s="8"/>
      <c r="E31" s="8"/>
      <c r="F31" s="8">
        <v>2.5</v>
      </c>
      <c r="G31" s="8" t="s">
        <v>265</v>
      </c>
      <c r="H31" s="8"/>
      <c r="I31" s="8"/>
      <c r="J31" s="8"/>
      <c r="K31" s="8" t="s">
        <v>549</v>
      </c>
      <c r="L31" s="3"/>
      <c r="M31" s="4" t="s">
        <v>488</v>
      </c>
      <c r="N31" s="4"/>
      <c r="O31" s="4"/>
    </row>
    <row r="32" spans="1:15" ht="24">
      <c r="A32" s="45" t="s">
        <v>550</v>
      </c>
      <c r="B32" s="8" t="s">
        <v>536</v>
      </c>
      <c r="C32" s="8" t="s">
        <v>43</v>
      </c>
      <c r="D32" s="8"/>
      <c r="E32" s="8"/>
      <c r="F32" s="8">
        <v>2.9174699999999998</v>
      </c>
      <c r="G32" s="8" t="s">
        <v>537</v>
      </c>
      <c r="H32" s="8"/>
      <c r="I32" s="8"/>
      <c r="J32" s="8"/>
      <c r="K32" s="8" t="s">
        <v>538</v>
      </c>
      <c r="L32" s="3"/>
      <c r="M32" s="4" t="s">
        <v>488</v>
      </c>
      <c r="N32" s="4"/>
      <c r="O32" s="4"/>
    </row>
    <row r="33" spans="1:15">
      <c r="A33" s="45" t="s">
        <v>551</v>
      </c>
      <c r="B33" s="4" t="s">
        <v>190</v>
      </c>
      <c r="C33" s="8" t="s">
        <v>43</v>
      </c>
      <c r="D33" s="8"/>
      <c r="E33" s="8"/>
      <c r="F33" s="4">
        <v>6</v>
      </c>
      <c r="G33" s="8" t="s">
        <v>14</v>
      </c>
      <c r="H33" s="4">
        <v>340</v>
      </c>
      <c r="I33" s="8"/>
      <c r="J33" s="8"/>
      <c r="K33" s="8"/>
      <c r="L33" s="3"/>
      <c r="M33" s="4" t="s">
        <v>488</v>
      </c>
      <c r="N33" s="4"/>
      <c r="O33" s="4"/>
    </row>
    <row r="34" spans="1:15">
      <c r="A34" s="11" t="s">
        <v>552</v>
      </c>
      <c r="B34" s="4" t="s">
        <v>190</v>
      </c>
      <c r="C34" s="8" t="s">
        <v>43</v>
      </c>
      <c r="D34" s="8"/>
      <c r="E34" s="8"/>
      <c r="F34" s="4">
        <v>-15</v>
      </c>
      <c r="G34" s="8" t="s">
        <v>14</v>
      </c>
      <c r="H34" s="4">
        <v>340</v>
      </c>
      <c r="I34" s="8" t="s">
        <v>1099</v>
      </c>
      <c r="J34" s="8"/>
      <c r="K34" s="8"/>
      <c r="L34" s="3"/>
      <c r="M34" s="4" t="s">
        <v>488</v>
      </c>
      <c r="N34" s="4"/>
      <c r="O34" s="4" t="s">
        <v>62</v>
      </c>
    </row>
    <row r="35" spans="1:15">
      <c r="A35" s="11" t="s">
        <v>553</v>
      </c>
      <c r="B35" s="4" t="s">
        <v>495</v>
      </c>
      <c r="C35" s="17" t="s">
        <v>43</v>
      </c>
      <c r="D35" s="8"/>
      <c r="E35" s="8"/>
      <c r="F35" s="17">
        <v>4.1700000000000001E-2</v>
      </c>
      <c r="G35" s="17" t="s">
        <v>14</v>
      </c>
      <c r="H35" s="17">
        <v>321</v>
      </c>
      <c r="I35" s="8" t="s">
        <v>1100</v>
      </c>
      <c r="J35" s="17" t="s">
        <v>517</v>
      </c>
      <c r="K35" s="17"/>
      <c r="L35" s="68"/>
      <c r="M35" s="4" t="s">
        <v>488</v>
      </c>
      <c r="N35" s="4"/>
      <c r="O35" s="4" t="s">
        <v>130</v>
      </c>
    </row>
    <row r="36" spans="1:15">
      <c r="A36" s="11" t="s">
        <v>554</v>
      </c>
      <c r="B36" s="4" t="s">
        <v>190</v>
      </c>
      <c r="C36" s="8" t="s">
        <v>43</v>
      </c>
      <c r="D36" s="8"/>
      <c r="E36" s="8"/>
      <c r="F36" s="4">
        <v>18</v>
      </c>
      <c r="G36" s="8" t="s">
        <v>14</v>
      </c>
      <c r="H36" s="4">
        <v>318</v>
      </c>
      <c r="I36" s="8" t="s">
        <v>1100</v>
      </c>
      <c r="J36" s="8"/>
      <c r="K36" s="8"/>
      <c r="L36" s="3"/>
      <c r="M36" s="4" t="s">
        <v>488</v>
      </c>
      <c r="N36" s="4"/>
      <c r="O36" s="4" t="s">
        <v>62</v>
      </c>
    </row>
    <row r="37" spans="1:15">
      <c r="A37" s="11" t="s">
        <v>555</v>
      </c>
      <c r="B37" s="67" t="s">
        <v>190</v>
      </c>
      <c r="C37" s="65" t="s">
        <v>43</v>
      </c>
      <c r="D37" s="8"/>
      <c r="E37" s="8"/>
      <c r="F37" s="67">
        <v>0</v>
      </c>
      <c r="G37" s="65" t="s">
        <v>14</v>
      </c>
      <c r="H37" s="67">
        <v>318</v>
      </c>
      <c r="I37" s="8" t="s">
        <v>1100</v>
      </c>
      <c r="J37" s="65"/>
      <c r="K37" s="8"/>
      <c r="L37" s="3"/>
      <c r="M37" s="4" t="s">
        <v>488</v>
      </c>
      <c r="N37" s="4"/>
      <c r="O37" s="4" t="s">
        <v>62</v>
      </c>
    </row>
    <row r="38" spans="1:15" ht="24">
      <c r="A38" s="74" t="s">
        <v>556</v>
      </c>
      <c r="B38" s="67" t="s">
        <v>495</v>
      </c>
      <c r="C38" s="17" t="s">
        <v>43</v>
      </c>
      <c r="D38" s="8"/>
      <c r="E38" s="8"/>
      <c r="F38" s="17">
        <v>7.6300000000000007E-2</v>
      </c>
      <c r="G38" s="17" t="s">
        <v>14</v>
      </c>
      <c r="H38" s="17">
        <v>321</v>
      </c>
      <c r="I38" s="8" t="s">
        <v>1100</v>
      </c>
      <c r="J38" s="17" t="s">
        <v>521</v>
      </c>
      <c r="K38" s="17"/>
      <c r="L38" s="68"/>
      <c r="M38" s="4" t="s">
        <v>488</v>
      </c>
      <c r="N38" s="4"/>
      <c r="O38" s="4" t="s">
        <v>130</v>
      </c>
    </row>
    <row r="39" spans="1:15">
      <c r="A39" s="74" t="s">
        <v>557</v>
      </c>
      <c r="B39" s="17"/>
      <c r="C39" s="17" t="s">
        <v>43</v>
      </c>
      <c r="D39" s="8"/>
      <c r="E39" s="8"/>
      <c r="F39" s="17">
        <v>0.2</v>
      </c>
      <c r="G39" s="17" t="s">
        <v>14</v>
      </c>
      <c r="H39" s="17">
        <v>317</v>
      </c>
      <c r="I39" s="8" t="s">
        <v>1099</v>
      </c>
      <c r="J39" s="17" t="s">
        <v>487</v>
      </c>
      <c r="K39" s="76"/>
      <c r="L39" s="3"/>
      <c r="M39" s="4" t="s">
        <v>488</v>
      </c>
      <c r="N39" s="4"/>
      <c r="O39" s="4" t="s">
        <v>52</v>
      </c>
    </row>
    <row r="40" spans="1:15">
      <c r="A40" s="11" t="s">
        <v>558</v>
      </c>
      <c r="B40" s="71" t="s">
        <v>190</v>
      </c>
      <c r="C40" s="70" t="s">
        <v>43</v>
      </c>
      <c r="D40" s="8"/>
      <c r="E40" s="8"/>
      <c r="F40" s="71">
        <v>60</v>
      </c>
      <c r="G40" s="70" t="s">
        <v>14</v>
      </c>
      <c r="H40" s="71">
        <v>318</v>
      </c>
      <c r="I40" s="8" t="s">
        <v>1100</v>
      </c>
      <c r="J40" s="70"/>
      <c r="K40" s="8"/>
      <c r="L40" s="3"/>
      <c r="M40" s="4" t="s">
        <v>488</v>
      </c>
      <c r="N40" s="4"/>
      <c r="O40" s="4" t="s">
        <v>62</v>
      </c>
    </row>
    <row r="41" spans="1:15">
      <c r="A41" s="11" t="s">
        <v>559</v>
      </c>
      <c r="B41" s="4" t="s">
        <v>190</v>
      </c>
      <c r="C41" s="8" t="s">
        <v>43</v>
      </c>
      <c r="D41" s="8"/>
      <c r="E41" s="8"/>
      <c r="F41" s="4">
        <v>-32</v>
      </c>
      <c r="G41" s="8" t="s">
        <v>14</v>
      </c>
      <c r="H41" s="4">
        <v>318</v>
      </c>
      <c r="I41" s="8" t="s">
        <v>1100</v>
      </c>
      <c r="J41" s="8"/>
      <c r="K41" s="8"/>
      <c r="L41" s="3"/>
      <c r="M41" s="4" t="s">
        <v>488</v>
      </c>
      <c r="N41" s="4"/>
      <c r="O41" s="4" t="s">
        <v>62</v>
      </c>
    </row>
    <row r="42" spans="1:15">
      <c r="A42" s="11" t="s">
        <v>560</v>
      </c>
      <c r="B42" s="8" t="s">
        <v>526</v>
      </c>
      <c r="C42" s="8" t="s">
        <v>43</v>
      </c>
      <c r="D42" s="8"/>
      <c r="E42" s="8"/>
      <c r="F42" s="8">
        <v>6.25</v>
      </c>
      <c r="G42" s="8" t="s">
        <v>14</v>
      </c>
      <c r="H42" s="8">
        <v>318</v>
      </c>
      <c r="I42" s="8" t="s">
        <v>1099</v>
      </c>
      <c r="J42" s="8" t="s">
        <v>527</v>
      </c>
      <c r="K42" s="8"/>
      <c r="L42" s="3"/>
      <c r="M42" s="4" t="s">
        <v>488</v>
      </c>
      <c r="N42" s="4"/>
      <c r="O42" s="4" t="s">
        <v>62</v>
      </c>
    </row>
    <row r="43" spans="1:15">
      <c r="A43" s="11" t="s">
        <v>561</v>
      </c>
      <c r="B43" s="8" t="s">
        <v>490</v>
      </c>
      <c r="C43" s="8" t="s">
        <v>43</v>
      </c>
      <c r="D43" s="8"/>
      <c r="E43" s="8"/>
      <c r="F43" s="8">
        <v>90</v>
      </c>
      <c r="G43" s="8" t="s">
        <v>14</v>
      </c>
      <c r="H43" s="8">
        <v>315</v>
      </c>
      <c r="I43" s="8" t="s">
        <v>1100</v>
      </c>
      <c r="J43" s="8" t="s">
        <v>529</v>
      </c>
      <c r="K43" s="8"/>
      <c r="L43" s="14"/>
      <c r="M43" s="4" t="s">
        <v>488</v>
      </c>
      <c r="N43" s="4"/>
      <c r="O43" s="4" t="s">
        <v>62</v>
      </c>
    </row>
    <row r="44" spans="1:15" ht="36">
      <c r="A44" s="11" t="s">
        <v>562</v>
      </c>
      <c r="B44" s="8" t="s">
        <v>531</v>
      </c>
      <c r="C44" s="8" t="s">
        <v>43</v>
      </c>
      <c r="D44" s="8"/>
      <c r="E44" s="8"/>
      <c r="F44" s="8" t="s">
        <v>532</v>
      </c>
      <c r="G44" s="8" t="s">
        <v>533</v>
      </c>
      <c r="H44" s="8">
        <v>44</v>
      </c>
      <c r="I44" s="8" t="s">
        <v>1100</v>
      </c>
      <c r="J44" s="8" t="s">
        <v>534</v>
      </c>
      <c r="K44" s="8"/>
      <c r="L44" s="14"/>
      <c r="M44" s="4" t="s">
        <v>488</v>
      </c>
      <c r="N44" s="4"/>
      <c r="O44" s="4" t="s">
        <v>47</v>
      </c>
    </row>
    <row r="45" spans="1:15" ht="24">
      <c r="A45" s="45" t="s">
        <v>563</v>
      </c>
      <c r="B45" s="8" t="s">
        <v>536</v>
      </c>
      <c r="C45" s="8" t="s">
        <v>43</v>
      </c>
      <c r="D45" s="8"/>
      <c r="E45" s="8"/>
      <c r="F45" s="8">
        <v>3.6764700000000001</v>
      </c>
      <c r="G45" s="8" t="s">
        <v>537</v>
      </c>
      <c r="H45" s="8"/>
      <c r="I45" s="8"/>
      <c r="J45" s="8"/>
      <c r="K45" s="8" t="s">
        <v>538</v>
      </c>
      <c r="L45" s="14"/>
      <c r="M45" s="4" t="s">
        <v>488</v>
      </c>
      <c r="N45" s="4"/>
      <c r="O45" s="4"/>
    </row>
    <row r="46" spans="1:15">
      <c r="A46" s="11" t="s">
        <v>564</v>
      </c>
      <c r="B46" s="8" t="s">
        <v>190</v>
      </c>
      <c r="C46" s="8" t="s">
        <v>43</v>
      </c>
      <c r="D46" s="8"/>
      <c r="E46" s="8"/>
      <c r="F46" s="8">
        <v>10</v>
      </c>
      <c r="G46" s="8" t="s">
        <v>14</v>
      </c>
      <c r="H46" s="8">
        <v>318</v>
      </c>
      <c r="I46" s="8" t="s">
        <v>1100</v>
      </c>
      <c r="J46" s="8"/>
      <c r="K46" s="8"/>
      <c r="L46" s="3"/>
      <c r="M46" s="4" t="s">
        <v>488</v>
      </c>
      <c r="N46" s="4"/>
      <c r="O46" s="4" t="s">
        <v>62</v>
      </c>
    </row>
    <row r="47" spans="1:15">
      <c r="A47" s="11" t="s">
        <v>565</v>
      </c>
      <c r="B47" s="8" t="s">
        <v>190</v>
      </c>
      <c r="C47" s="8" t="s">
        <v>43</v>
      </c>
      <c r="D47" s="8"/>
      <c r="E47" s="8"/>
      <c r="F47" s="8">
        <v>10</v>
      </c>
      <c r="G47" s="8" t="s">
        <v>14</v>
      </c>
      <c r="H47" s="8" t="s">
        <v>541</v>
      </c>
      <c r="I47" s="8" t="s">
        <v>1100</v>
      </c>
      <c r="J47" s="8"/>
      <c r="K47" s="8"/>
      <c r="L47" s="3"/>
      <c r="M47" s="4" t="s">
        <v>488</v>
      </c>
      <c r="N47" s="4"/>
      <c r="O47" s="4" t="s">
        <v>62</v>
      </c>
    </row>
    <row r="48" spans="1:15">
      <c r="A48" s="11" t="s">
        <v>566</v>
      </c>
      <c r="B48" s="4" t="s">
        <v>190</v>
      </c>
      <c r="C48" s="8" t="s">
        <v>43</v>
      </c>
      <c r="D48" s="8"/>
      <c r="E48" s="8"/>
      <c r="F48" s="4">
        <v>13</v>
      </c>
      <c r="G48" s="8" t="s">
        <v>14</v>
      </c>
      <c r="H48" s="4">
        <v>340</v>
      </c>
      <c r="I48" s="8" t="s">
        <v>1100</v>
      </c>
      <c r="J48" s="8"/>
      <c r="K48" s="8"/>
      <c r="L48" s="3"/>
      <c r="M48" s="4" t="s">
        <v>488</v>
      </c>
      <c r="N48" s="4"/>
      <c r="O48" s="4" t="s">
        <v>62</v>
      </c>
    </row>
    <row r="49" spans="1:15" ht="12" customHeight="1">
      <c r="A49" s="11" t="s">
        <v>567</v>
      </c>
      <c r="B49" s="4" t="s">
        <v>190</v>
      </c>
      <c r="C49" s="8" t="s">
        <v>43</v>
      </c>
      <c r="D49" s="8"/>
      <c r="E49" s="8"/>
      <c r="F49" s="4">
        <v>-32</v>
      </c>
      <c r="G49" s="8" t="s">
        <v>14</v>
      </c>
      <c r="H49" s="4">
        <v>340</v>
      </c>
      <c r="I49" s="8" t="s">
        <v>1100</v>
      </c>
      <c r="J49" s="8"/>
      <c r="K49" s="8"/>
      <c r="L49" s="3"/>
      <c r="M49" s="4" t="s">
        <v>488</v>
      </c>
      <c r="N49" s="4"/>
      <c r="O49" s="4" t="s">
        <v>62</v>
      </c>
    </row>
    <row r="50" spans="1:15">
      <c r="A50" s="11" t="s">
        <v>568</v>
      </c>
      <c r="B50" s="8" t="s">
        <v>526</v>
      </c>
      <c r="C50" s="8" t="s">
        <v>43</v>
      </c>
      <c r="D50" s="8"/>
      <c r="E50" s="8"/>
      <c r="F50" s="8">
        <v>6.2</v>
      </c>
      <c r="G50" s="8" t="s">
        <v>14</v>
      </c>
      <c r="H50" s="8" t="s">
        <v>541</v>
      </c>
      <c r="I50" s="8" t="s">
        <v>1100</v>
      </c>
      <c r="J50" s="8" t="s">
        <v>527</v>
      </c>
      <c r="K50" s="8"/>
      <c r="L50" s="3"/>
      <c r="M50" s="4" t="s">
        <v>488</v>
      </c>
      <c r="N50" s="4"/>
      <c r="O50" s="4" t="s">
        <v>62</v>
      </c>
    </row>
    <row r="51" spans="1:15">
      <c r="A51" s="11" t="s">
        <v>569</v>
      </c>
      <c r="B51" s="8" t="s">
        <v>13</v>
      </c>
      <c r="C51" s="8" t="s">
        <v>43</v>
      </c>
      <c r="D51" s="8"/>
      <c r="E51" s="8"/>
      <c r="F51" s="8">
        <v>62</v>
      </c>
      <c r="G51" s="8" t="s">
        <v>14</v>
      </c>
      <c r="H51" s="8">
        <v>339</v>
      </c>
      <c r="I51" s="8" t="s">
        <v>1100</v>
      </c>
      <c r="J51" s="8" t="s">
        <v>546</v>
      </c>
      <c r="K51" s="8"/>
      <c r="L51" s="3"/>
      <c r="M51" s="4" t="s">
        <v>488</v>
      </c>
      <c r="N51" s="4"/>
      <c r="O51" s="4" t="s">
        <v>62</v>
      </c>
    </row>
    <row r="52" spans="1:15">
      <c r="A52" s="45" t="s">
        <v>570</v>
      </c>
      <c r="B52" s="8" t="s">
        <v>548</v>
      </c>
      <c r="C52" s="8" t="s">
        <v>43</v>
      </c>
      <c r="D52" s="8"/>
      <c r="E52" s="8"/>
      <c r="F52" s="8">
        <v>2.5</v>
      </c>
      <c r="G52" s="8" t="s">
        <v>265</v>
      </c>
      <c r="H52" s="8"/>
      <c r="I52" s="8"/>
      <c r="J52" s="8"/>
      <c r="K52" s="8"/>
      <c r="L52" s="3"/>
      <c r="M52" s="4" t="s">
        <v>488</v>
      </c>
      <c r="N52" s="4"/>
      <c r="O52" s="4"/>
    </row>
    <row r="53" spans="1:15" ht="24">
      <c r="A53" s="45" t="s">
        <v>571</v>
      </c>
      <c r="B53" s="8" t="s">
        <v>536</v>
      </c>
      <c r="C53" s="8" t="s">
        <v>43</v>
      </c>
      <c r="D53" s="8"/>
      <c r="E53" s="8"/>
      <c r="F53" s="8">
        <v>2.9174699999999998</v>
      </c>
      <c r="G53" s="8" t="s">
        <v>537</v>
      </c>
      <c r="H53" s="8"/>
      <c r="I53" s="8"/>
      <c r="J53" s="8"/>
      <c r="K53" s="8" t="s">
        <v>538</v>
      </c>
      <c r="L53" s="3"/>
      <c r="M53" s="4" t="s">
        <v>488</v>
      </c>
      <c r="N53" s="4"/>
      <c r="O53" s="4"/>
    </row>
    <row r="54" spans="1:15">
      <c r="A54" s="45" t="s">
        <v>572</v>
      </c>
      <c r="B54" s="4" t="s">
        <v>190</v>
      </c>
      <c r="C54" s="8" t="s">
        <v>43</v>
      </c>
      <c r="D54" s="8"/>
      <c r="E54" s="8"/>
      <c r="F54" s="4">
        <v>6</v>
      </c>
      <c r="G54" s="8" t="s">
        <v>14</v>
      </c>
      <c r="H54" s="4">
        <v>340</v>
      </c>
      <c r="I54" s="8"/>
      <c r="J54" s="8"/>
      <c r="K54" s="8"/>
      <c r="L54" s="3"/>
      <c r="M54" s="4" t="s">
        <v>488</v>
      </c>
      <c r="N54" s="4"/>
      <c r="O54" s="4"/>
    </row>
    <row r="55" spans="1:15">
      <c r="A55" s="11" t="s">
        <v>573</v>
      </c>
      <c r="B55" s="4" t="s">
        <v>190</v>
      </c>
      <c r="C55" s="8" t="s">
        <v>43</v>
      </c>
      <c r="D55" s="8"/>
      <c r="E55" s="8"/>
      <c r="F55" s="4">
        <v>-15</v>
      </c>
      <c r="G55" s="8" t="s">
        <v>14</v>
      </c>
      <c r="H55" s="4">
        <v>340</v>
      </c>
      <c r="I55" s="8" t="s">
        <v>1099</v>
      </c>
      <c r="J55" s="8"/>
      <c r="K55" s="8"/>
      <c r="L55" s="3"/>
      <c r="M55" s="4" t="s">
        <v>488</v>
      </c>
      <c r="N55" s="4"/>
      <c r="O55" s="4" t="s">
        <v>62</v>
      </c>
    </row>
    <row r="56" spans="1:15">
      <c r="A56" s="27" t="s">
        <v>339</v>
      </c>
      <c r="B56" s="10" t="s">
        <v>1</v>
      </c>
      <c r="C56" s="10" t="s">
        <v>30</v>
      </c>
      <c r="D56" s="10" t="s">
        <v>31</v>
      </c>
      <c r="E56" s="10" t="s">
        <v>32</v>
      </c>
      <c r="F56" s="10" t="s">
        <v>115</v>
      </c>
      <c r="G56" s="28" t="s">
        <v>116</v>
      </c>
      <c r="H56" s="28" t="s">
        <v>117</v>
      </c>
      <c r="I56" s="2" t="s">
        <v>1098</v>
      </c>
      <c r="J56" s="2" t="s">
        <v>35</v>
      </c>
      <c r="K56" s="2" t="s">
        <v>36</v>
      </c>
      <c r="L56" s="28" t="s">
        <v>37</v>
      </c>
      <c r="M56" s="10" t="s">
        <v>38</v>
      </c>
      <c r="N56" s="10" t="s">
        <v>39</v>
      </c>
      <c r="O56" s="10" t="s">
        <v>40</v>
      </c>
    </row>
    <row r="57" spans="1:15" ht="30" customHeight="1">
      <c r="A57" s="11" t="s">
        <v>574</v>
      </c>
      <c r="B57" s="4" t="s">
        <v>16</v>
      </c>
      <c r="C57" s="8" t="s">
        <v>43</v>
      </c>
      <c r="D57" s="8"/>
      <c r="E57" s="8"/>
      <c r="F57" s="4" t="s">
        <v>575</v>
      </c>
      <c r="G57" s="25" t="s">
        <v>373</v>
      </c>
      <c r="H57" s="4"/>
      <c r="I57" s="4" t="s">
        <v>1100</v>
      </c>
      <c r="J57" s="8" t="s">
        <v>576</v>
      </c>
      <c r="K57" s="3" t="s">
        <v>577</v>
      </c>
      <c r="L57" s="3"/>
      <c r="M57" s="4" t="s">
        <v>578</v>
      </c>
      <c r="N57" s="4"/>
      <c r="O57" s="4" t="s">
        <v>62</v>
      </c>
    </row>
    <row r="58" spans="1:15" ht="48">
      <c r="A58" s="11" t="s">
        <v>579</v>
      </c>
      <c r="B58" s="4" t="s">
        <v>16</v>
      </c>
      <c r="C58" s="8" t="s">
        <v>43</v>
      </c>
      <c r="D58" s="8"/>
      <c r="E58" s="8"/>
      <c r="F58" s="4" t="s">
        <v>580</v>
      </c>
      <c r="G58" s="25" t="s">
        <v>373</v>
      </c>
      <c r="H58" s="4"/>
      <c r="I58" s="4" t="s">
        <v>1100</v>
      </c>
      <c r="J58" s="8" t="s">
        <v>581</v>
      </c>
      <c r="K58" s="3"/>
      <c r="L58" s="3"/>
      <c r="M58" s="4" t="s">
        <v>578</v>
      </c>
      <c r="N58" s="4"/>
      <c r="O58" s="4" t="s">
        <v>62</v>
      </c>
    </row>
    <row r="59" spans="1:15" ht="48">
      <c r="A59" s="11" t="s">
        <v>582</v>
      </c>
      <c r="B59" s="4" t="s">
        <v>16</v>
      </c>
      <c r="C59" s="8" t="s">
        <v>43</v>
      </c>
      <c r="D59" s="8"/>
      <c r="E59" s="8"/>
      <c r="F59" s="4" t="s">
        <v>580</v>
      </c>
      <c r="G59" s="25" t="s">
        <v>373</v>
      </c>
      <c r="H59" s="4"/>
      <c r="I59" s="4" t="s">
        <v>1100</v>
      </c>
      <c r="J59" s="8" t="s">
        <v>581</v>
      </c>
      <c r="K59" s="3"/>
      <c r="L59" s="3"/>
      <c r="M59" s="4" t="s">
        <v>578</v>
      </c>
      <c r="N59" s="4"/>
      <c r="O59" s="4" t="s">
        <v>62</v>
      </c>
    </row>
    <row r="60" spans="1:15" ht="48">
      <c r="A60" s="11" t="s">
        <v>583</v>
      </c>
      <c r="B60" s="4" t="s">
        <v>16</v>
      </c>
      <c r="C60" s="8" t="s">
        <v>43</v>
      </c>
      <c r="D60" s="8"/>
      <c r="E60" s="8"/>
      <c r="F60" s="4" t="s">
        <v>584</v>
      </c>
      <c r="G60" s="25" t="s">
        <v>373</v>
      </c>
      <c r="H60" s="4"/>
      <c r="I60" s="4" t="s">
        <v>1100</v>
      </c>
      <c r="J60" s="8" t="s">
        <v>585</v>
      </c>
      <c r="K60" s="3"/>
      <c r="L60" s="3"/>
      <c r="M60" s="4" t="s">
        <v>578</v>
      </c>
      <c r="N60" s="4"/>
      <c r="O60" s="4" t="s">
        <v>62</v>
      </c>
    </row>
    <row r="61" spans="1:15" ht="48">
      <c r="A61" s="11" t="s">
        <v>586</v>
      </c>
      <c r="B61" s="4" t="s">
        <v>16</v>
      </c>
      <c r="C61" s="8" t="s">
        <v>43</v>
      </c>
      <c r="D61" s="8"/>
      <c r="E61" s="8"/>
      <c r="F61" s="4" t="s">
        <v>584</v>
      </c>
      <c r="G61" s="25" t="s">
        <v>373</v>
      </c>
      <c r="H61" s="4"/>
      <c r="I61" s="4" t="s">
        <v>1100</v>
      </c>
      <c r="J61" s="8" t="s">
        <v>585</v>
      </c>
      <c r="K61" s="3"/>
      <c r="L61" s="3"/>
      <c r="M61" s="4" t="s">
        <v>578</v>
      </c>
      <c r="N61" s="4"/>
      <c r="O61" s="4" t="s">
        <v>52</v>
      </c>
    </row>
    <row r="62" spans="1:15" ht="48">
      <c r="A62" s="11" t="s">
        <v>587</v>
      </c>
      <c r="B62" s="4" t="s">
        <v>16</v>
      </c>
      <c r="C62" s="8" t="s">
        <v>43</v>
      </c>
      <c r="D62" s="8"/>
      <c r="E62" s="8"/>
      <c r="F62" s="4" t="s">
        <v>584</v>
      </c>
      <c r="G62" s="25" t="s">
        <v>373</v>
      </c>
      <c r="H62" s="4"/>
      <c r="I62" s="4" t="s">
        <v>1100</v>
      </c>
      <c r="J62" s="8" t="s">
        <v>585</v>
      </c>
      <c r="K62" s="3"/>
      <c r="L62" s="3"/>
      <c r="M62" s="4" t="s">
        <v>578</v>
      </c>
      <c r="N62" s="4"/>
      <c r="O62" s="4" t="s">
        <v>52</v>
      </c>
    </row>
    <row r="63" spans="1:15" ht="48">
      <c r="A63" s="11" t="s">
        <v>588</v>
      </c>
      <c r="B63" s="4" t="s">
        <v>16</v>
      </c>
      <c r="C63" s="8" t="s">
        <v>43</v>
      </c>
      <c r="D63" s="8"/>
      <c r="E63" s="8"/>
      <c r="F63" s="4" t="s">
        <v>584</v>
      </c>
      <c r="G63" s="25" t="s">
        <v>373</v>
      </c>
      <c r="H63" s="4"/>
      <c r="I63" s="4" t="s">
        <v>1100</v>
      </c>
      <c r="J63" s="8" t="s">
        <v>585</v>
      </c>
      <c r="K63" s="3"/>
      <c r="L63" s="3"/>
      <c r="M63" s="4" t="s">
        <v>578</v>
      </c>
      <c r="N63" s="4"/>
      <c r="O63" s="4" t="s">
        <v>52</v>
      </c>
    </row>
    <row r="64" spans="1:15" ht="48">
      <c r="A64" s="11" t="s">
        <v>589</v>
      </c>
      <c r="B64" s="4" t="s">
        <v>16</v>
      </c>
      <c r="C64" s="8" t="s">
        <v>43</v>
      </c>
      <c r="D64" s="8"/>
      <c r="E64" s="8"/>
      <c r="F64" s="4" t="s">
        <v>584</v>
      </c>
      <c r="G64" s="25" t="s">
        <v>373</v>
      </c>
      <c r="H64" s="4"/>
      <c r="I64" s="4" t="s">
        <v>1100</v>
      </c>
      <c r="J64" s="8" t="s">
        <v>585</v>
      </c>
      <c r="K64" s="3"/>
      <c r="L64" s="3"/>
      <c r="M64" s="4" t="s">
        <v>578</v>
      </c>
      <c r="N64" s="4"/>
      <c r="O64" s="4" t="s">
        <v>52</v>
      </c>
    </row>
    <row r="65" spans="1:15" ht="48">
      <c r="A65" s="11" t="s">
        <v>590</v>
      </c>
      <c r="B65" s="4" t="s">
        <v>16</v>
      </c>
      <c r="C65" s="8" t="s">
        <v>43</v>
      </c>
      <c r="D65" s="8"/>
      <c r="E65" s="8"/>
      <c r="F65" s="4" t="s">
        <v>580</v>
      </c>
      <c r="G65" s="25" t="s">
        <v>373</v>
      </c>
      <c r="H65" s="4"/>
      <c r="I65" s="4" t="s">
        <v>1100</v>
      </c>
      <c r="J65" s="8" t="s">
        <v>591</v>
      </c>
      <c r="K65" s="3"/>
      <c r="L65" s="3"/>
      <c r="M65" s="4" t="s">
        <v>578</v>
      </c>
      <c r="N65" s="4"/>
      <c r="O65" s="4" t="s">
        <v>62</v>
      </c>
    </row>
    <row r="66" spans="1:15" ht="36">
      <c r="A66" s="11" t="s">
        <v>592</v>
      </c>
      <c r="B66" s="4" t="s">
        <v>16</v>
      </c>
      <c r="C66" s="8" t="s">
        <v>43</v>
      </c>
      <c r="D66" s="8"/>
      <c r="E66" s="8"/>
      <c r="F66" s="4">
        <v>0.71</v>
      </c>
      <c r="G66" s="8" t="s">
        <v>593</v>
      </c>
      <c r="H66" s="4">
        <v>150</v>
      </c>
      <c r="I66" s="4" t="s">
        <v>1100</v>
      </c>
      <c r="J66" s="25" t="s">
        <v>594</v>
      </c>
      <c r="K66" s="3"/>
      <c r="L66" s="3"/>
      <c r="M66" s="4" t="s">
        <v>578</v>
      </c>
      <c r="N66" s="4"/>
      <c r="O66" s="4" t="s">
        <v>52</v>
      </c>
    </row>
    <row r="67" spans="1:15" ht="36">
      <c r="A67" s="11" t="s">
        <v>595</v>
      </c>
      <c r="B67" s="4" t="s">
        <v>16</v>
      </c>
      <c r="C67" s="8" t="s">
        <v>43</v>
      </c>
      <c r="D67" s="8"/>
      <c r="E67" s="8"/>
      <c r="F67" s="4" t="s">
        <v>575</v>
      </c>
      <c r="G67" s="25" t="s">
        <v>373</v>
      </c>
      <c r="H67" s="4"/>
      <c r="I67" s="4" t="s">
        <v>1100</v>
      </c>
      <c r="J67" s="8" t="s">
        <v>576</v>
      </c>
      <c r="K67" s="3" t="s">
        <v>577</v>
      </c>
      <c r="L67" s="3"/>
      <c r="M67" s="4" t="s">
        <v>578</v>
      </c>
      <c r="N67" s="4"/>
      <c r="O67" s="4" t="s">
        <v>62</v>
      </c>
    </row>
    <row r="68" spans="1:15" ht="48">
      <c r="A68" s="11" t="s">
        <v>596</v>
      </c>
      <c r="B68" s="4" t="s">
        <v>16</v>
      </c>
      <c r="C68" s="8" t="s">
        <v>43</v>
      </c>
      <c r="D68" s="8"/>
      <c r="E68" s="8"/>
      <c r="F68" s="4" t="s">
        <v>580</v>
      </c>
      <c r="G68" s="25" t="s">
        <v>373</v>
      </c>
      <c r="H68" s="4"/>
      <c r="I68" s="4" t="s">
        <v>1100</v>
      </c>
      <c r="J68" s="8" t="s">
        <v>581</v>
      </c>
      <c r="K68" s="3"/>
      <c r="L68" s="3"/>
      <c r="M68" s="4" t="s">
        <v>578</v>
      </c>
      <c r="N68" s="4"/>
      <c r="O68" s="4" t="s">
        <v>62</v>
      </c>
    </row>
    <row r="69" spans="1:15" ht="48">
      <c r="A69" s="11" t="s">
        <v>597</v>
      </c>
      <c r="B69" s="4" t="s">
        <v>16</v>
      </c>
      <c r="C69" s="8" t="s">
        <v>43</v>
      </c>
      <c r="D69" s="8"/>
      <c r="E69" s="8"/>
      <c r="F69" s="4" t="s">
        <v>580</v>
      </c>
      <c r="G69" s="25" t="s">
        <v>373</v>
      </c>
      <c r="H69" s="4"/>
      <c r="I69" s="4" t="s">
        <v>1100</v>
      </c>
      <c r="J69" s="8" t="s">
        <v>581</v>
      </c>
      <c r="K69" s="3"/>
      <c r="L69" s="3"/>
      <c r="M69" s="4" t="s">
        <v>578</v>
      </c>
      <c r="N69" s="4"/>
      <c r="O69" s="4" t="s">
        <v>62</v>
      </c>
    </row>
    <row r="70" spans="1:15" ht="48">
      <c r="A70" s="11" t="s">
        <v>598</v>
      </c>
      <c r="B70" s="4" t="s">
        <v>16</v>
      </c>
      <c r="C70" s="8" t="s">
        <v>43</v>
      </c>
      <c r="D70" s="8"/>
      <c r="E70" s="8"/>
      <c r="F70" s="4" t="s">
        <v>584</v>
      </c>
      <c r="G70" s="25" t="s">
        <v>373</v>
      </c>
      <c r="H70" s="4"/>
      <c r="I70" s="4" t="s">
        <v>1100</v>
      </c>
      <c r="J70" s="8" t="s">
        <v>585</v>
      </c>
      <c r="K70" s="3"/>
      <c r="L70" s="3"/>
      <c r="M70" s="4" t="s">
        <v>578</v>
      </c>
      <c r="N70" s="4"/>
      <c r="O70" s="4" t="s">
        <v>62</v>
      </c>
    </row>
    <row r="71" spans="1:15" ht="48">
      <c r="A71" s="11" t="s">
        <v>599</v>
      </c>
      <c r="B71" s="4" t="s">
        <v>16</v>
      </c>
      <c r="C71" s="8" t="s">
        <v>43</v>
      </c>
      <c r="D71" s="8"/>
      <c r="E71" s="8"/>
      <c r="F71" s="4" t="s">
        <v>584</v>
      </c>
      <c r="G71" s="25" t="s">
        <v>373</v>
      </c>
      <c r="H71" s="4"/>
      <c r="I71" s="4" t="s">
        <v>1100</v>
      </c>
      <c r="J71" s="8" t="s">
        <v>585</v>
      </c>
      <c r="K71" s="3"/>
      <c r="L71" s="3"/>
      <c r="M71" s="4" t="s">
        <v>578</v>
      </c>
      <c r="N71" s="4"/>
      <c r="O71" s="4" t="s">
        <v>52</v>
      </c>
    </row>
    <row r="72" spans="1:15" ht="48">
      <c r="A72" s="11" t="s">
        <v>600</v>
      </c>
      <c r="B72" s="4" t="s">
        <v>16</v>
      </c>
      <c r="C72" s="8" t="s">
        <v>43</v>
      </c>
      <c r="D72" s="8"/>
      <c r="E72" s="8"/>
      <c r="F72" s="4" t="s">
        <v>584</v>
      </c>
      <c r="G72" s="25" t="s">
        <v>373</v>
      </c>
      <c r="H72" s="4"/>
      <c r="I72" s="4" t="s">
        <v>1100</v>
      </c>
      <c r="J72" s="8" t="s">
        <v>585</v>
      </c>
      <c r="K72" s="3"/>
      <c r="L72" s="3"/>
      <c r="M72" s="4" t="s">
        <v>578</v>
      </c>
      <c r="N72" s="4"/>
      <c r="O72" s="4" t="s">
        <v>52</v>
      </c>
    </row>
    <row r="73" spans="1:15" ht="48">
      <c r="A73" s="11" t="s">
        <v>601</v>
      </c>
      <c r="B73" s="4" t="s">
        <v>16</v>
      </c>
      <c r="C73" s="8" t="s">
        <v>43</v>
      </c>
      <c r="D73" s="8"/>
      <c r="E73" s="8"/>
      <c r="F73" s="4" t="s">
        <v>584</v>
      </c>
      <c r="G73" s="25" t="s">
        <v>373</v>
      </c>
      <c r="H73" s="4"/>
      <c r="I73" s="4" t="s">
        <v>1100</v>
      </c>
      <c r="J73" s="8" t="s">
        <v>585</v>
      </c>
      <c r="K73" s="3"/>
      <c r="L73" s="3"/>
      <c r="M73" s="4" t="s">
        <v>578</v>
      </c>
      <c r="N73" s="4"/>
      <c r="O73" s="4" t="s">
        <v>52</v>
      </c>
    </row>
    <row r="74" spans="1:15" ht="48">
      <c r="A74" s="11" t="s">
        <v>602</v>
      </c>
      <c r="B74" s="4" t="s">
        <v>16</v>
      </c>
      <c r="C74" s="8" t="s">
        <v>43</v>
      </c>
      <c r="D74" s="8"/>
      <c r="E74" s="8"/>
      <c r="F74" s="4" t="s">
        <v>584</v>
      </c>
      <c r="G74" s="25" t="s">
        <v>373</v>
      </c>
      <c r="H74" s="4"/>
      <c r="I74" s="4" t="s">
        <v>1100</v>
      </c>
      <c r="J74" s="8" t="s">
        <v>585</v>
      </c>
      <c r="K74" s="3"/>
      <c r="L74" s="3"/>
      <c r="M74" s="4" t="s">
        <v>578</v>
      </c>
      <c r="N74" s="4"/>
      <c r="O74" s="4" t="s">
        <v>52</v>
      </c>
    </row>
    <row r="75" spans="1:15" ht="48">
      <c r="A75" s="11" t="s">
        <v>603</v>
      </c>
      <c r="B75" s="4" t="s">
        <v>16</v>
      </c>
      <c r="C75" s="8" t="s">
        <v>43</v>
      </c>
      <c r="D75" s="8"/>
      <c r="E75" s="8"/>
      <c r="F75" s="4" t="s">
        <v>580</v>
      </c>
      <c r="G75" s="25" t="s">
        <v>373</v>
      </c>
      <c r="H75" s="4"/>
      <c r="I75" s="4" t="s">
        <v>1100</v>
      </c>
      <c r="J75" s="8" t="s">
        <v>591</v>
      </c>
      <c r="K75" s="3"/>
      <c r="L75" s="3"/>
      <c r="M75" s="4" t="s">
        <v>578</v>
      </c>
      <c r="N75" s="4"/>
      <c r="O75" s="4" t="s">
        <v>62</v>
      </c>
    </row>
    <row r="76" spans="1:15" ht="36">
      <c r="A76" s="11" t="s">
        <v>604</v>
      </c>
      <c r="B76" s="4" t="s">
        <v>16</v>
      </c>
      <c r="C76" s="8" t="s">
        <v>43</v>
      </c>
      <c r="D76" s="8"/>
      <c r="E76" s="8"/>
      <c r="F76" s="4">
        <v>0.71</v>
      </c>
      <c r="G76" s="8" t="s">
        <v>593</v>
      </c>
      <c r="H76" s="4"/>
      <c r="I76" s="4" t="s">
        <v>1100</v>
      </c>
      <c r="J76" s="25" t="s">
        <v>594</v>
      </c>
      <c r="K76" s="3"/>
      <c r="L76" s="3"/>
      <c r="M76" s="4" t="s">
        <v>578</v>
      </c>
      <c r="N76" s="4"/>
      <c r="O76" s="4" t="s">
        <v>52</v>
      </c>
    </row>
    <row r="77" spans="1:15">
      <c r="A77" s="11" t="s">
        <v>605</v>
      </c>
      <c r="B77" s="4" t="s">
        <v>190</v>
      </c>
      <c r="C77" s="8" t="s">
        <v>43</v>
      </c>
      <c r="D77" s="8"/>
      <c r="E77" s="8"/>
      <c r="F77" s="4">
        <v>100</v>
      </c>
      <c r="G77" s="8" t="s">
        <v>14</v>
      </c>
      <c r="H77" s="4">
        <v>321</v>
      </c>
      <c r="I77" s="4" t="s">
        <v>1100</v>
      </c>
      <c r="J77" s="8"/>
      <c r="K77" s="3" t="s">
        <v>606</v>
      </c>
      <c r="L77" s="3"/>
      <c r="M77" s="4" t="s">
        <v>578</v>
      </c>
      <c r="N77" s="4"/>
      <c r="O77" s="4" t="s">
        <v>62</v>
      </c>
    </row>
    <row r="78" spans="1:15">
      <c r="A78" s="11" t="s">
        <v>607</v>
      </c>
      <c r="B78" s="4" t="s">
        <v>190</v>
      </c>
      <c r="C78" s="8" t="s">
        <v>43</v>
      </c>
      <c r="D78" s="8"/>
      <c r="E78" s="8"/>
      <c r="F78" s="4">
        <v>8</v>
      </c>
      <c r="G78" s="8" t="s">
        <v>14</v>
      </c>
      <c r="H78" s="4">
        <v>321</v>
      </c>
      <c r="I78" s="4" t="s">
        <v>1100</v>
      </c>
      <c r="J78" s="8"/>
      <c r="K78" s="3" t="s">
        <v>606</v>
      </c>
      <c r="L78" s="3"/>
      <c r="M78" s="4" t="s">
        <v>578</v>
      </c>
      <c r="N78" s="4"/>
      <c r="O78" s="4" t="s">
        <v>62</v>
      </c>
    </row>
    <row r="79" spans="1:15">
      <c r="A79" s="11" t="s">
        <v>608</v>
      </c>
      <c r="B79" s="4" t="s">
        <v>190</v>
      </c>
      <c r="C79" s="8" t="s">
        <v>43</v>
      </c>
      <c r="D79" s="8"/>
      <c r="E79" s="8"/>
      <c r="F79" s="4">
        <v>85</v>
      </c>
      <c r="G79" s="8" t="s">
        <v>14</v>
      </c>
      <c r="H79" s="4">
        <v>321</v>
      </c>
      <c r="I79" s="4" t="s">
        <v>1100</v>
      </c>
      <c r="J79" s="8"/>
      <c r="K79" s="3" t="s">
        <v>606</v>
      </c>
      <c r="L79" s="3"/>
      <c r="M79" s="4" t="s">
        <v>578</v>
      </c>
      <c r="N79" s="4"/>
      <c r="O79" s="4" t="s">
        <v>62</v>
      </c>
    </row>
    <row r="80" spans="1:15">
      <c r="A80" s="11" t="s">
        <v>609</v>
      </c>
      <c r="B80" s="4" t="s">
        <v>190</v>
      </c>
      <c r="C80" s="8" t="s">
        <v>43</v>
      </c>
      <c r="D80" s="8"/>
      <c r="E80" s="8"/>
      <c r="F80" s="4">
        <v>60</v>
      </c>
      <c r="G80" s="8" t="s">
        <v>14</v>
      </c>
      <c r="H80" s="4">
        <v>318</v>
      </c>
      <c r="I80" s="4" t="s">
        <v>1100</v>
      </c>
      <c r="J80" s="8"/>
      <c r="K80" s="3" t="s">
        <v>610</v>
      </c>
      <c r="L80" s="3"/>
      <c r="M80" s="4" t="s">
        <v>578</v>
      </c>
      <c r="N80" s="4"/>
      <c r="O80" s="4" t="s">
        <v>62</v>
      </c>
    </row>
    <row r="81" spans="1:15">
      <c r="A81" s="11" t="s">
        <v>611</v>
      </c>
      <c r="B81" s="4" t="s">
        <v>190</v>
      </c>
      <c r="C81" s="8" t="s">
        <v>43</v>
      </c>
      <c r="D81" s="8"/>
      <c r="E81" s="8"/>
      <c r="F81" s="4">
        <v>59</v>
      </c>
      <c r="G81" s="8" t="s">
        <v>14</v>
      </c>
      <c r="H81" s="4">
        <v>321</v>
      </c>
      <c r="I81" s="4" t="s">
        <v>1100</v>
      </c>
      <c r="J81" s="8"/>
      <c r="K81" s="3" t="s">
        <v>606</v>
      </c>
      <c r="L81" s="3"/>
      <c r="M81" s="4" t="s">
        <v>578</v>
      </c>
      <c r="N81" s="4"/>
      <c r="O81" s="4" t="s">
        <v>62</v>
      </c>
    </row>
    <row r="82" spans="1:15">
      <c r="A82" s="77" t="s">
        <v>612</v>
      </c>
      <c r="B82" s="71" t="s">
        <v>190</v>
      </c>
      <c r="C82" s="70" t="s">
        <v>43</v>
      </c>
      <c r="D82" s="8"/>
      <c r="E82" s="8"/>
      <c r="F82" s="71" t="s">
        <v>613</v>
      </c>
      <c r="G82" s="70" t="s">
        <v>14</v>
      </c>
      <c r="H82" s="4" t="s">
        <v>614</v>
      </c>
      <c r="I82" s="4" t="s">
        <v>1100</v>
      </c>
      <c r="J82" s="3"/>
      <c r="K82" s="3" t="s">
        <v>606</v>
      </c>
      <c r="L82" s="3"/>
      <c r="M82" s="4" t="s">
        <v>578</v>
      </c>
      <c r="N82" s="4"/>
      <c r="O82" s="4" t="s">
        <v>62</v>
      </c>
    </row>
    <row r="83" spans="1:15">
      <c r="A83" s="11" t="s">
        <v>615</v>
      </c>
      <c r="B83" s="4" t="s">
        <v>190</v>
      </c>
      <c r="C83" s="8" t="s">
        <v>43</v>
      </c>
      <c r="D83" s="8"/>
      <c r="E83" s="8"/>
      <c r="F83" s="4">
        <v>18</v>
      </c>
      <c r="G83" s="8" t="s">
        <v>14</v>
      </c>
      <c r="H83" s="4">
        <v>318</v>
      </c>
      <c r="I83" s="4" t="s">
        <v>1100</v>
      </c>
      <c r="J83" s="8"/>
      <c r="K83" s="3" t="s">
        <v>616</v>
      </c>
      <c r="L83" s="3"/>
      <c r="M83" s="4" t="s">
        <v>578</v>
      </c>
      <c r="N83" s="4"/>
      <c r="O83" s="4" t="s">
        <v>62</v>
      </c>
    </row>
    <row r="84" spans="1:15">
      <c r="A84" s="11" t="s">
        <v>617</v>
      </c>
      <c r="B84" s="4" t="s">
        <v>190</v>
      </c>
      <c r="C84" s="8" t="s">
        <v>43</v>
      </c>
      <c r="D84" s="8"/>
      <c r="E84" s="8"/>
      <c r="F84" s="4">
        <v>6</v>
      </c>
      <c r="G84" s="8" t="s">
        <v>14</v>
      </c>
      <c r="H84" s="4">
        <v>340</v>
      </c>
      <c r="I84" s="4" t="s">
        <v>1100</v>
      </c>
      <c r="J84" s="8"/>
      <c r="K84" s="3"/>
      <c r="L84" s="3"/>
      <c r="M84" s="4" t="s">
        <v>578</v>
      </c>
      <c r="N84" s="4"/>
      <c r="O84" s="4" t="s">
        <v>62</v>
      </c>
    </row>
    <row r="85" spans="1:15">
      <c r="A85" s="11" t="s">
        <v>618</v>
      </c>
      <c r="B85" s="4" t="s">
        <v>190</v>
      </c>
      <c r="C85" s="8" t="s">
        <v>43</v>
      </c>
      <c r="D85" s="8"/>
      <c r="E85" s="8"/>
      <c r="F85" s="4">
        <v>100</v>
      </c>
      <c r="G85" s="8" t="s">
        <v>14</v>
      </c>
      <c r="H85" s="4">
        <v>321</v>
      </c>
      <c r="I85" s="4" t="s">
        <v>1100</v>
      </c>
      <c r="J85" s="8"/>
      <c r="K85" s="3" t="s">
        <v>606</v>
      </c>
      <c r="L85" s="3"/>
      <c r="M85" s="4" t="s">
        <v>578</v>
      </c>
      <c r="N85" s="4"/>
      <c r="O85" s="4" t="s">
        <v>62</v>
      </c>
    </row>
    <row r="86" spans="1:15">
      <c r="A86" s="11" t="s">
        <v>619</v>
      </c>
      <c r="B86" s="4" t="s">
        <v>190</v>
      </c>
      <c r="C86" s="8" t="s">
        <v>43</v>
      </c>
      <c r="D86" s="8"/>
      <c r="E86" s="8"/>
      <c r="F86" s="4">
        <v>8</v>
      </c>
      <c r="G86" s="8" t="s">
        <v>14</v>
      </c>
      <c r="H86" s="4">
        <v>321</v>
      </c>
      <c r="I86" s="4" t="s">
        <v>1100</v>
      </c>
      <c r="J86" s="8"/>
      <c r="K86" s="3" t="s">
        <v>606</v>
      </c>
      <c r="L86" s="3"/>
      <c r="M86" s="4" t="s">
        <v>578</v>
      </c>
      <c r="N86" s="4"/>
      <c r="O86" s="4" t="s">
        <v>62</v>
      </c>
    </row>
    <row r="87" spans="1:15">
      <c r="A87" s="11" t="s">
        <v>620</v>
      </c>
      <c r="B87" s="4" t="s">
        <v>190</v>
      </c>
      <c r="C87" s="8" t="s">
        <v>43</v>
      </c>
      <c r="D87" s="8"/>
      <c r="E87" s="8"/>
      <c r="F87" s="4">
        <v>85</v>
      </c>
      <c r="G87" s="8" t="s">
        <v>14</v>
      </c>
      <c r="H87" s="4">
        <v>321</v>
      </c>
      <c r="I87" s="4" t="s">
        <v>1100</v>
      </c>
      <c r="J87" s="8"/>
      <c r="K87" s="3" t="s">
        <v>606</v>
      </c>
      <c r="L87" s="3"/>
      <c r="M87" s="4" t="s">
        <v>578</v>
      </c>
      <c r="N87" s="4"/>
      <c r="O87" s="4" t="s">
        <v>62</v>
      </c>
    </row>
    <row r="88" spans="1:15">
      <c r="A88" s="11" t="s">
        <v>621</v>
      </c>
      <c r="B88" s="4" t="s">
        <v>190</v>
      </c>
      <c r="C88" s="8" t="s">
        <v>43</v>
      </c>
      <c r="D88" s="8"/>
      <c r="E88" s="8"/>
      <c r="F88" s="4">
        <v>60</v>
      </c>
      <c r="G88" s="8" t="s">
        <v>14</v>
      </c>
      <c r="H88" s="4">
        <v>318</v>
      </c>
      <c r="I88" s="4" t="s">
        <v>1100</v>
      </c>
      <c r="J88" s="8"/>
      <c r="K88" s="3" t="s">
        <v>610</v>
      </c>
      <c r="L88" s="3"/>
      <c r="M88" s="4" t="s">
        <v>578</v>
      </c>
      <c r="N88" s="4"/>
      <c r="O88" s="4" t="s">
        <v>62</v>
      </c>
    </row>
    <row r="89" spans="1:15">
      <c r="A89" s="11" t="s">
        <v>622</v>
      </c>
      <c r="B89" s="4" t="s">
        <v>190</v>
      </c>
      <c r="C89" s="8" t="s">
        <v>43</v>
      </c>
      <c r="D89" s="8"/>
      <c r="E89" s="8"/>
      <c r="F89" s="4">
        <v>59</v>
      </c>
      <c r="G89" s="8" t="s">
        <v>14</v>
      </c>
      <c r="H89" s="4">
        <v>321</v>
      </c>
      <c r="I89" s="4" t="s">
        <v>1100</v>
      </c>
      <c r="J89" s="8"/>
      <c r="K89" s="3" t="s">
        <v>606</v>
      </c>
      <c r="L89" s="3"/>
      <c r="M89" s="4" t="s">
        <v>578</v>
      </c>
      <c r="N89" s="4"/>
      <c r="O89" s="4" t="s">
        <v>62</v>
      </c>
    </row>
    <row r="90" spans="1:15">
      <c r="A90" s="11" t="s">
        <v>623</v>
      </c>
      <c r="B90" s="4" t="s">
        <v>190</v>
      </c>
      <c r="C90" s="8" t="s">
        <v>43</v>
      </c>
      <c r="D90" s="8"/>
      <c r="E90" s="8"/>
      <c r="F90" s="4" t="s">
        <v>613</v>
      </c>
      <c r="G90" s="8" t="s">
        <v>14</v>
      </c>
      <c r="H90" s="4" t="s">
        <v>614</v>
      </c>
      <c r="I90" s="4" t="s">
        <v>1100</v>
      </c>
      <c r="J90" s="8"/>
      <c r="K90" s="3" t="s">
        <v>606</v>
      </c>
      <c r="L90" s="3"/>
      <c r="M90" s="4" t="s">
        <v>578</v>
      </c>
      <c r="N90" s="4"/>
      <c r="O90" s="4" t="s">
        <v>62</v>
      </c>
    </row>
    <row r="91" spans="1:15">
      <c r="A91" s="11" t="s">
        <v>624</v>
      </c>
      <c r="B91" s="4" t="s">
        <v>190</v>
      </c>
      <c r="C91" s="8" t="s">
        <v>43</v>
      </c>
      <c r="D91" s="8"/>
      <c r="E91" s="8"/>
      <c r="F91" s="4">
        <v>18</v>
      </c>
      <c r="G91" s="8" t="s">
        <v>14</v>
      </c>
      <c r="H91" s="4">
        <v>318</v>
      </c>
      <c r="I91" s="4" t="s">
        <v>1100</v>
      </c>
      <c r="J91" s="8"/>
      <c r="K91" s="3" t="s">
        <v>616</v>
      </c>
      <c r="L91" s="3"/>
      <c r="M91" s="4" t="s">
        <v>578</v>
      </c>
      <c r="N91" s="4"/>
      <c r="O91" s="4" t="s">
        <v>62</v>
      </c>
    </row>
    <row r="92" spans="1:15">
      <c r="A92" s="11" t="s">
        <v>625</v>
      </c>
      <c r="B92" s="4" t="s">
        <v>190</v>
      </c>
      <c r="C92" s="8" t="s">
        <v>43</v>
      </c>
      <c r="D92" s="8"/>
      <c r="E92" s="8"/>
      <c r="F92" s="4">
        <v>6</v>
      </c>
      <c r="G92" s="8" t="s">
        <v>14</v>
      </c>
      <c r="H92" s="4">
        <v>340</v>
      </c>
      <c r="I92" s="4" t="s">
        <v>1100</v>
      </c>
      <c r="J92" s="8"/>
      <c r="K92" s="3"/>
      <c r="L92" s="3"/>
      <c r="M92" s="4" t="s">
        <v>578</v>
      </c>
      <c r="N92" s="4"/>
      <c r="O92" s="4" t="s">
        <v>62</v>
      </c>
    </row>
    <row r="93" spans="1:15">
      <c r="A93" s="11" t="s">
        <v>626</v>
      </c>
      <c r="B93" s="4" t="s">
        <v>627</v>
      </c>
      <c r="C93" s="8" t="s">
        <v>43</v>
      </c>
      <c r="D93" s="8"/>
      <c r="E93" s="8"/>
      <c r="F93" s="4">
        <v>550</v>
      </c>
      <c r="G93" s="8" t="s">
        <v>14</v>
      </c>
      <c r="H93" s="4">
        <v>309</v>
      </c>
      <c r="I93" s="4" t="s">
        <v>1100</v>
      </c>
      <c r="J93" s="8"/>
      <c r="K93" s="3" t="s">
        <v>628</v>
      </c>
      <c r="L93" s="3"/>
      <c r="M93" s="4" t="s">
        <v>578</v>
      </c>
      <c r="N93" s="4"/>
      <c r="O93" s="4" t="s">
        <v>62</v>
      </c>
    </row>
    <row r="94" spans="1:15">
      <c r="A94" s="11" t="s">
        <v>629</v>
      </c>
      <c r="B94" s="8" t="s">
        <v>490</v>
      </c>
      <c r="C94" s="8" t="s">
        <v>43</v>
      </c>
      <c r="D94" s="8"/>
      <c r="E94" s="8"/>
      <c r="F94" s="8">
        <v>0.75</v>
      </c>
      <c r="G94" s="8" t="s">
        <v>14</v>
      </c>
      <c r="H94" s="8" t="s">
        <v>630</v>
      </c>
      <c r="I94" s="4" t="s">
        <v>1100</v>
      </c>
      <c r="J94" s="8"/>
      <c r="K94" s="3"/>
      <c r="L94" s="3"/>
      <c r="M94" s="4" t="s">
        <v>578</v>
      </c>
      <c r="N94" s="4"/>
      <c r="O94" s="4" t="s">
        <v>52</v>
      </c>
    </row>
    <row r="95" spans="1:15">
      <c r="A95" s="11" t="s">
        <v>631</v>
      </c>
      <c r="B95" s="4" t="s">
        <v>627</v>
      </c>
      <c r="C95" s="8" t="s">
        <v>43</v>
      </c>
      <c r="D95" s="8"/>
      <c r="E95" s="8"/>
      <c r="F95" s="4">
        <v>550</v>
      </c>
      <c r="G95" s="8" t="s">
        <v>14</v>
      </c>
      <c r="H95" s="4">
        <v>309</v>
      </c>
      <c r="I95" s="4" t="s">
        <v>1100</v>
      </c>
      <c r="J95" s="8"/>
      <c r="K95" s="3" t="s">
        <v>628</v>
      </c>
      <c r="L95" s="3"/>
      <c r="M95" s="4" t="s">
        <v>578</v>
      </c>
      <c r="N95" s="4"/>
      <c r="O95" s="4" t="s">
        <v>62</v>
      </c>
    </row>
    <row r="96" spans="1:15">
      <c r="A96" s="11" t="s">
        <v>632</v>
      </c>
      <c r="B96" s="8" t="s">
        <v>490</v>
      </c>
      <c r="C96" s="8" t="s">
        <v>43</v>
      </c>
      <c r="D96" s="8"/>
      <c r="E96" s="8"/>
      <c r="F96" s="8">
        <v>0.75</v>
      </c>
      <c r="G96" s="8" t="s">
        <v>14</v>
      </c>
      <c r="H96" s="8" t="s">
        <v>630</v>
      </c>
      <c r="I96" s="4" t="s">
        <v>1100</v>
      </c>
      <c r="J96" s="8"/>
      <c r="K96" s="3"/>
      <c r="L96" s="3"/>
      <c r="M96" s="4" t="s">
        <v>578</v>
      </c>
      <c r="N96" s="4"/>
      <c r="O96" s="4" t="s">
        <v>52</v>
      </c>
    </row>
    <row r="97" spans="1:15" ht="24">
      <c r="A97" s="11" t="s">
        <v>633</v>
      </c>
      <c r="B97" s="25" t="s">
        <v>136</v>
      </c>
      <c r="C97" s="8" t="s">
        <v>43</v>
      </c>
      <c r="D97" s="8"/>
      <c r="E97" s="8"/>
      <c r="F97" s="25">
        <v>0</v>
      </c>
      <c r="G97" s="25" t="s">
        <v>634</v>
      </c>
      <c r="H97" s="3"/>
      <c r="I97" s="4" t="s">
        <v>1099</v>
      </c>
      <c r="J97" s="25" t="s">
        <v>635</v>
      </c>
      <c r="K97" s="25" t="s">
        <v>636</v>
      </c>
      <c r="L97" s="4" t="s">
        <v>637</v>
      </c>
      <c r="M97" s="4" t="s">
        <v>578</v>
      </c>
      <c r="N97" s="4"/>
      <c r="O97" s="4" t="s">
        <v>52</v>
      </c>
    </row>
    <row r="98" spans="1:15" ht="24">
      <c r="A98" s="11" t="s">
        <v>638</v>
      </c>
      <c r="B98" s="25" t="s">
        <v>136</v>
      </c>
      <c r="C98" s="8" t="s">
        <v>43</v>
      </c>
      <c r="D98" s="8"/>
      <c r="E98" s="8"/>
      <c r="F98" s="25">
        <v>6.6699999999999995E-2</v>
      </c>
      <c r="G98" s="25" t="s">
        <v>639</v>
      </c>
      <c r="H98" s="17"/>
      <c r="I98" s="4" t="s">
        <v>1099</v>
      </c>
      <c r="J98" s="17" t="s">
        <v>640</v>
      </c>
      <c r="K98" s="25" t="s">
        <v>641</v>
      </c>
      <c r="L98" s="4"/>
      <c r="M98" s="4" t="s">
        <v>578</v>
      </c>
      <c r="N98" s="4"/>
      <c r="O98" s="4" t="s">
        <v>52</v>
      </c>
    </row>
    <row r="99" spans="1:15" ht="24">
      <c r="A99" s="11" t="s">
        <v>642</v>
      </c>
      <c r="B99" s="25" t="s">
        <v>136</v>
      </c>
      <c r="C99" s="8" t="s">
        <v>43</v>
      </c>
      <c r="D99" s="8"/>
      <c r="E99" s="8"/>
      <c r="F99" s="25">
        <v>8.1000000000000003E-2</v>
      </c>
      <c r="G99" s="25" t="s">
        <v>103</v>
      </c>
      <c r="H99" s="25" t="s">
        <v>643</v>
      </c>
      <c r="I99" s="4" t="s">
        <v>1099</v>
      </c>
      <c r="J99" s="25" t="s">
        <v>644</v>
      </c>
      <c r="K99" s="25" t="s">
        <v>641</v>
      </c>
      <c r="L99" s="4"/>
      <c r="M99" s="4" t="s">
        <v>578</v>
      </c>
      <c r="N99" s="4"/>
      <c r="O99" s="4" t="s">
        <v>52</v>
      </c>
    </row>
    <row r="100" spans="1:15" ht="24">
      <c r="A100" s="11" t="s">
        <v>645</v>
      </c>
      <c r="B100" s="25" t="s">
        <v>136</v>
      </c>
      <c r="C100" s="8" t="s">
        <v>43</v>
      </c>
      <c r="D100" s="8"/>
      <c r="E100" s="8"/>
      <c r="F100" s="25" t="s">
        <v>646</v>
      </c>
      <c r="G100" s="25" t="s">
        <v>103</v>
      </c>
      <c r="H100" s="17" t="s">
        <v>647</v>
      </c>
      <c r="I100" s="4" t="s">
        <v>1099</v>
      </c>
      <c r="J100" s="25" t="s">
        <v>648</v>
      </c>
      <c r="K100" s="4"/>
      <c r="L100" s="4"/>
      <c r="M100" s="4" t="s">
        <v>578</v>
      </c>
      <c r="N100" s="4"/>
      <c r="O100" s="4" t="s">
        <v>52</v>
      </c>
    </row>
    <row r="101" spans="1:15" ht="24">
      <c r="A101" s="11" t="s">
        <v>649</v>
      </c>
      <c r="B101" s="25" t="s">
        <v>136</v>
      </c>
      <c r="C101" s="8" t="s">
        <v>43</v>
      </c>
      <c r="D101" s="8"/>
      <c r="E101" s="8"/>
      <c r="F101" s="25" t="s">
        <v>650</v>
      </c>
      <c r="G101" s="25" t="s">
        <v>103</v>
      </c>
      <c r="H101" s="25" t="s">
        <v>647</v>
      </c>
      <c r="I101" s="4" t="s">
        <v>1099</v>
      </c>
      <c r="J101" s="25" t="s">
        <v>651</v>
      </c>
      <c r="K101" s="4"/>
      <c r="L101" s="4"/>
      <c r="M101" s="4" t="s">
        <v>578</v>
      </c>
      <c r="N101" s="4"/>
      <c r="O101" s="4" t="s">
        <v>52</v>
      </c>
    </row>
    <row r="102" spans="1:15" ht="36">
      <c r="A102" s="11" t="s">
        <v>652</v>
      </c>
      <c r="B102" s="25" t="s">
        <v>136</v>
      </c>
      <c r="C102" s="8" t="s">
        <v>43</v>
      </c>
      <c r="D102" s="8"/>
      <c r="E102" s="8"/>
      <c r="F102" s="25">
        <v>0</v>
      </c>
      <c r="G102" s="25" t="s">
        <v>103</v>
      </c>
      <c r="H102" s="25" t="s">
        <v>653</v>
      </c>
      <c r="I102" s="4" t="s">
        <v>1099</v>
      </c>
      <c r="J102" s="25"/>
      <c r="K102" s="25" t="s">
        <v>654</v>
      </c>
      <c r="L102" s="4"/>
      <c r="M102" s="4" t="s">
        <v>578</v>
      </c>
      <c r="N102" s="4"/>
      <c r="O102" s="4" t="s">
        <v>52</v>
      </c>
    </row>
    <row r="103" spans="1:15" ht="24">
      <c r="A103" s="11" t="s">
        <v>655</v>
      </c>
      <c r="B103" s="25" t="s">
        <v>136</v>
      </c>
      <c r="C103" s="8" t="s">
        <v>43</v>
      </c>
      <c r="D103" s="8"/>
      <c r="E103" s="8"/>
      <c r="F103" s="25" t="s">
        <v>656</v>
      </c>
      <c r="G103" s="25" t="s">
        <v>103</v>
      </c>
      <c r="H103" s="25" t="s">
        <v>512</v>
      </c>
      <c r="I103" s="4" t="s">
        <v>1099</v>
      </c>
      <c r="J103" s="25" t="s">
        <v>657</v>
      </c>
      <c r="K103" s="4"/>
      <c r="L103" s="4"/>
      <c r="M103" s="4" t="s">
        <v>578</v>
      </c>
      <c r="N103" s="4"/>
      <c r="O103" s="4" t="s">
        <v>52</v>
      </c>
    </row>
    <row r="104" spans="1:15" ht="24">
      <c r="A104" s="11" t="s">
        <v>658</v>
      </c>
      <c r="B104" s="25" t="s">
        <v>136</v>
      </c>
      <c r="C104" s="8" t="s">
        <v>43</v>
      </c>
      <c r="D104" s="8"/>
      <c r="E104" s="8"/>
      <c r="F104" s="25" t="s">
        <v>659</v>
      </c>
      <c r="G104" s="25" t="s">
        <v>103</v>
      </c>
      <c r="H104" s="25" t="s">
        <v>512</v>
      </c>
      <c r="I104" s="4" t="s">
        <v>1099</v>
      </c>
      <c r="J104" s="25" t="s">
        <v>660</v>
      </c>
      <c r="K104" s="4"/>
      <c r="L104" s="4"/>
      <c r="M104" s="4" t="s">
        <v>578</v>
      </c>
      <c r="N104" s="4"/>
      <c r="O104" s="4" t="s">
        <v>52</v>
      </c>
    </row>
    <row r="105" spans="1:15" ht="24">
      <c r="A105" s="11" t="s">
        <v>661</v>
      </c>
      <c r="B105" s="25" t="s">
        <v>136</v>
      </c>
      <c r="C105" s="8" t="s">
        <v>43</v>
      </c>
      <c r="D105" s="8"/>
      <c r="E105" s="8"/>
      <c r="F105" s="25">
        <v>0</v>
      </c>
      <c r="G105" s="25" t="s">
        <v>662</v>
      </c>
      <c r="H105" s="17" t="s">
        <v>663</v>
      </c>
      <c r="I105" s="4" t="s">
        <v>1099</v>
      </c>
      <c r="J105" s="25" t="s">
        <v>664</v>
      </c>
      <c r="K105" s="25" t="s">
        <v>636</v>
      </c>
      <c r="L105" s="4" t="s">
        <v>637</v>
      </c>
      <c r="M105" s="4" t="s">
        <v>578</v>
      </c>
      <c r="N105" s="4"/>
      <c r="O105" s="4" t="s">
        <v>52</v>
      </c>
    </row>
    <row r="106" spans="1:15" ht="24">
      <c r="A106" s="11" t="s">
        <v>665</v>
      </c>
      <c r="B106" s="25" t="s">
        <v>136</v>
      </c>
      <c r="C106" s="8" t="s">
        <v>43</v>
      </c>
      <c r="D106" s="8"/>
      <c r="E106" s="8"/>
      <c r="F106" s="25" t="s">
        <v>666</v>
      </c>
      <c r="G106" s="25" t="s">
        <v>103</v>
      </c>
      <c r="H106" s="25" t="s">
        <v>512</v>
      </c>
      <c r="I106" s="4" t="s">
        <v>1099</v>
      </c>
      <c r="J106" s="25" t="s">
        <v>667</v>
      </c>
      <c r="K106" s="4"/>
      <c r="L106" s="4"/>
      <c r="M106" s="4" t="s">
        <v>578</v>
      </c>
      <c r="N106" s="4"/>
      <c r="O106" s="4" t="s">
        <v>52</v>
      </c>
    </row>
    <row r="107" spans="1:15">
      <c r="A107" s="11" t="s">
        <v>668</v>
      </c>
      <c r="B107" s="25" t="s">
        <v>136</v>
      </c>
      <c r="C107" s="8" t="s">
        <v>43</v>
      </c>
      <c r="D107" s="8"/>
      <c r="E107" s="8"/>
      <c r="F107" s="78" t="s">
        <v>669</v>
      </c>
      <c r="G107" s="25" t="s">
        <v>103</v>
      </c>
      <c r="H107" s="17" t="s">
        <v>512</v>
      </c>
      <c r="I107" s="4" t="s">
        <v>1099</v>
      </c>
      <c r="J107" s="17"/>
      <c r="K107" s="4"/>
      <c r="L107" s="4"/>
      <c r="M107" s="4" t="s">
        <v>578</v>
      </c>
      <c r="N107" s="4"/>
      <c r="O107" s="4" t="s">
        <v>52</v>
      </c>
    </row>
    <row r="108" spans="1:15">
      <c r="A108" s="27" t="s">
        <v>670</v>
      </c>
      <c r="B108" s="2" t="s">
        <v>1</v>
      </c>
      <c r="C108" s="10" t="s">
        <v>30</v>
      </c>
      <c r="D108" s="10" t="s">
        <v>31</v>
      </c>
      <c r="E108" s="10" t="s">
        <v>32</v>
      </c>
      <c r="F108" s="10" t="s">
        <v>115</v>
      </c>
      <c r="G108" s="28" t="s">
        <v>116</v>
      </c>
      <c r="H108" s="28" t="s">
        <v>117</v>
      </c>
      <c r="I108" s="2" t="s">
        <v>1098</v>
      </c>
      <c r="J108" s="2" t="s">
        <v>35</v>
      </c>
      <c r="K108" s="2" t="s">
        <v>36</v>
      </c>
      <c r="L108" s="28" t="s">
        <v>37</v>
      </c>
      <c r="M108" s="10" t="s">
        <v>38</v>
      </c>
      <c r="N108" s="10" t="s">
        <v>39</v>
      </c>
      <c r="O108" s="10" t="s">
        <v>40</v>
      </c>
    </row>
    <row r="109" spans="1:15" ht="36">
      <c r="A109" s="11" t="s">
        <v>671</v>
      </c>
      <c r="B109" s="25" t="s">
        <v>672</v>
      </c>
      <c r="C109" s="8" t="s">
        <v>43</v>
      </c>
      <c r="D109" s="8"/>
      <c r="E109" s="8"/>
      <c r="F109" s="25">
        <v>0</v>
      </c>
      <c r="G109" s="25" t="s">
        <v>634</v>
      </c>
      <c r="H109" s="25"/>
      <c r="I109" s="25" t="s">
        <v>1099</v>
      </c>
      <c r="J109" s="25" t="s">
        <v>673</v>
      </c>
      <c r="K109" s="25" t="s">
        <v>674</v>
      </c>
      <c r="L109" s="20"/>
      <c r="M109" s="9" t="s">
        <v>675</v>
      </c>
      <c r="N109" s="4"/>
      <c r="O109" s="4" t="s">
        <v>130</v>
      </c>
    </row>
    <row r="110" spans="1:15" ht="24">
      <c r="A110" s="11" t="s">
        <v>676</v>
      </c>
      <c r="B110" s="25" t="s">
        <v>672</v>
      </c>
      <c r="C110" s="8" t="s">
        <v>43</v>
      </c>
      <c r="D110" s="8"/>
      <c r="E110" s="8"/>
      <c r="F110" s="25">
        <v>2.41E-5</v>
      </c>
      <c r="G110" s="17" t="s">
        <v>677</v>
      </c>
      <c r="H110" s="17" t="s">
        <v>677</v>
      </c>
      <c r="I110" s="25" t="s">
        <v>1099</v>
      </c>
      <c r="J110" s="25" t="s">
        <v>673</v>
      </c>
      <c r="K110" s="25" t="s">
        <v>678</v>
      </c>
      <c r="L110" s="3"/>
      <c r="M110" s="4" t="s">
        <v>675</v>
      </c>
      <c r="N110" s="4"/>
      <c r="O110" s="4" t="s">
        <v>92</v>
      </c>
    </row>
    <row r="111" spans="1:15" ht="24">
      <c r="A111" s="11" t="s">
        <v>679</v>
      </c>
      <c r="B111" s="8"/>
      <c r="C111" s="8" t="s">
        <v>43</v>
      </c>
      <c r="D111" s="8"/>
      <c r="E111" s="8"/>
      <c r="F111" s="19" t="s">
        <v>680</v>
      </c>
      <c r="G111" s="16" t="s">
        <v>681</v>
      </c>
      <c r="H111" s="16">
        <v>401</v>
      </c>
      <c r="I111" s="25" t="s">
        <v>1100</v>
      </c>
      <c r="J111" s="16"/>
      <c r="K111" s="31"/>
      <c r="L111" s="20"/>
      <c r="M111" s="4" t="s">
        <v>675</v>
      </c>
      <c r="N111" s="4"/>
      <c r="O111" s="4" t="s">
        <v>130</v>
      </c>
    </row>
    <row r="112" spans="1:15" ht="36">
      <c r="A112" s="11" t="s">
        <v>682</v>
      </c>
      <c r="B112" s="25" t="s">
        <v>672</v>
      </c>
      <c r="C112" s="8" t="s">
        <v>43</v>
      </c>
      <c r="D112" s="8"/>
      <c r="E112" s="8"/>
      <c r="F112" s="25">
        <v>1.1000000000000001E-3</v>
      </c>
      <c r="G112" s="16" t="s">
        <v>103</v>
      </c>
      <c r="H112" s="17" t="s">
        <v>683</v>
      </c>
      <c r="I112" s="25" t="s">
        <v>1099</v>
      </c>
      <c r="J112" s="17" t="s">
        <v>673</v>
      </c>
      <c r="K112" s="25" t="s">
        <v>674</v>
      </c>
      <c r="L112" s="3"/>
      <c r="M112" s="4" t="s">
        <v>675</v>
      </c>
      <c r="N112" s="4"/>
      <c r="O112" s="4" t="s">
        <v>130</v>
      </c>
    </row>
    <row r="113" spans="1:15">
      <c r="A113" s="11" t="s">
        <v>684</v>
      </c>
      <c r="B113" s="8" t="s">
        <v>685</v>
      </c>
      <c r="C113" s="8" t="s">
        <v>43</v>
      </c>
      <c r="D113" s="8"/>
      <c r="E113" s="8"/>
      <c r="F113" s="8">
        <v>0.122</v>
      </c>
      <c r="G113" s="16" t="s">
        <v>103</v>
      </c>
      <c r="H113" s="16">
        <v>10</v>
      </c>
      <c r="I113" s="25" t="s">
        <v>1100</v>
      </c>
      <c r="J113" s="16" t="s">
        <v>686</v>
      </c>
      <c r="K113" s="31"/>
      <c r="L113" s="20"/>
      <c r="M113" s="4" t="s">
        <v>675</v>
      </c>
      <c r="N113" s="4"/>
      <c r="O113" s="4" t="s">
        <v>130</v>
      </c>
    </row>
    <row r="114" spans="1:15">
      <c r="A114" s="11" t="s">
        <v>687</v>
      </c>
      <c r="B114" s="8" t="s">
        <v>685</v>
      </c>
      <c r="C114" s="8" t="s">
        <v>43</v>
      </c>
      <c r="D114" s="8"/>
      <c r="E114" s="8"/>
      <c r="F114" s="8">
        <v>274.58999999999997</v>
      </c>
      <c r="G114" s="16" t="s">
        <v>103</v>
      </c>
      <c r="H114" s="16">
        <v>10</v>
      </c>
      <c r="I114" s="25" t="s">
        <v>1100</v>
      </c>
      <c r="J114" s="16" t="s">
        <v>688</v>
      </c>
      <c r="K114" s="31"/>
      <c r="L114" s="20"/>
      <c r="M114" s="4" t="s">
        <v>675</v>
      </c>
      <c r="N114" s="4"/>
      <c r="O114" s="4" t="s">
        <v>52</v>
      </c>
    </row>
    <row r="115" spans="1:15">
      <c r="A115" s="11" t="s">
        <v>689</v>
      </c>
      <c r="B115" s="8" t="s">
        <v>685</v>
      </c>
      <c r="C115" s="8" t="s">
        <v>43</v>
      </c>
      <c r="D115" s="8"/>
      <c r="E115" s="8"/>
      <c r="F115" s="8">
        <v>274.46796000000001</v>
      </c>
      <c r="G115" s="16" t="s">
        <v>103</v>
      </c>
      <c r="H115" s="16">
        <v>10</v>
      </c>
      <c r="I115" s="25" t="s">
        <v>1100</v>
      </c>
      <c r="J115" s="16" t="s">
        <v>690</v>
      </c>
      <c r="K115" s="31"/>
      <c r="L115" s="20"/>
      <c r="M115" s="4" t="s">
        <v>675</v>
      </c>
      <c r="N115" s="4"/>
      <c r="O115" s="4" t="s">
        <v>62</v>
      </c>
    </row>
    <row r="116" spans="1:15" ht="36">
      <c r="A116" s="11" t="s">
        <v>691</v>
      </c>
      <c r="B116" s="25" t="s">
        <v>672</v>
      </c>
      <c r="C116" s="8" t="s">
        <v>43</v>
      </c>
      <c r="D116" s="8"/>
      <c r="E116" s="8"/>
      <c r="F116" s="25">
        <v>2.35E-2</v>
      </c>
      <c r="G116" s="17" t="s">
        <v>692</v>
      </c>
      <c r="H116" s="17" t="s">
        <v>693</v>
      </c>
      <c r="I116" s="25" t="s">
        <v>1099</v>
      </c>
      <c r="J116" s="17"/>
      <c r="K116" s="25" t="s">
        <v>674</v>
      </c>
      <c r="L116" s="3"/>
      <c r="M116" s="4" t="s">
        <v>675</v>
      </c>
      <c r="N116" s="4"/>
      <c r="O116" s="4" t="s">
        <v>130</v>
      </c>
    </row>
    <row r="117" spans="1:15" ht="24">
      <c r="A117" s="11" t="s">
        <v>694</v>
      </c>
      <c r="B117" s="8" t="s">
        <v>685</v>
      </c>
      <c r="C117" s="8" t="s">
        <v>43</v>
      </c>
      <c r="D117" s="8"/>
      <c r="E117" s="8"/>
      <c r="F117" s="8" t="s">
        <v>695</v>
      </c>
      <c r="G117" s="16" t="s">
        <v>696</v>
      </c>
      <c r="H117" s="16">
        <v>160</v>
      </c>
      <c r="I117" s="25" t="s">
        <v>1100</v>
      </c>
      <c r="J117" s="16" t="s">
        <v>697</v>
      </c>
      <c r="K117" s="31"/>
      <c r="L117" s="20"/>
      <c r="M117" s="4" t="s">
        <v>675</v>
      </c>
      <c r="N117" s="4"/>
      <c r="O117" s="4" t="s">
        <v>62</v>
      </c>
    </row>
    <row r="118" spans="1:15">
      <c r="A118" s="11" t="s">
        <v>698</v>
      </c>
      <c r="B118" s="8" t="s">
        <v>685</v>
      </c>
      <c r="C118" s="8" t="s">
        <v>43</v>
      </c>
      <c r="D118" s="8"/>
      <c r="E118" s="8"/>
      <c r="F118" s="8">
        <v>10</v>
      </c>
      <c r="G118" s="16" t="s">
        <v>696</v>
      </c>
      <c r="H118" s="16">
        <v>160</v>
      </c>
      <c r="I118" s="25" t="s">
        <v>1100</v>
      </c>
      <c r="J118" s="16" t="s">
        <v>699</v>
      </c>
      <c r="K118" s="31"/>
      <c r="L118" s="20"/>
      <c r="M118" s="4" t="s">
        <v>675</v>
      </c>
      <c r="N118" s="4"/>
      <c r="O118" s="4" t="s">
        <v>62</v>
      </c>
    </row>
    <row r="119" spans="1:15" ht="24">
      <c r="A119" s="11" t="s">
        <v>700</v>
      </c>
      <c r="B119" s="8" t="s">
        <v>685</v>
      </c>
      <c r="C119" s="8" t="s">
        <v>43</v>
      </c>
      <c r="D119" s="8"/>
      <c r="E119" s="8"/>
      <c r="F119" s="8" t="s">
        <v>701</v>
      </c>
      <c r="G119" s="16" t="s">
        <v>696</v>
      </c>
      <c r="H119" s="16">
        <v>160</v>
      </c>
      <c r="I119" s="25" t="s">
        <v>1100</v>
      </c>
      <c r="J119" s="16" t="s">
        <v>702</v>
      </c>
      <c r="K119" s="31"/>
      <c r="L119" s="20"/>
      <c r="M119" s="4" t="s">
        <v>675</v>
      </c>
      <c r="N119" s="4"/>
      <c r="O119" s="4" t="s">
        <v>62</v>
      </c>
    </row>
    <row r="120" spans="1:15" ht="36">
      <c r="A120" s="11" t="s">
        <v>703</v>
      </c>
      <c r="B120" s="25" t="s">
        <v>672</v>
      </c>
      <c r="C120" s="8" t="s">
        <v>43</v>
      </c>
      <c r="D120" s="8"/>
      <c r="E120" s="8"/>
      <c r="F120" s="25">
        <v>2.39</v>
      </c>
      <c r="G120" s="17" t="s">
        <v>692</v>
      </c>
      <c r="H120" s="17" t="s">
        <v>512</v>
      </c>
      <c r="I120" s="25" t="s">
        <v>1099</v>
      </c>
      <c r="J120" s="17"/>
      <c r="K120" s="25" t="s">
        <v>674</v>
      </c>
      <c r="L120" s="3"/>
      <c r="M120" s="4" t="s">
        <v>675</v>
      </c>
      <c r="N120" s="4"/>
      <c r="O120" s="4" t="s">
        <v>130</v>
      </c>
    </row>
    <row r="121" spans="1:15" ht="24">
      <c r="A121" s="11" t="s">
        <v>704</v>
      </c>
      <c r="B121" s="8" t="s">
        <v>705</v>
      </c>
      <c r="C121" s="8" t="s">
        <v>43</v>
      </c>
      <c r="D121" s="8"/>
      <c r="E121" s="8"/>
      <c r="F121" s="25" t="s">
        <v>706</v>
      </c>
      <c r="G121" s="16" t="s">
        <v>103</v>
      </c>
      <c r="H121" s="17" t="s">
        <v>512</v>
      </c>
      <c r="I121" s="25" t="s">
        <v>1100</v>
      </c>
      <c r="J121" s="16"/>
      <c r="K121" s="25" t="s">
        <v>707</v>
      </c>
      <c r="L121" s="20"/>
      <c r="M121" s="4" t="s">
        <v>675</v>
      </c>
      <c r="N121" s="4"/>
      <c r="O121" s="4" t="s">
        <v>130</v>
      </c>
    </row>
    <row r="122" spans="1:15" ht="24">
      <c r="A122" s="11" t="s">
        <v>708</v>
      </c>
      <c r="B122" s="8" t="s">
        <v>705</v>
      </c>
      <c r="C122" s="8" t="s">
        <v>43</v>
      </c>
      <c r="D122" s="8"/>
      <c r="E122" s="8"/>
      <c r="F122" s="25" t="s">
        <v>706</v>
      </c>
      <c r="G122" s="16" t="s">
        <v>103</v>
      </c>
      <c r="H122" s="17" t="s">
        <v>512</v>
      </c>
      <c r="I122" s="25" t="s">
        <v>1100</v>
      </c>
      <c r="J122" s="16"/>
      <c r="K122" s="25" t="s">
        <v>707</v>
      </c>
      <c r="L122" s="20"/>
      <c r="M122" s="4" t="s">
        <v>675</v>
      </c>
      <c r="N122" s="4"/>
      <c r="O122" s="4" t="s">
        <v>130</v>
      </c>
    </row>
    <row r="123" spans="1:15">
      <c r="A123" s="11" t="s">
        <v>709</v>
      </c>
      <c r="B123" s="8" t="s">
        <v>705</v>
      </c>
      <c r="C123" s="8" t="s">
        <v>43</v>
      </c>
      <c r="D123" s="8"/>
      <c r="E123" s="8"/>
      <c r="F123" s="25">
        <v>0</v>
      </c>
      <c r="G123" s="16" t="s">
        <v>14</v>
      </c>
      <c r="H123" s="16">
        <v>341</v>
      </c>
      <c r="I123" s="25" t="s">
        <v>1100</v>
      </c>
      <c r="J123" s="3"/>
      <c r="K123" s="16" t="s">
        <v>710</v>
      </c>
      <c r="L123" s="20"/>
      <c r="M123" s="4" t="s">
        <v>675</v>
      </c>
      <c r="N123" s="4"/>
      <c r="O123" s="4" t="s">
        <v>130</v>
      </c>
    </row>
    <row r="124" spans="1:15" ht="48">
      <c r="A124" s="11" t="s">
        <v>711</v>
      </c>
      <c r="B124" s="25" t="s">
        <v>672</v>
      </c>
      <c r="C124" s="8" t="s">
        <v>43</v>
      </c>
      <c r="D124" s="8"/>
      <c r="E124" s="8"/>
      <c r="F124" s="25">
        <v>0</v>
      </c>
      <c r="G124" s="17" t="s">
        <v>712</v>
      </c>
      <c r="H124" s="17" t="s">
        <v>713</v>
      </c>
      <c r="I124" s="25" t="s">
        <v>1099</v>
      </c>
      <c r="J124" s="3"/>
      <c r="K124" s="17" t="s">
        <v>714</v>
      </c>
      <c r="L124" s="3"/>
      <c r="M124" s="4" t="s">
        <v>675</v>
      </c>
      <c r="N124" s="4"/>
      <c r="O124" s="4" t="s">
        <v>62</v>
      </c>
    </row>
    <row r="125" spans="1:15" ht="24">
      <c r="A125" s="11" t="s">
        <v>715</v>
      </c>
      <c r="B125" s="8" t="s">
        <v>685</v>
      </c>
      <c r="C125" s="8" t="s">
        <v>43</v>
      </c>
      <c r="D125" s="8"/>
      <c r="E125" s="8"/>
      <c r="F125" s="8">
        <v>0</v>
      </c>
      <c r="G125" s="16" t="s">
        <v>103</v>
      </c>
      <c r="H125" s="16">
        <v>290</v>
      </c>
      <c r="I125" s="25" t="s">
        <v>1100</v>
      </c>
      <c r="J125" s="3"/>
      <c r="K125" s="16" t="s">
        <v>716</v>
      </c>
      <c r="L125" s="20"/>
      <c r="M125" s="4" t="s">
        <v>675</v>
      </c>
      <c r="N125" s="4"/>
      <c r="O125" s="4" t="s">
        <v>62</v>
      </c>
    </row>
    <row r="126" spans="1:15">
      <c r="A126" s="11" t="s">
        <v>717</v>
      </c>
      <c r="B126" s="8" t="s">
        <v>685</v>
      </c>
      <c r="C126" s="8" t="s">
        <v>43</v>
      </c>
      <c r="D126" s="8"/>
      <c r="E126" s="8"/>
      <c r="F126" s="8">
        <v>180</v>
      </c>
      <c r="G126" s="16" t="s">
        <v>103</v>
      </c>
      <c r="H126" s="16">
        <v>10</v>
      </c>
      <c r="I126" s="25" t="s">
        <v>1100</v>
      </c>
      <c r="J126" s="16" t="s">
        <v>718</v>
      </c>
      <c r="K126" s="31"/>
      <c r="L126" s="20"/>
      <c r="M126" s="4" t="s">
        <v>675</v>
      </c>
      <c r="N126" s="4"/>
      <c r="O126" s="4" t="s">
        <v>62</v>
      </c>
    </row>
    <row r="127" spans="1:15">
      <c r="A127" s="11" t="s">
        <v>719</v>
      </c>
      <c r="B127" s="8"/>
      <c r="C127" s="8" t="s">
        <v>43</v>
      </c>
      <c r="D127" s="8"/>
      <c r="E127" s="8"/>
      <c r="F127" s="8">
        <v>1</v>
      </c>
      <c r="G127" s="16" t="s">
        <v>720</v>
      </c>
      <c r="H127" s="16">
        <v>401</v>
      </c>
      <c r="I127" s="25" t="s">
        <v>1100</v>
      </c>
      <c r="J127" s="3"/>
      <c r="K127" s="31"/>
      <c r="L127" s="20"/>
      <c r="M127" s="4" t="s">
        <v>675</v>
      </c>
      <c r="N127" s="4"/>
      <c r="O127" s="4" t="s">
        <v>62</v>
      </c>
    </row>
    <row r="128" spans="1:15">
      <c r="A128" s="11" t="s">
        <v>721</v>
      </c>
      <c r="B128" s="8" t="s">
        <v>685</v>
      </c>
      <c r="C128" s="8" t="s">
        <v>43</v>
      </c>
      <c r="D128" s="8"/>
      <c r="E128" s="8"/>
      <c r="F128" s="8">
        <v>180</v>
      </c>
      <c r="G128" s="16" t="s">
        <v>103</v>
      </c>
      <c r="H128" s="16">
        <v>10</v>
      </c>
      <c r="I128" s="25" t="s">
        <v>1100</v>
      </c>
      <c r="J128" s="16" t="s">
        <v>722</v>
      </c>
      <c r="K128" s="31"/>
      <c r="L128" s="20"/>
      <c r="M128" s="4" t="s">
        <v>675</v>
      </c>
      <c r="N128" s="4"/>
      <c r="O128" s="4" t="s">
        <v>62</v>
      </c>
    </row>
    <row r="129" spans="1:15" ht="24">
      <c r="A129" s="11" t="s">
        <v>723</v>
      </c>
      <c r="B129" s="8"/>
      <c r="C129" s="8" t="s">
        <v>43</v>
      </c>
      <c r="D129" s="8"/>
      <c r="E129" s="8"/>
      <c r="F129" s="19">
        <v>0.01</v>
      </c>
      <c r="G129" s="16" t="s">
        <v>720</v>
      </c>
      <c r="H129" s="16">
        <v>401</v>
      </c>
      <c r="I129" s="25" t="s">
        <v>1100</v>
      </c>
      <c r="J129" s="3"/>
      <c r="K129" s="16" t="s">
        <v>724</v>
      </c>
      <c r="L129" s="20"/>
      <c r="M129" s="4" t="s">
        <v>675</v>
      </c>
      <c r="N129" s="4"/>
      <c r="O129" s="4" t="s">
        <v>52</v>
      </c>
    </row>
    <row r="130" spans="1:15" ht="36">
      <c r="A130" s="11" t="s">
        <v>725</v>
      </c>
      <c r="B130" s="25" t="s">
        <v>672</v>
      </c>
      <c r="C130" s="8" t="s">
        <v>43</v>
      </c>
      <c r="D130" s="8"/>
      <c r="E130" s="8"/>
      <c r="F130" s="25">
        <v>4.4299999999999999E-2</v>
      </c>
      <c r="G130" s="17" t="s">
        <v>726</v>
      </c>
      <c r="H130" s="17" t="s">
        <v>663</v>
      </c>
      <c r="I130" s="25" t="s">
        <v>1099</v>
      </c>
      <c r="J130" s="17"/>
      <c r="K130" s="25"/>
      <c r="L130" s="3"/>
      <c r="M130" s="4" t="s">
        <v>675</v>
      </c>
      <c r="N130" s="4"/>
      <c r="O130" s="4" t="s">
        <v>107</v>
      </c>
    </row>
    <row r="131" spans="1:15" ht="36">
      <c r="A131" s="11" t="s">
        <v>727</v>
      </c>
      <c r="B131" s="25" t="s">
        <v>672</v>
      </c>
      <c r="C131" s="8" t="s">
        <v>43</v>
      </c>
      <c r="D131" s="8"/>
      <c r="E131" s="8"/>
      <c r="F131" s="25">
        <v>9.7000000000000003E-3</v>
      </c>
      <c r="G131" s="17" t="s">
        <v>692</v>
      </c>
      <c r="H131" s="17" t="s">
        <v>693</v>
      </c>
      <c r="I131" s="25" t="s">
        <v>1099</v>
      </c>
      <c r="J131" s="17"/>
      <c r="K131" s="25" t="s">
        <v>674</v>
      </c>
      <c r="L131" s="3"/>
      <c r="M131" s="4" t="s">
        <v>675</v>
      </c>
      <c r="N131" s="4"/>
      <c r="O131" s="4" t="s">
        <v>107</v>
      </c>
    </row>
    <row r="132" spans="1:15">
      <c r="A132" s="11" t="s">
        <v>728</v>
      </c>
      <c r="B132" s="8" t="s">
        <v>685</v>
      </c>
      <c r="C132" s="8" t="s">
        <v>43</v>
      </c>
      <c r="D132" s="8"/>
      <c r="E132" s="8"/>
      <c r="F132" s="8">
        <v>3.45</v>
      </c>
      <c r="G132" s="16" t="s">
        <v>103</v>
      </c>
      <c r="H132" s="16">
        <v>10</v>
      </c>
      <c r="I132" s="25" t="s">
        <v>1100</v>
      </c>
      <c r="J132" s="16" t="s">
        <v>729</v>
      </c>
      <c r="K132" s="31"/>
      <c r="L132" s="20"/>
      <c r="M132" s="4" t="s">
        <v>675</v>
      </c>
      <c r="N132" s="4"/>
      <c r="O132" s="4" t="s">
        <v>52</v>
      </c>
    </row>
    <row r="133" spans="1:15">
      <c r="A133" s="11" t="s">
        <v>730</v>
      </c>
      <c r="B133" s="8" t="s">
        <v>685</v>
      </c>
      <c r="C133" s="8" t="s">
        <v>43</v>
      </c>
      <c r="D133" s="8"/>
      <c r="E133" s="8"/>
      <c r="F133" s="8">
        <v>575</v>
      </c>
      <c r="G133" s="16" t="s">
        <v>103</v>
      </c>
      <c r="H133" s="16">
        <v>10</v>
      </c>
      <c r="I133" s="25" t="s">
        <v>1100</v>
      </c>
      <c r="J133" s="16" t="s">
        <v>731</v>
      </c>
      <c r="K133" s="31"/>
      <c r="L133" s="20"/>
      <c r="M133" s="4" t="s">
        <v>675</v>
      </c>
      <c r="N133" s="4"/>
      <c r="O133" s="4" t="s">
        <v>62</v>
      </c>
    </row>
    <row r="134" spans="1:15">
      <c r="A134" s="11" t="s">
        <v>732</v>
      </c>
      <c r="B134" s="8"/>
      <c r="C134" s="8" t="s">
        <v>43</v>
      </c>
      <c r="D134" s="8"/>
      <c r="E134" s="8"/>
      <c r="F134" s="8">
        <v>1</v>
      </c>
      <c r="G134" s="8" t="s">
        <v>14</v>
      </c>
      <c r="H134" s="16">
        <v>317</v>
      </c>
      <c r="I134" s="25" t="s">
        <v>1100</v>
      </c>
      <c r="J134" s="3"/>
      <c r="K134" s="31"/>
      <c r="L134" s="20"/>
      <c r="M134" s="4" t="s">
        <v>675</v>
      </c>
      <c r="N134" s="4"/>
      <c r="O134" s="4" t="s">
        <v>52</v>
      </c>
    </row>
    <row r="135" spans="1:15">
      <c r="A135" s="11" t="s">
        <v>733</v>
      </c>
      <c r="B135" s="8" t="s">
        <v>685</v>
      </c>
      <c r="C135" s="8" t="s">
        <v>43</v>
      </c>
      <c r="D135" s="8"/>
      <c r="E135" s="8"/>
      <c r="F135" s="8">
        <v>571.54999999999995</v>
      </c>
      <c r="G135" s="16" t="s">
        <v>103</v>
      </c>
      <c r="H135" s="16">
        <v>10</v>
      </c>
      <c r="I135" s="25" t="s">
        <v>1100</v>
      </c>
      <c r="J135" s="16" t="s">
        <v>734</v>
      </c>
      <c r="K135" s="31"/>
      <c r="L135" s="20"/>
      <c r="M135" s="4" t="s">
        <v>675</v>
      </c>
      <c r="N135" s="4"/>
      <c r="O135" s="4" t="s">
        <v>62</v>
      </c>
    </row>
    <row r="136" spans="1:15" ht="36">
      <c r="A136" s="11" t="s">
        <v>735</v>
      </c>
      <c r="B136" s="25" t="s">
        <v>672</v>
      </c>
      <c r="C136" s="8" t="s">
        <v>43</v>
      </c>
      <c r="D136" s="8"/>
      <c r="E136" s="8"/>
      <c r="F136" s="25">
        <v>8.8000000000000005E-3</v>
      </c>
      <c r="G136" s="17" t="s">
        <v>692</v>
      </c>
      <c r="H136" s="17" t="s">
        <v>693</v>
      </c>
      <c r="I136" s="25" t="s">
        <v>1099</v>
      </c>
      <c r="J136" s="17"/>
      <c r="K136" s="25" t="s">
        <v>674</v>
      </c>
      <c r="L136" s="3"/>
      <c r="M136" s="4" t="s">
        <v>675</v>
      </c>
      <c r="N136" s="4"/>
      <c r="O136" s="4" t="s">
        <v>107</v>
      </c>
    </row>
    <row r="137" spans="1:15">
      <c r="A137" s="11" t="s">
        <v>736</v>
      </c>
      <c r="B137" s="8" t="s">
        <v>685</v>
      </c>
      <c r="C137" s="8" t="s">
        <v>43</v>
      </c>
      <c r="D137" s="8"/>
      <c r="E137" s="8"/>
      <c r="F137" s="8">
        <v>5.32</v>
      </c>
      <c r="G137" s="16" t="s">
        <v>103</v>
      </c>
      <c r="H137" s="16">
        <v>10</v>
      </c>
      <c r="I137" s="25" t="s">
        <v>1100</v>
      </c>
      <c r="J137" s="16" t="s">
        <v>729</v>
      </c>
      <c r="K137" s="31"/>
      <c r="L137" s="20"/>
      <c r="M137" s="4" t="s">
        <v>675</v>
      </c>
      <c r="N137" s="4"/>
      <c r="O137" s="4" t="s">
        <v>62</v>
      </c>
    </row>
    <row r="138" spans="1:15">
      <c r="A138" s="11" t="s">
        <v>737</v>
      </c>
      <c r="B138" s="8" t="s">
        <v>685</v>
      </c>
      <c r="C138" s="8" t="s">
        <v>43</v>
      </c>
      <c r="D138" s="8"/>
      <c r="E138" s="8"/>
      <c r="F138" s="8">
        <v>638</v>
      </c>
      <c r="G138" s="16" t="s">
        <v>103</v>
      </c>
      <c r="H138" s="16">
        <v>10</v>
      </c>
      <c r="I138" s="25" t="s">
        <v>1100</v>
      </c>
      <c r="J138" s="16" t="s">
        <v>738</v>
      </c>
      <c r="K138" s="31"/>
      <c r="L138" s="20"/>
      <c r="M138" s="4" t="s">
        <v>675</v>
      </c>
      <c r="N138" s="4"/>
      <c r="O138" s="4" t="s">
        <v>62</v>
      </c>
    </row>
    <row r="139" spans="1:15">
      <c r="A139" s="11" t="s">
        <v>739</v>
      </c>
      <c r="B139" s="8"/>
      <c r="C139" s="8" t="s">
        <v>43</v>
      </c>
      <c r="D139" s="8"/>
      <c r="E139" s="8"/>
      <c r="F139" s="8">
        <v>0.99199999999999999</v>
      </c>
      <c r="G139" s="8" t="s">
        <v>14</v>
      </c>
      <c r="H139" s="16">
        <v>317</v>
      </c>
      <c r="I139" s="25" t="s">
        <v>1100</v>
      </c>
      <c r="J139" s="3"/>
      <c r="K139" s="31"/>
      <c r="L139" s="20"/>
      <c r="M139" s="4" t="s">
        <v>675</v>
      </c>
      <c r="N139" s="4"/>
      <c r="O139" s="4" t="s">
        <v>52</v>
      </c>
    </row>
    <row r="140" spans="1:15">
      <c r="A140" s="11" t="s">
        <v>740</v>
      </c>
      <c r="B140" s="8" t="s">
        <v>685</v>
      </c>
      <c r="C140" s="8" t="s">
        <v>43</v>
      </c>
      <c r="D140" s="8"/>
      <c r="E140" s="8"/>
      <c r="F140" s="8">
        <v>632.78</v>
      </c>
      <c r="G140" s="16" t="s">
        <v>103</v>
      </c>
      <c r="H140" s="16">
        <v>10</v>
      </c>
      <c r="I140" s="25" t="s">
        <v>1100</v>
      </c>
      <c r="J140" s="16" t="s">
        <v>734</v>
      </c>
      <c r="K140" s="31"/>
      <c r="L140" s="20"/>
      <c r="M140" s="4" t="s">
        <v>675</v>
      </c>
      <c r="N140" s="4"/>
      <c r="O140" s="4" t="s">
        <v>62</v>
      </c>
    </row>
    <row r="141" spans="1:15" ht="36">
      <c r="A141" s="11" t="s">
        <v>741</v>
      </c>
      <c r="B141" s="25" t="s">
        <v>672</v>
      </c>
      <c r="C141" s="8" t="s">
        <v>43</v>
      </c>
      <c r="D141" s="8"/>
      <c r="E141" s="8"/>
      <c r="F141" s="25">
        <v>0.77800000000000002</v>
      </c>
      <c r="G141" s="17" t="s">
        <v>692</v>
      </c>
      <c r="H141" s="17" t="s">
        <v>693</v>
      </c>
      <c r="I141" s="25" t="s">
        <v>1099</v>
      </c>
      <c r="J141" s="17"/>
      <c r="K141" s="25" t="s">
        <v>674</v>
      </c>
      <c r="L141" s="3"/>
      <c r="M141" s="4" t="s">
        <v>675</v>
      </c>
      <c r="N141" s="4"/>
      <c r="O141" s="4" t="s">
        <v>130</v>
      </c>
    </row>
    <row r="142" spans="1:15">
      <c r="A142" s="11" t="s">
        <v>742</v>
      </c>
      <c r="B142" s="8" t="s">
        <v>705</v>
      </c>
      <c r="C142" s="8" t="s">
        <v>43</v>
      </c>
      <c r="D142" s="8"/>
      <c r="E142" s="8"/>
      <c r="F142" s="19">
        <v>18</v>
      </c>
      <c r="G142" s="16" t="s">
        <v>265</v>
      </c>
      <c r="H142" s="16">
        <v>160</v>
      </c>
      <c r="I142" s="25" t="s">
        <v>1100</v>
      </c>
      <c r="J142" s="16"/>
      <c r="K142" s="31"/>
      <c r="L142" s="20"/>
      <c r="M142" s="4" t="s">
        <v>675</v>
      </c>
      <c r="N142" s="4"/>
      <c r="O142" s="4" t="s">
        <v>62</v>
      </c>
    </row>
    <row r="143" spans="1:15">
      <c r="A143" s="11" t="s">
        <v>743</v>
      </c>
      <c r="B143" s="8" t="s">
        <v>705</v>
      </c>
      <c r="C143" s="8" t="s">
        <v>43</v>
      </c>
      <c r="D143" s="8"/>
      <c r="E143" s="8"/>
      <c r="F143" s="8">
        <v>31</v>
      </c>
      <c r="G143" s="16" t="s">
        <v>265</v>
      </c>
      <c r="H143" s="16">
        <v>160</v>
      </c>
      <c r="I143" s="25" t="s">
        <v>1100</v>
      </c>
      <c r="J143" s="16"/>
      <c r="K143" s="31"/>
      <c r="L143" s="20"/>
      <c r="M143" s="4" t="s">
        <v>675</v>
      </c>
      <c r="N143" s="4"/>
      <c r="O143" s="4" t="s">
        <v>62</v>
      </c>
    </row>
    <row r="144" spans="1:15">
      <c r="A144" s="11" t="s">
        <v>744</v>
      </c>
      <c r="B144" s="8" t="s">
        <v>705</v>
      </c>
      <c r="C144" s="8" t="s">
        <v>43</v>
      </c>
      <c r="D144" s="8"/>
      <c r="E144" s="8"/>
      <c r="F144" s="8">
        <v>13</v>
      </c>
      <c r="G144" s="16" t="s">
        <v>265</v>
      </c>
      <c r="H144" s="16">
        <v>160</v>
      </c>
      <c r="I144" s="25" t="s">
        <v>1100</v>
      </c>
      <c r="J144" s="16" t="s">
        <v>745</v>
      </c>
      <c r="K144" s="31"/>
      <c r="L144" s="20"/>
      <c r="M144" s="4" t="s">
        <v>675</v>
      </c>
      <c r="N144" s="4"/>
      <c r="O144" s="4" t="s">
        <v>62</v>
      </c>
    </row>
    <row r="145" spans="1:15">
      <c r="A145" s="58" t="s">
        <v>746</v>
      </c>
      <c r="B145" s="10" t="s">
        <v>1</v>
      </c>
      <c r="C145" s="10" t="s">
        <v>30</v>
      </c>
      <c r="D145" s="10" t="s">
        <v>31</v>
      </c>
      <c r="E145" s="10" t="s">
        <v>32</v>
      </c>
      <c r="F145" s="10" t="s">
        <v>33</v>
      </c>
      <c r="G145" s="10" t="s">
        <v>3</v>
      </c>
      <c r="H145" s="10" t="s">
        <v>34</v>
      </c>
      <c r="I145" s="2" t="s">
        <v>1098</v>
      </c>
      <c r="J145" s="10" t="s">
        <v>35</v>
      </c>
      <c r="K145" s="10" t="s">
        <v>36</v>
      </c>
      <c r="L145" s="10" t="s">
        <v>37</v>
      </c>
      <c r="M145" s="10" t="s">
        <v>38</v>
      </c>
      <c r="N145" s="10" t="s">
        <v>39</v>
      </c>
      <c r="O145" s="10" t="s">
        <v>40</v>
      </c>
    </row>
    <row r="146" spans="1:15">
      <c r="A146" s="38" t="s">
        <v>747</v>
      </c>
      <c r="B146" s="4"/>
      <c r="C146" s="48" t="s">
        <v>748</v>
      </c>
      <c r="D146" s="8"/>
      <c r="E146" s="8"/>
      <c r="F146" s="4" t="s">
        <v>749</v>
      </c>
      <c r="G146" s="48" t="s">
        <v>750</v>
      </c>
      <c r="H146" s="48"/>
      <c r="I146" s="48" t="s">
        <v>1099</v>
      </c>
      <c r="J146" s="3" t="s">
        <v>751</v>
      </c>
      <c r="K146" s="56"/>
      <c r="L146" s="59"/>
      <c r="M146" s="7" t="s">
        <v>746</v>
      </c>
      <c r="N146" s="7" t="s">
        <v>752</v>
      </c>
      <c r="O146" s="4"/>
    </row>
    <row r="147" spans="1:15">
      <c r="A147" s="38" t="s">
        <v>753</v>
      </c>
      <c r="B147" s="4"/>
      <c r="C147" s="48"/>
      <c r="D147" s="8"/>
      <c r="E147" s="8"/>
      <c r="F147" s="4"/>
      <c r="G147" s="48"/>
      <c r="H147" s="3"/>
      <c r="I147" s="48" t="s">
        <v>1099</v>
      </c>
      <c r="J147" s="3"/>
      <c r="K147" s="56"/>
      <c r="L147" s="59"/>
      <c r="M147" s="7" t="s">
        <v>746</v>
      </c>
      <c r="N147" s="7" t="s">
        <v>752</v>
      </c>
      <c r="O147" s="4"/>
    </row>
    <row r="148" spans="1:15">
      <c r="A148" s="38" t="s">
        <v>244</v>
      </c>
      <c r="B148" s="4"/>
      <c r="C148" s="48" t="s">
        <v>748</v>
      </c>
      <c r="D148" s="8"/>
      <c r="E148" s="8"/>
      <c r="F148" s="4" t="s">
        <v>754</v>
      </c>
      <c r="G148" s="48" t="s">
        <v>755</v>
      </c>
      <c r="H148" s="48"/>
      <c r="I148" s="48" t="s">
        <v>1099</v>
      </c>
      <c r="J148" s="3" t="s">
        <v>756</v>
      </c>
      <c r="K148" s="56"/>
      <c r="L148" s="59"/>
      <c r="M148" s="7" t="s">
        <v>746</v>
      </c>
      <c r="N148" s="7" t="s">
        <v>752</v>
      </c>
      <c r="O148" s="4"/>
    </row>
    <row r="149" spans="1:15">
      <c r="A149" s="38" t="s">
        <v>757</v>
      </c>
      <c r="B149" s="4"/>
      <c r="C149" s="48" t="s">
        <v>748</v>
      </c>
      <c r="D149" s="8"/>
      <c r="E149" s="8"/>
      <c r="F149" s="4" t="s">
        <v>754</v>
      </c>
      <c r="G149" s="48" t="s">
        <v>755</v>
      </c>
      <c r="H149" s="48"/>
      <c r="I149" s="48" t="s">
        <v>1099</v>
      </c>
      <c r="J149" s="3" t="s">
        <v>758</v>
      </c>
      <c r="K149" s="56"/>
      <c r="L149" s="59"/>
      <c r="M149" s="7" t="s">
        <v>746</v>
      </c>
      <c r="N149" s="7" t="s">
        <v>752</v>
      </c>
      <c r="O149" s="4"/>
    </row>
    <row r="150" spans="1:15">
      <c r="A150" s="38" t="s">
        <v>759</v>
      </c>
      <c r="B150" s="4"/>
      <c r="C150" s="48"/>
      <c r="D150" s="8"/>
      <c r="E150" s="8"/>
      <c r="F150" s="4"/>
      <c r="G150" s="48"/>
      <c r="H150" s="3"/>
      <c r="I150" s="48" t="s">
        <v>1099</v>
      </c>
      <c r="J150" s="3"/>
      <c r="K150" s="56"/>
      <c r="L150" s="59"/>
      <c r="M150" s="7" t="s">
        <v>746</v>
      </c>
      <c r="N150" s="7" t="s">
        <v>752</v>
      </c>
      <c r="O150" s="4"/>
    </row>
    <row r="151" spans="1:15">
      <c r="A151" s="38" t="s">
        <v>760</v>
      </c>
      <c r="B151" s="4"/>
      <c r="C151" s="4" t="str">
        <f>C11</f>
        <v>Mean</v>
      </c>
      <c r="D151" s="8"/>
      <c r="E151" s="8"/>
      <c r="F151" s="4" t="str">
        <f>F11</f>
        <v>[1.01,1.022],
[1.003,1.040]</v>
      </c>
      <c r="G151" s="4" t="str">
        <f>G11</f>
        <v>valtin1995renal,
walker1990clinical</v>
      </c>
      <c r="H151" s="4" t="str">
        <f>H11</f>
        <v>Valtin &amp; Shaffer p.291</v>
      </c>
      <c r="I151" s="48" t="s">
        <v>1099</v>
      </c>
      <c r="J151" s="3"/>
      <c r="K151" s="56"/>
      <c r="L151" s="59"/>
      <c r="M151" s="7" t="s">
        <v>746</v>
      </c>
      <c r="N151" s="7" t="s">
        <v>752</v>
      </c>
      <c r="O151" s="4"/>
    </row>
    <row r="152" spans="1:15">
      <c r="A152" s="38" t="s">
        <v>761</v>
      </c>
      <c r="B152" s="4"/>
      <c r="C152" s="48" t="s">
        <v>748</v>
      </c>
      <c r="D152" s="8"/>
      <c r="E152" s="8"/>
      <c r="F152" s="4" t="s">
        <v>754</v>
      </c>
      <c r="G152" s="48" t="s">
        <v>755</v>
      </c>
      <c r="H152" s="48"/>
      <c r="I152" s="48" t="s">
        <v>1099</v>
      </c>
      <c r="J152" s="3" t="s">
        <v>762</v>
      </c>
      <c r="K152" s="56"/>
      <c r="L152" s="59"/>
      <c r="M152" s="7" t="s">
        <v>746</v>
      </c>
      <c r="N152" s="7" t="s">
        <v>752</v>
      </c>
      <c r="O152" s="4"/>
    </row>
    <row r="153" spans="1:15">
      <c r="A153" s="38" t="s">
        <v>763</v>
      </c>
      <c r="B153" s="4"/>
      <c r="C153" s="48"/>
      <c r="D153" s="8"/>
      <c r="E153" s="8"/>
      <c r="F153" s="4"/>
      <c r="G153" s="48"/>
      <c r="H153" s="3"/>
      <c r="I153" s="48" t="s">
        <v>1099</v>
      </c>
      <c r="J153" s="3"/>
      <c r="K153" s="56"/>
      <c r="L153" s="59"/>
      <c r="M153" s="7" t="s">
        <v>746</v>
      </c>
      <c r="N153" s="7" t="s">
        <v>752</v>
      </c>
      <c r="O153" s="4"/>
    </row>
    <row r="154" spans="1:15">
      <c r="A154" s="38" t="s">
        <v>764</v>
      </c>
      <c r="B154" s="4"/>
      <c r="C154" s="48" t="s">
        <v>748</v>
      </c>
      <c r="D154" s="8"/>
      <c r="E154" s="8"/>
      <c r="F154" s="4" t="s">
        <v>754</v>
      </c>
      <c r="G154" s="48" t="s">
        <v>755</v>
      </c>
      <c r="H154" s="48"/>
      <c r="I154" s="48" t="s">
        <v>1099</v>
      </c>
      <c r="J154" s="3" t="s">
        <v>765</v>
      </c>
      <c r="K154" s="56"/>
      <c r="L154" s="59"/>
      <c r="M154" s="7" t="s">
        <v>746</v>
      </c>
      <c r="N154" s="7" t="s">
        <v>752</v>
      </c>
      <c r="O154" s="4"/>
    </row>
    <row r="155" spans="1:15">
      <c r="A155" s="38" t="s">
        <v>766</v>
      </c>
      <c r="B155" s="4"/>
      <c r="C155" s="48"/>
      <c r="D155" s="8"/>
      <c r="E155" s="8"/>
      <c r="F155" s="4"/>
      <c r="G155" s="48"/>
      <c r="H155" s="3"/>
      <c r="I155" s="48" t="s">
        <v>1099</v>
      </c>
      <c r="J155" s="3"/>
      <c r="K155" s="56"/>
      <c r="L155" s="59"/>
      <c r="M155" s="7" t="s">
        <v>746</v>
      </c>
      <c r="N155" s="7" t="s">
        <v>752</v>
      </c>
      <c r="O155" s="4"/>
    </row>
    <row r="156" spans="1:15">
      <c r="A156" s="38" t="s">
        <v>767</v>
      </c>
      <c r="B156" s="4"/>
      <c r="C156" s="48"/>
      <c r="D156" s="8"/>
      <c r="E156" s="8"/>
      <c r="F156" s="4"/>
      <c r="G156" s="48"/>
      <c r="H156" s="3"/>
      <c r="I156" s="48" t="s">
        <v>1099</v>
      </c>
      <c r="J156" s="3"/>
      <c r="K156" s="56"/>
      <c r="L156" s="59"/>
      <c r="M156" s="7" t="s">
        <v>746</v>
      </c>
      <c r="N156" s="7" t="s">
        <v>752</v>
      </c>
      <c r="O156" s="4"/>
    </row>
    <row r="157" spans="1:15">
      <c r="A157" s="38" t="s">
        <v>768</v>
      </c>
      <c r="B157" s="4"/>
      <c r="C157" s="48"/>
      <c r="D157" s="8"/>
      <c r="E157" s="8"/>
      <c r="F157" s="4"/>
      <c r="G157" s="48"/>
      <c r="H157" s="3"/>
      <c r="I157" s="48" t="s">
        <v>1099</v>
      </c>
      <c r="J157" s="3"/>
      <c r="K157" s="56"/>
      <c r="L157" s="59"/>
      <c r="M157" s="7" t="s">
        <v>746</v>
      </c>
      <c r="N157" s="7" t="s">
        <v>752</v>
      </c>
      <c r="O157" s="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05"/>
  <sheetViews>
    <sheetView tabSelected="1" topLeftCell="A43" zoomScaleNormal="100" workbookViewId="0">
      <pane xSplit="1" topLeftCell="B1" activePane="topRight" state="frozen"/>
      <selection pane="topRight" activeCell="F70" sqref="F70"/>
    </sheetView>
  </sheetViews>
  <sheetFormatPr defaultRowHeight="15"/>
  <cols>
    <col min="1" max="1" width="44.42578125" customWidth="1"/>
    <col min="2" max="2" width="16.7109375" style="9" customWidth="1"/>
    <col min="3" max="5" width="30" style="9" customWidth="1"/>
    <col min="6" max="6" width="18.5703125" style="9" customWidth="1"/>
    <col min="7" max="7" width="20" style="43" customWidth="1"/>
    <col min="8" max="8" width="27.28515625" style="43" customWidth="1"/>
    <col min="9" max="9" width="11.42578125" style="43" bestFit="1" customWidth="1"/>
    <col min="10" max="10" width="24" style="43" customWidth="1"/>
    <col min="11" max="11" width="37.5703125" style="9" customWidth="1"/>
    <col min="12" max="12" width="52" style="1" customWidth="1"/>
    <col min="13" max="13" width="24.7109375" style="57" customWidth="1"/>
    <col min="14" max="14" width="28.85546875" style="1" customWidth="1"/>
    <col min="15" max="15" width="30.42578125" style="1" customWidth="1"/>
    <col min="16" max="1026" width="9.140625" customWidth="1"/>
  </cols>
  <sheetData>
    <row r="1" spans="1:15">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11" t="s">
        <v>769</v>
      </c>
      <c r="B2" s="25" t="s">
        <v>770</v>
      </c>
      <c r="C2" s="48" t="s">
        <v>43</v>
      </c>
      <c r="D2" s="48"/>
      <c r="E2" s="48"/>
      <c r="F2" s="5">
        <v>1033.23</v>
      </c>
      <c r="G2" s="16" t="s">
        <v>771</v>
      </c>
      <c r="H2" s="16"/>
      <c r="I2" s="16"/>
      <c r="J2" s="16" t="s">
        <v>772</v>
      </c>
      <c r="K2" s="25"/>
      <c r="L2" s="79"/>
      <c r="M2" s="60" t="s">
        <v>773</v>
      </c>
      <c r="N2" s="4"/>
      <c r="O2" s="4" t="s">
        <v>92</v>
      </c>
    </row>
    <row r="3" spans="1:15" ht="48">
      <c r="A3" s="11" t="s">
        <v>774</v>
      </c>
      <c r="B3" s="16" t="s">
        <v>190</v>
      </c>
      <c r="C3" s="48" t="s">
        <v>43</v>
      </c>
      <c r="D3" s="48"/>
      <c r="E3" s="48"/>
      <c r="F3" s="48" t="s">
        <v>775</v>
      </c>
      <c r="G3" s="8" t="s">
        <v>776</v>
      </c>
      <c r="H3" s="16"/>
      <c r="I3" s="16" t="s">
        <v>1099</v>
      </c>
      <c r="J3" s="16"/>
      <c r="K3" s="25" t="s">
        <v>777</v>
      </c>
      <c r="L3" s="80"/>
      <c r="M3" s="60" t="s">
        <v>773</v>
      </c>
      <c r="N3" s="4"/>
      <c r="O3" s="4" t="s">
        <v>778</v>
      </c>
    </row>
    <row r="4" spans="1:15" ht="36">
      <c r="A4" s="11" t="s">
        <v>779</v>
      </c>
      <c r="B4" s="16" t="s">
        <v>16</v>
      </c>
      <c r="C4" s="48" t="s">
        <v>780</v>
      </c>
      <c r="D4" s="48"/>
      <c r="E4" s="48"/>
      <c r="F4" s="48">
        <v>1.2999999999999999E-2</v>
      </c>
      <c r="G4" s="16" t="s">
        <v>95</v>
      </c>
      <c r="H4" s="16" t="s">
        <v>781</v>
      </c>
      <c r="I4" s="16" t="s">
        <v>1099</v>
      </c>
      <c r="J4" s="16" t="s">
        <v>782</v>
      </c>
      <c r="K4" s="25" t="s">
        <v>783</v>
      </c>
      <c r="L4" s="80"/>
      <c r="M4" s="60" t="s">
        <v>773</v>
      </c>
      <c r="N4" s="4"/>
      <c r="O4" s="4" t="s">
        <v>92</v>
      </c>
    </row>
    <row r="5" spans="1:15">
      <c r="A5" s="11" t="s">
        <v>784</v>
      </c>
      <c r="B5" s="16" t="s">
        <v>16</v>
      </c>
      <c r="C5" s="48" t="s">
        <v>780</v>
      </c>
      <c r="D5" s="48"/>
      <c r="E5" s="48"/>
      <c r="F5" s="48">
        <v>2</v>
      </c>
      <c r="G5" s="16" t="s">
        <v>95</v>
      </c>
      <c r="H5" s="16" t="s">
        <v>785</v>
      </c>
      <c r="I5" s="16" t="s">
        <v>1099</v>
      </c>
      <c r="J5" s="16" t="s">
        <v>786</v>
      </c>
      <c r="K5" s="25"/>
      <c r="L5" s="80"/>
      <c r="M5" s="60" t="s">
        <v>773</v>
      </c>
      <c r="N5" s="4"/>
      <c r="O5" s="4" t="s">
        <v>92</v>
      </c>
    </row>
    <row r="6" spans="1:15">
      <c r="A6" s="11" t="s">
        <v>787</v>
      </c>
      <c r="B6" s="16" t="s">
        <v>788</v>
      </c>
      <c r="C6" s="48" t="s">
        <v>43</v>
      </c>
      <c r="D6" s="48"/>
      <c r="E6" s="48"/>
      <c r="F6" s="81">
        <v>0.2</v>
      </c>
      <c r="G6" s="16" t="s">
        <v>95</v>
      </c>
      <c r="H6" s="16" t="s">
        <v>789</v>
      </c>
      <c r="I6" s="16" t="s">
        <v>1099</v>
      </c>
      <c r="J6" s="16"/>
      <c r="K6" s="25"/>
      <c r="L6" s="79"/>
      <c r="M6" s="60" t="s">
        <v>773</v>
      </c>
      <c r="N6" s="4"/>
      <c r="O6" s="4" t="s">
        <v>92</v>
      </c>
    </row>
    <row r="7" spans="1:15">
      <c r="A7" s="45" t="s">
        <v>790</v>
      </c>
      <c r="B7" s="16" t="s">
        <v>791</v>
      </c>
      <c r="C7" s="48"/>
      <c r="D7" s="48"/>
      <c r="E7" s="48"/>
      <c r="F7" s="48"/>
      <c r="G7" s="16"/>
      <c r="H7" s="16"/>
      <c r="I7" s="16"/>
      <c r="J7" s="16"/>
      <c r="K7" s="25"/>
      <c r="L7" s="79"/>
      <c r="M7" s="60" t="s">
        <v>773</v>
      </c>
      <c r="N7" s="4"/>
      <c r="O7" s="4" t="s">
        <v>92</v>
      </c>
    </row>
    <row r="8" spans="1:15">
      <c r="A8" s="45" t="s">
        <v>792</v>
      </c>
      <c r="B8" s="16"/>
      <c r="C8" s="19"/>
      <c r="D8" s="19"/>
      <c r="E8" s="19"/>
      <c r="F8" s="48"/>
      <c r="G8" s="16"/>
      <c r="H8" s="16"/>
      <c r="I8" s="16"/>
      <c r="J8" s="16"/>
      <c r="K8" s="25"/>
      <c r="L8" s="80"/>
      <c r="M8" s="60" t="s">
        <v>773</v>
      </c>
      <c r="N8" s="4"/>
      <c r="O8" s="4" t="s">
        <v>778</v>
      </c>
    </row>
    <row r="9" spans="1:15">
      <c r="A9" s="11" t="s">
        <v>793</v>
      </c>
      <c r="B9" s="16" t="s">
        <v>190</v>
      </c>
      <c r="C9" s="19" t="s">
        <v>43</v>
      </c>
      <c r="D9" s="19"/>
      <c r="E9" s="19"/>
      <c r="F9" s="48" t="s">
        <v>794</v>
      </c>
      <c r="G9" s="16" t="s">
        <v>95</v>
      </c>
      <c r="H9" s="16" t="s">
        <v>795</v>
      </c>
      <c r="I9" s="16" t="s">
        <v>1099</v>
      </c>
      <c r="J9" s="16"/>
      <c r="K9" s="25"/>
      <c r="L9" s="80"/>
      <c r="M9" s="60" t="s">
        <v>773</v>
      </c>
      <c r="N9" s="4"/>
      <c r="O9" s="4" t="s">
        <v>92</v>
      </c>
    </row>
    <row r="10" spans="1:15">
      <c r="A10" s="45" t="s">
        <v>796</v>
      </c>
      <c r="B10" s="16"/>
      <c r="C10" s="48"/>
      <c r="D10" s="48"/>
      <c r="E10" s="48"/>
      <c r="F10" s="48"/>
      <c r="G10" s="16"/>
      <c r="H10" s="16"/>
      <c r="I10" s="16"/>
      <c r="J10" s="16"/>
      <c r="K10" s="25"/>
      <c r="L10" s="80"/>
      <c r="M10" s="60" t="s">
        <v>773</v>
      </c>
      <c r="N10" s="4"/>
      <c r="O10" s="4" t="s">
        <v>92</v>
      </c>
    </row>
    <row r="11" spans="1:15">
      <c r="A11" s="45" t="s">
        <v>797</v>
      </c>
      <c r="B11" s="16"/>
      <c r="C11" s="48"/>
      <c r="D11" s="48"/>
      <c r="E11" s="48"/>
      <c r="F11" s="48"/>
      <c r="G11" s="16"/>
      <c r="H11" s="16"/>
      <c r="I11" s="16"/>
      <c r="J11" s="16"/>
      <c r="K11" s="25"/>
      <c r="L11" s="80"/>
      <c r="M11" s="60" t="s">
        <v>773</v>
      </c>
      <c r="N11" s="4"/>
      <c r="O11" s="4" t="s">
        <v>92</v>
      </c>
    </row>
    <row r="12" spans="1:15" ht="15.75" customHeight="1">
      <c r="A12" s="11" t="s">
        <v>798</v>
      </c>
      <c r="B12" s="17" t="s">
        <v>799</v>
      </c>
      <c r="C12" s="19" t="s">
        <v>368</v>
      </c>
      <c r="D12" s="19"/>
      <c r="E12" s="19"/>
      <c r="F12" s="82">
        <v>0.44</v>
      </c>
      <c r="G12" s="16" t="s">
        <v>800</v>
      </c>
      <c r="H12" s="8" t="s">
        <v>801</v>
      </c>
      <c r="I12" s="16" t="s">
        <v>1099</v>
      </c>
      <c r="J12" s="16"/>
      <c r="K12" s="25"/>
      <c r="L12" s="79"/>
      <c r="M12" s="60" t="s">
        <v>773</v>
      </c>
      <c r="N12" s="4"/>
      <c r="O12" s="4" t="s">
        <v>92</v>
      </c>
    </row>
    <row r="13" spans="1:15">
      <c r="A13" s="11" t="s">
        <v>802</v>
      </c>
      <c r="B13" s="16" t="s">
        <v>803</v>
      </c>
      <c r="C13" s="48" t="s">
        <v>43</v>
      </c>
      <c r="D13" s="48"/>
      <c r="E13" s="48"/>
      <c r="F13" s="48" t="s">
        <v>804</v>
      </c>
      <c r="G13" s="16" t="s">
        <v>771</v>
      </c>
      <c r="H13" s="16" t="s">
        <v>805</v>
      </c>
      <c r="I13" s="16" t="s">
        <v>1099</v>
      </c>
      <c r="J13" s="16"/>
      <c r="K13" s="25"/>
      <c r="L13" s="83"/>
      <c r="M13" s="60" t="s">
        <v>773</v>
      </c>
      <c r="N13" s="4"/>
      <c r="O13" s="4" t="s">
        <v>92</v>
      </c>
    </row>
    <row r="14" spans="1:15">
      <c r="A14" s="11" t="s">
        <v>806</v>
      </c>
      <c r="B14" s="16" t="s">
        <v>16</v>
      </c>
      <c r="C14" s="48" t="s">
        <v>780</v>
      </c>
      <c r="D14" s="48"/>
      <c r="E14" s="48"/>
      <c r="F14" s="48">
        <v>7</v>
      </c>
      <c r="G14" s="16" t="s">
        <v>95</v>
      </c>
      <c r="H14" s="8" t="s">
        <v>807</v>
      </c>
      <c r="I14" s="16" t="s">
        <v>1099</v>
      </c>
      <c r="J14" s="16"/>
      <c r="K14" s="25"/>
      <c r="L14" s="79"/>
      <c r="M14" s="60" t="s">
        <v>773</v>
      </c>
      <c r="N14" s="4"/>
      <c r="O14" s="4" t="s">
        <v>778</v>
      </c>
    </row>
    <row r="15" spans="1:15">
      <c r="A15" s="11" t="s">
        <v>808</v>
      </c>
      <c r="B15" s="16"/>
      <c r="C15" s="48" t="s">
        <v>43</v>
      </c>
      <c r="D15" s="48"/>
      <c r="E15" s="48"/>
      <c r="F15" s="48">
        <v>0.21</v>
      </c>
      <c r="G15" s="16" t="s">
        <v>14</v>
      </c>
      <c r="H15" s="16"/>
      <c r="I15" s="16" t="s">
        <v>1099</v>
      </c>
      <c r="J15" s="16"/>
      <c r="K15" s="25"/>
      <c r="L15" s="83"/>
      <c r="M15" s="60" t="s">
        <v>773</v>
      </c>
      <c r="N15" s="4"/>
      <c r="O15" s="4" t="s">
        <v>92</v>
      </c>
    </row>
    <row r="16" spans="1:15">
      <c r="A16" s="11" t="s">
        <v>809</v>
      </c>
      <c r="B16" s="16" t="s">
        <v>190</v>
      </c>
      <c r="C16" s="48" t="s">
        <v>43</v>
      </c>
      <c r="D16" s="48"/>
      <c r="E16" s="48"/>
      <c r="F16" s="48">
        <v>452</v>
      </c>
      <c r="G16" s="8" t="s">
        <v>14</v>
      </c>
      <c r="H16" s="16" t="s">
        <v>810</v>
      </c>
      <c r="I16" s="16" t="s">
        <v>1099</v>
      </c>
      <c r="J16" s="16" t="s">
        <v>811</v>
      </c>
      <c r="K16" s="25"/>
      <c r="L16" s="80"/>
      <c r="M16" s="60" t="s">
        <v>773</v>
      </c>
      <c r="N16" s="4"/>
      <c r="O16" s="4" t="s">
        <v>92</v>
      </c>
    </row>
    <row r="17" spans="1:15">
      <c r="A17" s="45" t="s">
        <v>812</v>
      </c>
      <c r="B17" s="16" t="s">
        <v>813</v>
      </c>
      <c r="C17" s="48"/>
      <c r="D17" s="48"/>
      <c r="E17" s="48"/>
      <c r="F17" s="48"/>
      <c r="G17" s="16"/>
      <c r="H17" s="16"/>
      <c r="I17" s="16"/>
      <c r="J17" s="16"/>
      <c r="K17" s="25"/>
      <c r="L17" s="79"/>
      <c r="M17" s="60" t="s">
        <v>773</v>
      </c>
      <c r="N17" s="4"/>
      <c r="O17" s="4" t="s">
        <v>92</v>
      </c>
    </row>
    <row r="18" spans="1:15">
      <c r="A18" s="45" t="s">
        <v>814</v>
      </c>
      <c r="B18" s="16" t="s">
        <v>791</v>
      </c>
      <c r="C18" s="48"/>
      <c r="D18" s="48"/>
      <c r="E18" s="48"/>
      <c r="F18" s="48"/>
      <c r="G18" s="16"/>
      <c r="H18" s="16"/>
      <c r="I18" s="16"/>
      <c r="J18" s="16"/>
      <c r="K18" s="25"/>
      <c r="L18" s="79"/>
      <c r="M18" s="60" t="s">
        <v>773</v>
      </c>
      <c r="N18" s="4"/>
      <c r="O18" s="4" t="s">
        <v>92</v>
      </c>
    </row>
    <row r="19" spans="1:15">
      <c r="A19" s="11" t="s">
        <v>815</v>
      </c>
      <c r="B19" s="16"/>
      <c r="C19" s="48" t="s">
        <v>43</v>
      </c>
      <c r="D19" s="48"/>
      <c r="E19" s="48"/>
      <c r="F19" s="48" t="s">
        <v>816</v>
      </c>
      <c r="G19" s="16" t="s">
        <v>95</v>
      </c>
      <c r="H19" s="16" t="s">
        <v>817</v>
      </c>
      <c r="I19" s="16" t="s">
        <v>1099</v>
      </c>
      <c r="J19" s="16"/>
      <c r="K19" s="25" t="s">
        <v>818</v>
      </c>
      <c r="L19" s="83"/>
      <c r="M19" s="60" t="s">
        <v>773</v>
      </c>
      <c r="N19" s="4"/>
      <c r="O19" s="4" t="s">
        <v>92</v>
      </c>
    </row>
    <row r="20" spans="1:15">
      <c r="A20" s="11" t="s">
        <v>819</v>
      </c>
      <c r="B20" s="17" t="s">
        <v>799</v>
      </c>
      <c r="C20" s="19" t="s">
        <v>368</v>
      </c>
      <c r="D20" s="19"/>
      <c r="E20" s="19"/>
      <c r="F20" s="84">
        <v>0.4</v>
      </c>
      <c r="G20" s="16" t="s">
        <v>800</v>
      </c>
      <c r="H20" s="8" t="s">
        <v>801</v>
      </c>
      <c r="I20" s="16" t="s">
        <v>1100</v>
      </c>
      <c r="J20" s="16"/>
      <c r="K20" s="25"/>
      <c r="L20" s="79"/>
      <c r="M20" s="60" t="s">
        <v>773</v>
      </c>
      <c r="N20" s="4"/>
      <c r="O20" s="4" t="s">
        <v>92</v>
      </c>
    </row>
    <row r="21" spans="1:15">
      <c r="A21" s="11" t="s">
        <v>820</v>
      </c>
      <c r="B21" s="16" t="s">
        <v>803</v>
      </c>
      <c r="C21" s="48" t="s">
        <v>43</v>
      </c>
      <c r="D21" s="48"/>
      <c r="E21" s="48"/>
      <c r="F21" s="48" t="s">
        <v>804</v>
      </c>
      <c r="G21" s="16" t="s">
        <v>771</v>
      </c>
      <c r="H21" s="16" t="s">
        <v>805</v>
      </c>
      <c r="I21" s="16" t="s">
        <v>1099</v>
      </c>
      <c r="J21" s="16"/>
      <c r="K21" s="25"/>
      <c r="L21" s="83"/>
      <c r="M21" s="60" t="s">
        <v>773</v>
      </c>
      <c r="N21" s="4"/>
      <c r="O21" s="4" t="s">
        <v>92</v>
      </c>
    </row>
    <row r="22" spans="1:15">
      <c r="A22" s="11" t="s">
        <v>821</v>
      </c>
      <c r="B22" s="16" t="s">
        <v>16</v>
      </c>
      <c r="C22" s="48" t="s">
        <v>780</v>
      </c>
      <c r="D22" s="48"/>
      <c r="E22" s="48"/>
      <c r="F22" s="48">
        <v>7</v>
      </c>
      <c r="G22" s="16" t="s">
        <v>95</v>
      </c>
      <c r="H22" s="8" t="s">
        <v>807</v>
      </c>
      <c r="I22" s="16" t="s">
        <v>1099</v>
      </c>
      <c r="J22" s="16"/>
      <c r="K22" s="25"/>
      <c r="L22" s="79"/>
      <c r="M22" s="60" t="s">
        <v>773</v>
      </c>
      <c r="N22" s="4"/>
      <c r="O22" s="4" t="s">
        <v>778</v>
      </c>
    </row>
    <row r="23" spans="1:15">
      <c r="A23" s="11" t="s">
        <v>822</v>
      </c>
      <c r="B23" s="17" t="s">
        <v>770</v>
      </c>
      <c r="C23" s="19" t="s">
        <v>365</v>
      </c>
      <c r="D23" s="19"/>
      <c r="E23" s="19"/>
      <c r="F23" s="85">
        <v>-8</v>
      </c>
      <c r="G23" s="16" t="s">
        <v>95</v>
      </c>
      <c r="H23" s="8" t="s">
        <v>823</v>
      </c>
      <c r="I23" s="16" t="s">
        <v>1100</v>
      </c>
      <c r="J23" s="16"/>
      <c r="K23" s="25"/>
      <c r="L23" s="79"/>
      <c r="M23" s="60" t="s">
        <v>773</v>
      </c>
      <c r="N23" s="4"/>
      <c r="O23" s="4" t="s">
        <v>92</v>
      </c>
    </row>
    <row r="24" spans="1:15">
      <c r="A24" s="11" t="s">
        <v>822</v>
      </c>
      <c r="B24" s="17" t="s">
        <v>770</v>
      </c>
      <c r="C24" s="19" t="s">
        <v>368</v>
      </c>
      <c r="D24" s="19"/>
      <c r="E24" s="19"/>
      <c r="F24" s="85">
        <v>-5</v>
      </c>
      <c r="G24" s="16" t="s">
        <v>95</v>
      </c>
      <c r="H24" s="8" t="s">
        <v>823</v>
      </c>
      <c r="I24" s="16" t="s">
        <v>1100</v>
      </c>
      <c r="J24" s="16"/>
      <c r="K24" s="25"/>
      <c r="L24" s="79"/>
      <c r="M24" s="60" t="s">
        <v>773</v>
      </c>
      <c r="N24" s="4"/>
      <c r="O24" s="4" t="s">
        <v>92</v>
      </c>
    </row>
    <row r="25" spans="1:15">
      <c r="A25" s="11" t="s">
        <v>824</v>
      </c>
      <c r="B25" s="17" t="s">
        <v>770</v>
      </c>
      <c r="C25" s="19" t="s">
        <v>368</v>
      </c>
      <c r="D25" s="19"/>
      <c r="E25" s="19"/>
      <c r="F25" s="86">
        <v>5.4</v>
      </c>
      <c r="G25" s="16" t="s">
        <v>14</v>
      </c>
      <c r="H25" s="8"/>
      <c r="I25" s="16" t="s">
        <v>1100</v>
      </c>
      <c r="J25" s="16"/>
      <c r="K25" s="25" t="s">
        <v>825</v>
      </c>
      <c r="L25" s="79"/>
      <c r="M25" s="60" t="s">
        <v>773</v>
      </c>
      <c r="N25" s="4"/>
      <c r="O25" s="4" t="s">
        <v>92</v>
      </c>
    </row>
    <row r="26" spans="1:15">
      <c r="A26" s="11" t="s">
        <v>824</v>
      </c>
      <c r="B26" s="17" t="s">
        <v>770</v>
      </c>
      <c r="C26" s="19" t="s">
        <v>365</v>
      </c>
      <c r="D26" s="19"/>
      <c r="E26" s="19"/>
      <c r="F26" s="86">
        <v>0</v>
      </c>
      <c r="G26" s="16" t="s">
        <v>14</v>
      </c>
      <c r="H26" s="8"/>
      <c r="I26" s="16" t="s">
        <v>1099</v>
      </c>
      <c r="J26" s="16"/>
      <c r="K26" s="25"/>
      <c r="L26" s="79"/>
      <c r="M26" s="60" t="s">
        <v>773</v>
      </c>
      <c r="N26" s="4"/>
      <c r="O26" s="4" t="s">
        <v>92</v>
      </c>
    </row>
    <row r="27" spans="1:15">
      <c r="A27" s="11" t="s">
        <v>826</v>
      </c>
      <c r="B27" s="17" t="s">
        <v>770</v>
      </c>
      <c r="C27" s="19" t="s">
        <v>365</v>
      </c>
      <c r="D27" s="19"/>
      <c r="E27" s="19"/>
      <c r="F27" s="86">
        <v>0</v>
      </c>
      <c r="G27" s="16" t="s">
        <v>14</v>
      </c>
      <c r="H27" s="8"/>
      <c r="I27" s="16" t="s">
        <v>1099</v>
      </c>
      <c r="J27" s="16"/>
      <c r="K27" s="25"/>
      <c r="L27" s="79"/>
      <c r="M27" s="60" t="s">
        <v>773</v>
      </c>
      <c r="N27" s="4"/>
      <c r="O27" s="4" t="s">
        <v>92</v>
      </c>
    </row>
    <row r="28" spans="1:15">
      <c r="A28" s="11" t="s">
        <v>827</v>
      </c>
      <c r="B28" s="16" t="s">
        <v>788</v>
      </c>
      <c r="C28" s="48" t="s">
        <v>43</v>
      </c>
      <c r="D28" s="48"/>
      <c r="E28" s="48"/>
      <c r="F28" s="81">
        <v>0.2</v>
      </c>
      <c r="G28" s="16" t="s">
        <v>95</v>
      </c>
      <c r="H28" s="16" t="s">
        <v>789</v>
      </c>
      <c r="I28" s="16" t="s">
        <v>1099</v>
      </c>
      <c r="J28" s="16"/>
      <c r="K28" s="25"/>
      <c r="L28" s="79"/>
      <c r="M28" s="60" t="s">
        <v>773</v>
      </c>
      <c r="N28" s="4"/>
      <c r="O28" s="4" t="s">
        <v>92</v>
      </c>
    </row>
    <row r="29" spans="1:15" ht="60">
      <c r="A29" s="11" t="s">
        <v>828</v>
      </c>
      <c r="B29" s="25" t="s">
        <v>770</v>
      </c>
      <c r="C29" s="48" t="s">
        <v>43</v>
      </c>
      <c r="D29" s="48"/>
      <c r="E29" s="48"/>
      <c r="F29" s="5">
        <v>-1</v>
      </c>
      <c r="G29" s="16" t="s">
        <v>95</v>
      </c>
      <c r="H29" s="16" t="s">
        <v>829</v>
      </c>
      <c r="I29" s="16" t="s">
        <v>1100</v>
      </c>
      <c r="J29" s="16"/>
      <c r="K29" s="25" t="s">
        <v>830</v>
      </c>
      <c r="L29" s="79"/>
      <c r="M29" s="60" t="s">
        <v>773</v>
      </c>
      <c r="N29" s="4"/>
      <c r="O29" s="4" t="s">
        <v>92</v>
      </c>
    </row>
    <row r="30" spans="1:15">
      <c r="A30" s="11" t="s">
        <v>831</v>
      </c>
      <c r="B30" s="25" t="s">
        <v>770</v>
      </c>
      <c r="C30" s="48" t="s">
        <v>43</v>
      </c>
      <c r="D30" s="48"/>
      <c r="E30" s="48"/>
      <c r="F30" s="5">
        <v>0</v>
      </c>
      <c r="G30" s="16" t="s">
        <v>771</v>
      </c>
      <c r="H30" s="16"/>
      <c r="I30" s="16" t="s">
        <v>1099</v>
      </c>
      <c r="J30" s="16"/>
      <c r="K30" s="25"/>
      <c r="L30" s="79"/>
      <c r="M30" s="60" t="s">
        <v>773</v>
      </c>
      <c r="N30" s="4"/>
      <c r="O30" s="4" t="s">
        <v>92</v>
      </c>
    </row>
    <row r="31" spans="1:15">
      <c r="A31" s="11" t="s">
        <v>832</v>
      </c>
      <c r="B31" s="25"/>
      <c r="C31" s="48" t="s">
        <v>43</v>
      </c>
      <c r="D31" s="48"/>
      <c r="E31" s="48"/>
      <c r="F31" s="5">
        <v>0</v>
      </c>
      <c r="G31" s="16" t="s">
        <v>771</v>
      </c>
      <c r="H31" s="16"/>
      <c r="I31" s="16" t="s">
        <v>1099</v>
      </c>
      <c r="J31" s="16" t="s">
        <v>833</v>
      </c>
      <c r="K31" s="25"/>
      <c r="L31" s="79"/>
      <c r="M31" s="60" t="s">
        <v>773</v>
      </c>
      <c r="N31" s="4"/>
      <c r="O31" s="4" t="s">
        <v>92</v>
      </c>
    </row>
    <row r="32" spans="1:15">
      <c r="A32" s="11" t="s">
        <v>834</v>
      </c>
      <c r="B32" s="25" t="s">
        <v>190</v>
      </c>
      <c r="C32" s="48" t="s">
        <v>43</v>
      </c>
      <c r="D32" s="48"/>
      <c r="E32" s="48"/>
      <c r="F32" s="5">
        <v>0</v>
      </c>
      <c r="G32" s="16" t="s">
        <v>771</v>
      </c>
      <c r="H32" s="16"/>
      <c r="I32" s="16" t="s">
        <v>1099</v>
      </c>
      <c r="J32" s="16" t="s">
        <v>835</v>
      </c>
      <c r="K32" s="25"/>
      <c r="L32" s="79"/>
      <c r="M32" s="60" t="s">
        <v>773</v>
      </c>
      <c r="N32" s="4"/>
      <c r="O32" s="4" t="s">
        <v>92</v>
      </c>
    </row>
    <row r="33" spans="1:15">
      <c r="A33" s="45" t="s">
        <v>836</v>
      </c>
      <c r="B33" s="16" t="s">
        <v>813</v>
      </c>
      <c r="C33" s="48"/>
      <c r="D33" s="48"/>
      <c r="E33" s="48"/>
      <c r="F33" s="48"/>
      <c r="G33" s="16"/>
      <c r="H33" s="16"/>
      <c r="I33" s="16"/>
      <c r="J33" s="16"/>
      <c r="K33" s="25"/>
      <c r="L33" s="79"/>
      <c r="M33" s="60" t="s">
        <v>773</v>
      </c>
      <c r="N33" s="4"/>
      <c r="O33" s="4" t="s">
        <v>92</v>
      </c>
    </row>
    <row r="34" spans="1:15">
      <c r="A34" s="45" t="s">
        <v>837</v>
      </c>
      <c r="B34" s="16" t="s">
        <v>791</v>
      </c>
      <c r="C34" s="48"/>
      <c r="D34" s="48"/>
      <c r="E34" s="48"/>
      <c r="F34" s="48"/>
      <c r="G34" s="16"/>
      <c r="H34" s="16"/>
      <c r="I34" s="16"/>
      <c r="J34" s="16"/>
      <c r="K34" s="25"/>
      <c r="L34" s="79"/>
      <c r="M34" s="60" t="s">
        <v>773</v>
      </c>
      <c r="N34" s="4"/>
      <c r="O34" s="4" t="s">
        <v>92</v>
      </c>
    </row>
    <row r="35" spans="1:15" ht="24">
      <c r="A35" s="11" t="s">
        <v>838</v>
      </c>
      <c r="B35" s="25" t="s">
        <v>770</v>
      </c>
      <c r="C35" s="48" t="s">
        <v>43</v>
      </c>
      <c r="D35" s="48"/>
      <c r="E35" s="48"/>
      <c r="F35" s="5">
        <v>1</v>
      </c>
      <c r="G35" s="16" t="s">
        <v>95</v>
      </c>
      <c r="H35" s="16"/>
      <c r="I35" s="16" t="s">
        <v>1100</v>
      </c>
      <c r="J35" s="16"/>
      <c r="K35" s="25" t="s">
        <v>839</v>
      </c>
      <c r="L35" s="79"/>
      <c r="M35" s="60" t="s">
        <v>773</v>
      </c>
      <c r="N35" s="4"/>
      <c r="O35" s="4" t="s">
        <v>92</v>
      </c>
    </row>
    <row r="36" spans="1:15" ht="15.75" customHeight="1">
      <c r="A36" s="11" t="s">
        <v>840</v>
      </c>
      <c r="B36" s="25" t="s">
        <v>16</v>
      </c>
      <c r="C36" s="48" t="s">
        <v>780</v>
      </c>
      <c r="D36" s="48"/>
      <c r="E36" s="48"/>
      <c r="F36" s="4">
        <v>2</v>
      </c>
      <c r="G36" s="16" t="s">
        <v>95</v>
      </c>
      <c r="H36" s="8" t="s">
        <v>807</v>
      </c>
      <c r="I36" s="16" t="s">
        <v>1099</v>
      </c>
      <c r="J36" s="16"/>
      <c r="K36" s="25"/>
      <c r="L36" s="79"/>
      <c r="M36" s="60" t="s">
        <v>773</v>
      </c>
      <c r="N36" s="4"/>
      <c r="O36" s="4" t="s">
        <v>92</v>
      </c>
    </row>
    <row r="37" spans="1:15">
      <c r="A37" s="11" t="s">
        <v>1109</v>
      </c>
      <c r="B37" s="17"/>
      <c r="C37" s="48" t="s">
        <v>43</v>
      </c>
      <c r="D37" s="19"/>
      <c r="E37" s="19"/>
      <c r="F37" s="48" t="s">
        <v>1110</v>
      </c>
      <c r="G37" s="16" t="s">
        <v>1111</v>
      </c>
      <c r="H37" s="16"/>
      <c r="I37" s="16" t="s">
        <v>1099</v>
      </c>
      <c r="J37" s="16"/>
      <c r="K37" s="25"/>
      <c r="L37" s="79"/>
      <c r="M37" s="60" t="s">
        <v>773</v>
      </c>
      <c r="N37" s="4"/>
      <c r="O37" s="4" t="s">
        <v>92</v>
      </c>
    </row>
    <row r="38" spans="1:15" ht="120">
      <c r="A38" s="11" t="s">
        <v>841</v>
      </c>
      <c r="B38" s="25" t="s">
        <v>770</v>
      </c>
      <c r="C38" s="48" t="s">
        <v>43</v>
      </c>
      <c r="D38" s="48"/>
      <c r="E38" s="48"/>
      <c r="F38" s="5">
        <v>0</v>
      </c>
      <c r="G38" s="16" t="s">
        <v>95</v>
      </c>
      <c r="H38" s="16"/>
      <c r="I38" s="16" t="s">
        <v>1099</v>
      </c>
      <c r="J38" s="16"/>
      <c r="K38" s="25" t="s">
        <v>842</v>
      </c>
      <c r="L38" s="79"/>
      <c r="M38" s="60" t="s">
        <v>773</v>
      </c>
      <c r="N38" s="4"/>
      <c r="O38" s="4" t="s">
        <v>92</v>
      </c>
    </row>
    <row r="39" spans="1:15" ht="96">
      <c r="A39" s="11" t="s">
        <v>843</v>
      </c>
      <c r="B39" s="16" t="s">
        <v>788</v>
      </c>
      <c r="C39" s="48" t="s">
        <v>43</v>
      </c>
      <c r="D39" s="48"/>
      <c r="E39" s="48"/>
      <c r="F39" s="16" t="s">
        <v>844</v>
      </c>
      <c r="G39" s="16" t="s">
        <v>95</v>
      </c>
      <c r="H39" s="16" t="s">
        <v>845</v>
      </c>
      <c r="I39" s="16" t="s">
        <v>1099</v>
      </c>
      <c r="J39" s="16"/>
      <c r="K39" s="25" t="s">
        <v>846</v>
      </c>
      <c r="L39" s="83"/>
      <c r="M39" s="60" t="s">
        <v>773</v>
      </c>
      <c r="N39" s="4"/>
      <c r="O39" s="4" t="s">
        <v>92</v>
      </c>
    </row>
    <row r="40" spans="1:15">
      <c r="A40" s="11" t="s">
        <v>847</v>
      </c>
      <c r="B40" s="16" t="s">
        <v>848</v>
      </c>
      <c r="C40" s="48" t="s">
        <v>43</v>
      </c>
      <c r="D40" s="48"/>
      <c r="E40" s="48"/>
      <c r="F40" s="16" t="s">
        <v>849</v>
      </c>
      <c r="G40" s="16" t="s">
        <v>95</v>
      </c>
      <c r="H40" s="16" t="s">
        <v>845</v>
      </c>
      <c r="I40" s="16" t="s">
        <v>1099</v>
      </c>
      <c r="J40" s="16"/>
      <c r="K40" s="25" t="s">
        <v>850</v>
      </c>
      <c r="L40" s="83"/>
      <c r="M40" s="60" t="s">
        <v>773</v>
      </c>
      <c r="N40" s="4"/>
      <c r="O40" s="4" t="s">
        <v>92</v>
      </c>
    </row>
    <row r="41" spans="1:15" ht="24">
      <c r="A41" s="11" t="s">
        <v>851</v>
      </c>
      <c r="B41" s="17" t="s">
        <v>852</v>
      </c>
      <c r="C41" s="48" t="s">
        <v>780</v>
      </c>
      <c r="D41" s="48"/>
      <c r="E41" s="48"/>
      <c r="F41" s="16">
        <v>3.5</v>
      </c>
      <c r="G41" s="16" t="s">
        <v>95</v>
      </c>
      <c r="H41" s="8" t="s">
        <v>807</v>
      </c>
      <c r="I41" s="16" t="s">
        <v>1099</v>
      </c>
      <c r="J41" s="16"/>
      <c r="K41" s="25" t="s">
        <v>853</v>
      </c>
      <c r="L41" s="53"/>
      <c r="M41" s="60" t="s">
        <v>773</v>
      </c>
      <c r="N41" s="4"/>
      <c r="O41" s="4" t="s">
        <v>92</v>
      </c>
    </row>
    <row r="42" spans="1:15">
      <c r="A42" s="45" t="s">
        <v>854</v>
      </c>
      <c r="B42" s="16" t="s">
        <v>791</v>
      </c>
      <c r="C42" s="48"/>
      <c r="D42" s="48"/>
      <c r="E42" s="48"/>
      <c r="F42" s="48"/>
      <c r="G42" s="16"/>
      <c r="H42" s="16"/>
      <c r="I42" s="16"/>
      <c r="J42" s="16"/>
      <c r="K42" s="25"/>
      <c r="L42" s="79"/>
      <c r="M42" s="60" t="s">
        <v>773</v>
      </c>
      <c r="N42" s="4"/>
      <c r="O42" s="4" t="s">
        <v>92</v>
      </c>
    </row>
    <row r="43" spans="1:15">
      <c r="A43" s="45" t="s">
        <v>855</v>
      </c>
      <c r="B43" s="16" t="s">
        <v>791</v>
      </c>
      <c r="C43" s="48"/>
      <c r="D43" s="48"/>
      <c r="E43" s="48"/>
      <c r="F43" s="48"/>
      <c r="G43" s="16"/>
      <c r="H43" s="16"/>
      <c r="I43" s="16"/>
      <c r="J43" s="16"/>
      <c r="K43" s="25"/>
      <c r="L43" s="79"/>
      <c r="M43" s="60" t="s">
        <v>773</v>
      </c>
      <c r="N43" s="4"/>
      <c r="O43" s="4" t="s">
        <v>92</v>
      </c>
    </row>
    <row r="44" spans="1:15" ht="36">
      <c r="A44" s="11" t="s">
        <v>856</v>
      </c>
      <c r="B44" s="17" t="s">
        <v>281</v>
      </c>
      <c r="C44" s="48" t="s">
        <v>43</v>
      </c>
      <c r="D44" s="48"/>
      <c r="E44" s="48"/>
      <c r="F44" s="17" t="s">
        <v>857</v>
      </c>
      <c r="G44" s="87" t="s">
        <v>858</v>
      </c>
      <c r="H44" s="8" t="s">
        <v>859</v>
      </c>
      <c r="I44" s="16" t="s">
        <v>1099</v>
      </c>
      <c r="J44" s="16"/>
      <c r="K44" s="25"/>
      <c r="L44" s="88"/>
      <c r="M44" s="60" t="s">
        <v>773</v>
      </c>
      <c r="N44" s="4"/>
      <c r="O44" s="4" t="s">
        <v>92</v>
      </c>
    </row>
    <row r="45" spans="1:15">
      <c r="A45" s="45" t="s">
        <v>860</v>
      </c>
      <c r="B45" s="16"/>
      <c r="C45" s="48" t="s">
        <v>43</v>
      </c>
      <c r="D45" s="48"/>
      <c r="E45" s="48"/>
      <c r="F45" s="48">
        <v>0</v>
      </c>
      <c r="G45" s="16" t="s">
        <v>861</v>
      </c>
      <c r="H45" s="16"/>
      <c r="I45" s="16"/>
      <c r="J45" s="16"/>
      <c r="K45" s="25"/>
      <c r="L45" s="79"/>
      <c r="M45" s="60" t="s">
        <v>773</v>
      </c>
      <c r="N45" s="4"/>
      <c r="O45" s="4" t="s">
        <v>92</v>
      </c>
    </row>
    <row r="46" spans="1:15">
      <c r="A46" s="45" t="s">
        <v>862</v>
      </c>
      <c r="B46" s="14"/>
      <c r="C46" s="48"/>
      <c r="D46" s="48"/>
      <c r="E46" s="48"/>
      <c r="F46" s="48"/>
      <c r="G46" s="48"/>
      <c r="H46" s="48"/>
      <c r="I46" s="16"/>
      <c r="J46" s="48"/>
      <c r="K46" s="48"/>
      <c r="L46" s="48"/>
      <c r="M46" s="60" t="s">
        <v>773</v>
      </c>
      <c r="N46" s="4"/>
      <c r="O46" s="4" t="s">
        <v>92</v>
      </c>
    </row>
    <row r="47" spans="1:15">
      <c r="A47" s="11" t="s">
        <v>863</v>
      </c>
      <c r="B47" s="14"/>
      <c r="C47" s="48" t="s">
        <v>43</v>
      </c>
      <c r="D47" s="48"/>
      <c r="E47" s="48"/>
      <c r="F47" s="48">
        <v>4.62</v>
      </c>
      <c r="G47" s="48" t="s">
        <v>14</v>
      </c>
      <c r="H47" s="48"/>
      <c r="I47" s="16" t="s">
        <v>1099</v>
      </c>
      <c r="J47" s="48" t="s">
        <v>864</v>
      </c>
      <c r="K47" s="48"/>
      <c r="L47" s="48"/>
      <c r="M47" s="60" t="s">
        <v>773</v>
      </c>
      <c r="N47" s="4"/>
      <c r="O47" s="4" t="s">
        <v>92</v>
      </c>
    </row>
    <row r="48" spans="1:15" ht="24">
      <c r="A48" s="11" t="s">
        <v>865</v>
      </c>
      <c r="B48" s="16"/>
      <c r="C48" s="48" t="s">
        <v>43</v>
      </c>
      <c r="D48" s="48"/>
      <c r="E48" s="48"/>
      <c r="F48" s="16">
        <v>0.23</v>
      </c>
      <c r="G48" s="16" t="s">
        <v>95</v>
      </c>
      <c r="H48" s="8" t="s">
        <v>807</v>
      </c>
      <c r="I48" s="16" t="s">
        <v>1099</v>
      </c>
      <c r="J48" s="16"/>
      <c r="K48" s="25" t="s">
        <v>866</v>
      </c>
      <c r="L48" s="80"/>
      <c r="M48" s="60" t="s">
        <v>773</v>
      </c>
      <c r="N48" s="4"/>
      <c r="O48" s="4" t="s">
        <v>92</v>
      </c>
    </row>
    <row r="49" spans="1:15">
      <c r="A49" s="11" t="s">
        <v>867</v>
      </c>
      <c r="B49" s="16" t="s">
        <v>16</v>
      </c>
      <c r="C49" s="48" t="s">
        <v>780</v>
      </c>
      <c r="D49" s="48"/>
      <c r="E49" s="48"/>
      <c r="F49" s="48">
        <v>7</v>
      </c>
      <c r="G49" s="16" t="s">
        <v>95</v>
      </c>
      <c r="H49" s="8" t="s">
        <v>807</v>
      </c>
      <c r="I49" s="16" t="s">
        <v>1099</v>
      </c>
      <c r="J49" s="16"/>
      <c r="K49" s="25"/>
      <c r="L49" s="79"/>
      <c r="M49" s="60" t="s">
        <v>773</v>
      </c>
      <c r="N49" s="4"/>
      <c r="O49" s="4" t="s">
        <v>778</v>
      </c>
    </row>
    <row r="50" spans="1:15" ht="24">
      <c r="A50" s="11" t="s">
        <v>868</v>
      </c>
      <c r="B50" s="16" t="s">
        <v>869</v>
      </c>
      <c r="C50" s="48" t="s">
        <v>780</v>
      </c>
      <c r="D50" s="48"/>
      <c r="E50" s="48"/>
      <c r="F50" s="48">
        <v>0.08</v>
      </c>
      <c r="G50" s="16" t="s">
        <v>95</v>
      </c>
      <c r="H50" s="8" t="s">
        <v>807</v>
      </c>
      <c r="I50" s="16" t="s">
        <v>1099</v>
      </c>
      <c r="J50" s="16"/>
      <c r="K50" s="25" t="s">
        <v>870</v>
      </c>
      <c r="L50" s="79"/>
      <c r="M50" s="60" t="s">
        <v>773</v>
      </c>
      <c r="N50" s="4"/>
      <c r="O50" s="4" t="s">
        <v>92</v>
      </c>
    </row>
    <row r="51" spans="1:15" ht="24">
      <c r="A51" s="11" t="s">
        <v>871</v>
      </c>
      <c r="B51" s="16" t="s">
        <v>869</v>
      </c>
      <c r="C51" s="48" t="s">
        <v>780</v>
      </c>
      <c r="D51" s="48"/>
      <c r="E51" s="48"/>
      <c r="F51" s="48">
        <f>0.002*12</f>
        <v>2.4E-2</v>
      </c>
      <c r="G51" s="16" t="s">
        <v>95</v>
      </c>
      <c r="H51" s="8" t="s">
        <v>807</v>
      </c>
      <c r="I51" s="16" t="s">
        <v>1099</v>
      </c>
      <c r="J51" s="16"/>
      <c r="K51" s="25" t="s">
        <v>872</v>
      </c>
      <c r="L51" s="53"/>
      <c r="M51" s="60" t="s">
        <v>773</v>
      </c>
      <c r="N51" s="4"/>
      <c r="O51" s="4" t="s">
        <v>92</v>
      </c>
    </row>
    <row r="52" spans="1:15" ht="36">
      <c r="A52" s="11" t="s">
        <v>873</v>
      </c>
      <c r="B52" s="17" t="s">
        <v>852</v>
      </c>
      <c r="C52" s="48" t="s">
        <v>780</v>
      </c>
      <c r="D52" s="48"/>
      <c r="E52" s="48"/>
      <c r="F52" s="16">
        <v>3.3500000000000002E-2</v>
      </c>
      <c r="G52" s="16" t="s">
        <v>95</v>
      </c>
      <c r="H52" s="8" t="s">
        <v>807</v>
      </c>
      <c r="I52" s="16" t="s">
        <v>1099</v>
      </c>
      <c r="J52" s="16"/>
      <c r="K52" s="25" t="s">
        <v>874</v>
      </c>
      <c r="L52" s="53"/>
      <c r="M52" s="60" t="s">
        <v>773</v>
      </c>
      <c r="N52" s="4"/>
      <c r="O52" s="4" t="s">
        <v>92</v>
      </c>
    </row>
    <row r="53" spans="1:15">
      <c r="A53" s="45" t="s">
        <v>875</v>
      </c>
      <c r="B53" s="16" t="s">
        <v>813</v>
      </c>
      <c r="C53" s="48"/>
      <c r="D53" s="48"/>
      <c r="E53" s="48"/>
      <c r="F53" s="48"/>
      <c r="G53" s="16"/>
      <c r="H53" s="16"/>
      <c r="I53" s="16"/>
      <c r="J53" s="16"/>
      <c r="K53" s="25"/>
      <c r="L53" s="79"/>
      <c r="M53" s="60" t="s">
        <v>773</v>
      </c>
      <c r="N53" s="4"/>
      <c r="O53" s="4" t="s">
        <v>92</v>
      </c>
    </row>
    <row r="54" spans="1:15" ht="45.75" customHeight="1">
      <c r="A54" s="11" t="s">
        <v>876</v>
      </c>
      <c r="B54" s="16" t="s">
        <v>869</v>
      </c>
      <c r="C54" s="48" t="s">
        <v>780</v>
      </c>
      <c r="D54" s="48"/>
      <c r="E54" s="48"/>
      <c r="F54" s="48">
        <f>0.007*12</f>
        <v>8.4000000000000005E-2</v>
      </c>
      <c r="G54" s="16" t="s">
        <v>95</v>
      </c>
      <c r="H54" s="8" t="s">
        <v>807</v>
      </c>
      <c r="I54" s="16" t="s">
        <v>1099</v>
      </c>
      <c r="J54" s="16"/>
      <c r="K54" s="25" t="s">
        <v>877</v>
      </c>
      <c r="L54" s="79"/>
      <c r="M54" s="60" t="s">
        <v>773</v>
      </c>
      <c r="N54" s="4"/>
      <c r="O54" s="4" t="s">
        <v>92</v>
      </c>
    </row>
    <row r="55" spans="1:15">
      <c r="A55" s="45" t="s">
        <v>878</v>
      </c>
      <c r="B55" s="16" t="s">
        <v>791</v>
      </c>
      <c r="C55" s="48"/>
      <c r="D55" s="48"/>
      <c r="E55" s="48"/>
      <c r="F55" s="48"/>
      <c r="G55" s="16"/>
      <c r="H55" s="16"/>
      <c r="I55" s="16"/>
      <c r="J55" s="16"/>
      <c r="K55" s="25"/>
      <c r="L55" s="79"/>
      <c r="M55" s="60" t="s">
        <v>773</v>
      </c>
      <c r="N55" s="4"/>
      <c r="O55" s="4" t="s">
        <v>92</v>
      </c>
    </row>
    <row r="56" spans="1:15">
      <c r="A56" s="11" t="s">
        <v>879</v>
      </c>
      <c r="B56" s="17" t="s">
        <v>770</v>
      </c>
      <c r="C56" s="19" t="s">
        <v>365</v>
      </c>
      <c r="D56" s="19"/>
      <c r="E56" s="19"/>
      <c r="F56" s="48">
        <v>-1</v>
      </c>
      <c r="G56" s="16" t="s">
        <v>95</v>
      </c>
      <c r="H56" s="16" t="s">
        <v>829</v>
      </c>
      <c r="I56" s="16" t="s">
        <v>1100</v>
      </c>
      <c r="J56" s="16"/>
      <c r="K56" s="25"/>
      <c r="L56" s="79"/>
      <c r="M56" s="60" t="s">
        <v>773</v>
      </c>
      <c r="N56" s="4"/>
      <c r="O56" s="4" t="s">
        <v>92</v>
      </c>
    </row>
    <row r="57" spans="1:15">
      <c r="A57" s="11" t="s">
        <v>879</v>
      </c>
      <c r="B57" s="17" t="s">
        <v>770</v>
      </c>
      <c r="C57" s="19" t="s">
        <v>368</v>
      </c>
      <c r="D57" s="19"/>
      <c r="E57" s="19"/>
      <c r="F57" s="48">
        <v>1</v>
      </c>
      <c r="G57" s="16" t="s">
        <v>95</v>
      </c>
      <c r="H57" s="16" t="s">
        <v>829</v>
      </c>
      <c r="I57" s="16" t="s">
        <v>1100</v>
      </c>
      <c r="J57" s="16"/>
      <c r="K57" s="25"/>
      <c r="L57" s="79"/>
      <c r="M57" s="60" t="s">
        <v>773</v>
      </c>
      <c r="N57" s="4"/>
      <c r="O57" s="4" t="s">
        <v>92</v>
      </c>
    </row>
    <row r="58" spans="1:15">
      <c r="A58" s="11" t="s">
        <v>880</v>
      </c>
      <c r="B58" s="16" t="s">
        <v>770</v>
      </c>
      <c r="C58" s="19" t="s">
        <v>365</v>
      </c>
      <c r="D58" s="19"/>
      <c r="E58" s="19"/>
      <c r="F58" s="48">
        <v>5.2</v>
      </c>
      <c r="G58" s="16" t="s">
        <v>14</v>
      </c>
      <c r="H58" s="16" t="s">
        <v>881</v>
      </c>
      <c r="I58" s="16" t="s">
        <v>1100</v>
      </c>
      <c r="J58" s="16"/>
      <c r="K58" s="25"/>
      <c r="L58" s="79"/>
      <c r="M58" s="60" t="s">
        <v>773</v>
      </c>
      <c r="N58" s="4"/>
      <c r="O58" s="4" t="s">
        <v>92</v>
      </c>
    </row>
    <row r="59" spans="1:15">
      <c r="A59" s="11" t="s">
        <v>880</v>
      </c>
      <c r="B59" s="16" t="s">
        <v>770</v>
      </c>
      <c r="C59" s="19" t="s">
        <v>368</v>
      </c>
      <c r="D59" s="19"/>
      <c r="E59" s="19"/>
      <c r="F59" s="48">
        <v>7.2</v>
      </c>
      <c r="G59" s="16" t="s">
        <v>14</v>
      </c>
      <c r="H59" s="16" t="s">
        <v>881</v>
      </c>
      <c r="I59" s="16" t="s">
        <v>1100</v>
      </c>
      <c r="J59" s="16"/>
      <c r="K59" s="25"/>
      <c r="L59" s="79"/>
      <c r="M59" s="60" t="s">
        <v>773</v>
      </c>
      <c r="N59" s="4"/>
      <c r="O59" s="4" t="s">
        <v>92</v>
      </c>
    </row>
    <row r="60" spans="1:15" ht="24">
      <c r="A60" s="11" t="s">
        <v>882</v>
      </c>
      <c r="B60" s="17" t="s">
        <v>770</v>
      </c>
      <c r="C60" s="19" t="s">
        <v>365</v>
      </c>
      <c r="D60" s="19"/>
      <c r="E60" s="19"/>
      <c r="F60" s="85">
        <v>-8</v>
      </c>
      <c r="G60" s="16" t="s">
        <v>95</v>
      </c>
      <c r="H60" s="8" t="s">
        <v>823</v>
      </c>
      <c r="I60" s="16" t="s">
        <v>1100</v>
      </c>
      <c r="J60" s="16"/>
      <c r="K60" s="25" t="s">
        <v>883</v>
      </c>
      <c r="L60" s="79"/>
      <c r="M60" s="60" t="s">
        <v>773</v>
      </c>
      <c r="N60" s="4"/>
      <c r="O60" s="4" t="s">
        <v>92</v>
      </c>
    </row>
    <row r="61" spans="1:15" ht="24">
      <c r="A61" s="11" t="s">
        <v>882</v>
      </c>
      <c r="B61" s="17" t="s">
        <v>770</v>
      </c>
      <c r="C61" s="19" t="s">
        <v>368</v>
      </c>
      <c r="D61" s="19"/>
      <c r="E61" s="19"/>
      <c r="F61" s="85">
        <v>-5</v>
      </c>
      <c r="G61" s="16" t="s">
        <v>95</v>
      </c>
      <c r="H61" s="8" t="s">
        <v>823</v>
      </c>
      <c r="I61" s="16" t="s">
        <v>1100</v>
      </c>
      <c r="J61" s="16"/>
      <c r="K61" s="25" t="s">
        <v>883</v>
      </c>
      <c r="L61" s="79"/>
      <c r="M61" s="60" t="s">
        <v>773</v>
      </c>
      <c r="N61" s="4"/>
      <c r="O61" s="4" t="s">
        <v>92</v>
      </c>
    </row>
    <row r="62" spans="1:15">
      <c r="A62" s="11" t="s">
        <v>884</v>
      </c>
      <c r="B62" s="17" t="s">
        <v>770</v>
      </c>
      <c r="C62" s="19" t="s">
        <v>365</v>
      </c>
      <c r="D62" s="19"/>
      <c r="E62" s="19"/>
      <c r="F62" s="86">
        <v>-5.4</v>
      </c>
      <c r="G62" s="16" t="s">
        <v>14</v>
      </c>
      <c r="H62" s="8"/>
      <c r="I62" s="16" t="s">
        <v>1100</v>
      </c>
      <c r="J62" s="16"/>
      <c r="K62" s="25" t="s">
        <v>825</v>
      </c>
      <c r="L62" s="79"/>
      <c r="M62" s="60" t="s">
        <v>773</v>
      </c>
      <c r="N62" s="4"/>
      <c r="O62" s="4" t="s">
        <v>92</v>
      </c>
    </row>
    <row r="63" spans="1:15">
      <c r="A63" s="11" t="s">
        <v>884</v>
      </c>
      <c r="B63" s="17" t="s">
        <v>770</v>
      </c>
      <c r="C63" s="19" t="s">
        <v>368</v>
      </c>
      <c r="D63" s="19"/>
      <c r="E63" s="19"/>
      <c r="F63" s="86">
        <v>0</v>
      </c>
      <c r="G63" s="16" t="s">
        <v>14</v>
      </c>
      <c r="H63" s="8"/>
      <c r="I63" s="16" t="s">
        <v>1100</v>
      </c>
      <c r="J63" s="16"/>
      <c r="K63" s="25"/>
      <c r="L63" s="79"/>
      <c r="M63" s="60" t="s">
        <v>773</v>
      </c>
      <c r="N63" s="4"/>
      <c r="O63" s="4" t="s">
        <v>92</v>
      </c>
    </row>
    <row r="64" spans="1:15">
      <c r="A64" s="11" t="s">
        <v>885</v>
      </c>
      <c r="B64" s="16" t="s">
        <v>770</v>
      </c>
      <c r="C64" s="19" t="s">
        <v>365</v>
      </c>
      <c r="D64" s="19"/>
      <c r="E64" s="19"/>
      <c r="F64" s="48">
        <v>5</v>
      </c>
      <c r="G64" s="16" t="s">
        <v>14</v>
      </c>
      <c r="H64" s="16" t="s">
        <v>881</v>
      </c>
      <c r="I64" s="16" t="s">
        <v>1100</v>
      </c>
      <c r="J64" s="16"/>
      <c r="K64" s="25"/>
      <c r="L64" s="79"/>
      <c r="M64" s="60" t="s">
        <v>773</v>
      </c>
      <c r="N64" s="4"/>
      <c r="O64" s="4" t="s">
        <v>92</v>
      </c>
    </row>
    <row r="65" spans="1:15">
      <c r="A65" s="11" t="s">
        <v>885</v>
      </c>
      <c r="B65" s="16" t="s">
        <v>770</v>
      </c>
      <c r="C65" s="19" t="s">
        <v>368</v>
      </c>
      <c r="D65" s="19"/>
      <c r="E65" s="19"/>
      <c r="F65" s="48">
        <v>7.5</v>
      </c>
      <c r="G65" s="16" t="s">
        <v>14</v>
      </c>
      <c r="H65" s="16" t="s">
        <v>881</v>
      </c>
      <c r="I65" s="16" t="s">
        <v>1100</v>
      </c>
      <c r="J65" s="16"/>
      <c r="K65" s="25"/>
      <c r="L65" s="79"/>
      <c r="M65" s="60" t="s">
        <v>773</v>
      </c>
      <c r="N65" s="4"/>
      <c r="O65" s="4" t="s">
        <v>92</v>
      </c>
    </row>
    <row r="66" spans="1:15" ht="24">
      <c r="A66" s="11" t="s">
        <v>886</v>
      </c>
      <c r="B66" s="17" t="s">
        <v>770</v>
      </c>
      <c r="C66" s="19" t="s">
        <v>365</v>
      </c>
      <c r="D66" s="19"/>
      <c r="E66" s="19"/>
      <c r="F66" s="48">
        <v>0</v>
      </c>
      <c r="G66" s="16" t="s">
        <v>771</v>
      </c>
      <c r="H66" s="16" t="s">
        <v>887</v>
      </c>
      <c r="I66" s="16" t="s">
        <v>1099</v>
      </c>
      <c r="J66" s="16" t="s">
        <v>888</v>
      </c>
      <c r="K66" s="25"/>
      <c r="L66" s="79"/>
      <c r="M66" s="60" t="s">
        <v>773</v>
      </c>
      <c r="N66" s="4"/>
      <c r="O66" s="4" t="s">
        <v>92</v>
      </c>
    </row>
    <row r="67" spans="1:15" ht="24">
      <c r="A67" s="11" t="s">
        <v>886</v>
      </c>
      <c r="B67" s="17" t="s">
        <v>770</v>
      </c>
      <c r="C67" s="19" t="s">
        <v>368</v>
      </c>
      <c r="D67" s="19"/>
      <c r="E67" s="19"/>
      <c r="F67" s="48">
        <v>0</v>
      </c>
      <c r="G67" s="16" t="s">
        <v>771</v>
      </c>
      <c r="H67" s="16" t="s">
        <v>887</v>
      </c>
      <c r="I67" s="16" t="s">
        <v>1099</v>
      </c>
      <c r="J67" s="16" t="s">
        <v>888</v>
      </c>
      <c r="K67" s="25"/>
      <c r="L67" s="79"/>
      <c r="M67" s="60" t="s">
        <v>773</v>
      </c>
      <c r="N67" s="4"/>
      <c r="O67" s="4" t="s">
        <v>92</v>
      </c>
    </row>
    <row r="68" spans="1:15">
      <c r="A68" s="11" t="s">
        <v>889</v>
      </c>
      <c r="B68" s="17" t="s">
        <v>770</v>
      </c>
      <c r="C68" s="19" t="s">
        <v>365</v>
      </c>
      <c r="D68" s="19"/>
      <c r="E68" s="19"/>
      <c r="F68" s="48">
        <v>-1</v>
      </c>
      <c r="G68" s="16" t="s">
        <v>95</v>
      </c>
      <c r="H68" s="16" t="s">
        <v>829</v>
      </c>
      <c r="I68" s="16" t="s">
        <v>1100</v>
      </c>
      <c r="J68" s="16"/>
      <c r="K68" s="25"/>
      <c r="L68" s="79"/>
      <c r="M68" s="60" t="s">
        <v>773</v>
      </c>
      <c r="N68" s="4"/>
      <c r="O68" s="4" t="s">
        <v>92</v>
      </c>
    </row>
    <row r="69" spans="1:15">
      <c r="A69" s="11" t="s">
        <v>889</v>
      </c>
      <c r="B69" s="17" t="s">
        <v>770</v>
      </c>
      <c r="C69" s="19" t="s">
        <v>368</v>
      </c>
      <c r="D69" s="19"/>
      <c r="E69" s="19"/>
      <c r="F69" s="48">
        <v>1</v>
      </c>
      <c r="G69" s="16" t="s">
        <v>95</v>
      </c>
      <c r="H69" s="16" t="s">
        <v>829</v>
      </c>
      <c r="I69" s="16" t="s">
        <v>1100</v>
      </c>
      <c r="J69" s="16"/>
      <c r="K69" s="25"/>
      <c r="L69" s="79"/>
      <c r="M69" s="60" t="s">
        <v>773</v>
      </c>
      <c r="N69" s="4"/>
      <c r="O69" s="4" t="s">
        <v>92</v>
      </c>
    </row>
    <row r="70" spans="1:15">
      <c r="A70" s="11" t="s">
        <v>1107</v>
      </c>
      <c r="B70" s="17"/>
      <c r="C70" s="48" t="s">
        <v>43</v>
      </c>
      <c r="D70" s="19"/>
      <c r="E70" s="19"/>
      <c r="F70" s="48" t="s">
        <v>1112</v>
      </c>
      <c r="G70" s="16" t="s">
        <v>1108</v>
      </c>
      <c r="H70" s="16"/>
      <c r="I70" s="16" t="s">
        <v>1099</v>
      </c>
      <c r="J70" s="16"/>
      <c r="K70" s="25"/>
      <c r="L70" s="79"/>
      <c r="M70" s="60" t="s">
        <v>773</v>
      </c>
      <c r="N70" s="4"/>
      <c r="O70" s="4" t="s">
        <v>92</v>
      </c>
    </row>
    <row r="71" spans="1:15">
      <c r="A71" s="27" t="s">
        <v>339</v>
      </c>
      <c r="B71" s="2" t="s">
        <v>1</v>
      </c>
      <c r="C71" s="10" t="s">
        <v>30</v>
      </c>
      <c r="D71" s="10" t="s">
        <v>31</v>
      </c>
      <c r="E71" s="10" t="s">
        <v>32</v>
      </c>
      <c r="F71" s="10" t="s">
        <v>115</v>
      </c>
      <c r="G71" s="28" t="s">
        <v>116</v>
      </c>
      <c r="H71" s="28" t="s">
        <v>117</v>
      </c>
      <c r="I71" s="2" t="s">
        <v>1098</v>
      </c>
      <c r="J71" s="2" t="s">
        <v>35</v>
      </c>
      <c r="K71" s="2" t="s">
        <v>36</v>
      </c>
      <c r="L71" s="28" t="s">
        <v>37</v>
      </c>
      <c r="M71" s="10" t="s">
        <v>38</v>
      </c>
      <c r="N71" s="10" t="s">
        <v>39</v>
      </c>
      <c r="O71" s="10" t="s">
        <v>40</v>
      </c>
    </row>
    <row r="72" spans="1:15" ht="25.5" customHeight="1">
      <c r="A72" s="11" t="s">
        <v>890</v>
      </c>
      <c r="B72" s="16" t="s">
        <v>770</v>
      </c>
      <c r="C72" s="19" t="s">
        <v>368</v>
      </c>
      <c r="D72" s="19"/>
      <c r="E72" s="19"/>
      <c r="F72" s="89" t="s">
        <v>891</v>
      </c>
      <c r="G72" s="16" t="s">
        <v>14</v>
      </c>
      <c r="H72" s="16" t="s">
        <v>892</v>
      </c>
      <c r="I72" s="16" t="s">
        <v>1100</v>
      </c>
      <c r="J72" s="16" t="s">
        <v>893</v>
      </c>
      <c r="K72" s="25" t="s">
        <v>894</v>
      </c>
      <c r="L72" s="79"/>
      <c r="M72" s="60" t="s">
        <v>895</v>
      </c>
      <c r="N72" s="4"/>
      <c r="O72" s="4" t="s">
        <v>896</v>
      </c>
    </row>
    <row r="73" spans="1:15" ht="24">
      <c r="A73" s="11" t="s">
        <v>890</v>
      </c>
      <c r="B73" s="16" t="s">
        <v>770</v>
      </c>
      <c r="C73" s="19" t="s">
        <v>365</v>
      </c>
      <c r="D73" s="19"/>
      <c r="E73" s="19"/>
      <c r="F73" s="89" t="s">
        <v>897</v>
      </c>
      <c r="G73" s="16" t="s">
        <v>14</v>
      </c>
      <c r="H73" s="16" t="s">
        <v>892</v>
      </c>
      <c r="I73" s="16" t="s">
        <v>1100</v>
      </c>
      <c r="J73" s="16" t="s">
        <v>893</v>
      </c>
      <c r="K73" s="25" t="s">
        <v>894</v>
      </c>
      <c r="L73" s="79"/>
      <c r="M73" s="60" t="s">
        <v>895</v>
      </c>
      <c r="N73" s="4"/>
      <c r="O73" s="4" t="s">
        <v>896</v>
      </c>
    </row>
    <row r="74" spans="1:15" ht="24">
      <c r="A74" s="11" t="s">
        <v>898</v>
      </c>
      <c r="B74" s="16" t="s">
        <v>190</v>
      </c>
      <c r="C74" s="19" t="s">
        <v>368</v>
      </c>
      <c r="D74" s="19"/>
      <c r="E74" s="19"/>
      <c r="F74" s="16" t="s">
        <v>899</v>
      </c>
      <c r="G74" s="87" t="s">
        <v>900</v>
      </c>
      <c r="H74" s="16" t="s">
        <v>901</v>
      </c>
      <c r="I74" s="16" t="s">
        <v>1099</v>
      </c>
      <c r="J74" s="16"/>
      <c r="K74" s="25" t="s">
        <v>902</v>
      </c>
      <c r="L74" s="79"/>
      <c r="M74" s="60" t="s">
        <v>895</v>
      </c>
      <c r="N74" s="4"/>
      <c r="O74" s="4" t="s">
        <v>113</v>
      </c>
    </row>
    <row r="75" spans="1:15">
      <c r="A75" s="11" t="s">
        <v>898</v>
      </c>
      <c r="B75" s="16" t="s">
        <v>190</v>
      </c>
      <c r="C75" s="19" t="s">
        <v>365</v>
      </c>
      <c r="D75" s="19"/>
      <c r="E75" s="19"/>
      <c r="F75" s="90">
        <v>120</v>
      </c>
      <c r="G75" s="48" t="s">
        <v>95</v>
      </c>
      <c r="H75" s="16" t="s">
        <v>903</v>
      </c>
      <c r="I75" s="16" t="s">
        <v>1099</v>
      </c>
      <c r="J75" s="16"/>
      <c r="K75" s="4"/>
      <c r="L75" s="53"/>
      <c r="M75" s="60" t="s">
        <v>895</v>
      </c>
      <c r="N75" s="4"/>
      <c r="O75" s="4" t="s">
        <v>113</v>
      </c>
    </row>
    <row r="76" spans="1:15">
      <c r="A76" s="11" t="s">
        <v>904</v>
      </c>
      <c r="B76" s="16" t="s">
        <v>190</v>
      </c>
      <c r="C76" s="19" t="s">
        <v>368</v>
      </c>
      <c r="D76" s="19"/>
      <c r="E76" s="19"/>
      <c r="F76" s="48" t="s">
        <v>905</v>
      </c>
      <c r="G76" s="48" t="s">
        <v>95</v>
      </c>
      <c r="H76" s="16" t="s">
        <v>906</v>
      </c>
      <c r="I76" s="16" t="s">
        <v>1099</v>
      </c>
      <c r="J76" s="16"/>
      <c r="K76" s="16"/>
      <c r="L76" s="79"/>
      <c r="M76" s="60" t="s">
        <v>895</v>
      </c>
      <c r="N76" s="4"/>
      <c r="O76" s="4" t="s">
        <v>92</v>
      </c>
    </row>
    <row r="77" spans="1:15" ht="30" customHeight="1">
      <c r="A77" s="11" t="s">
        <v>904</v>
      </c>
      <c r="B77" s="16" t="s">
        <v>190</v>
      </c>
      <c r="C77" s="19" t="s">
        <v>365</v>
      </c>
      <c r="D77" s="19"/>
      <c r="E77" s="19"/>
      <c r="F77" s="16" t="s">
        <v>907</v>
      </c>
      <c r="G77" s="87" t="s">
        <v>900</v>
      </c>
      <c r="H77" s="16" t="s">
        <v>901</v>
      </c>
      <c r="I77" s="16" t="s">
        <v>1099</v>
      </c>
      <c r="J77" s="16"/>
      <c r="K77" s="25" t="s">
        <v>908</v>
      </c>
      <c r="L77" s="79"/>
      <c r="M77" s="60" t="s">
        <v>895</v>
      </c>
      <c r="N77" s="4"/>
      <c r="O77" s="4" t="s">
        <v>92</v>
      </c>
    </row>
    <row r="78" spans="1:15" ht="24">
      <c r="A78" s="11" t="s">
        <v>909</v>
      </c>
      <c r="B78" s="16" t="s">
        <v>770</v>
      </c>
      <c r="C78" s="19" t="s">
        <v>368</v>
      </c>
      <c r="D78" s="19"/>
      <c r="E78" s="19"/>
      <c r="F78" s="48">
        <v>1028.2</v>
      </c>
      <c r="G78" s="16" t="s">
        <v>14</v>
      </c>
      <c r="H78" s="16" t="s">
        <v>881</v>
      </c>
      <c r="I78" s="16" t="s">
        <v>1100</v>
      </c>
      <c r="J78" s="16" t="s">
        <v>893</v>
      </c>
      <c r="K78" s="25" t="s">
        <v>910</v>
      </c>
      <c r="L78" s="53"/>
      <c r="M78" s="60" t="s">
        <v>895</v>
      </c>
      <c r="N78" s="4"/>
      <c r="O78" s="4" t="s">
        <v>896</v>
      </c>
    </row>
    <row r="79" spans="1:15" ht="24">
      <c r="A79" s="11" t="s">
        <v>909</v>
      </c>
      <c r="B79" s="16" t="s">
        <v>770</v>
      </c>
      <c r="C79" s="19" t="s">
        <v>365</v>
      </c>
      <c r="D79" s="19"/>
      <c r="E79" s="19"/>
      <c r="F79" s="48">
        <v>1025.7</v>
      </c>
      <c r="G79" s="16" t="s">
        <v>14</v>
      </c>
      <c r="H79" s="16" t="s">
        <v>881</v>
      </c>
      <c r="I79" s="16" t="s">
        <v>1100</v>
      </c>
      <c r="J79" s="16" t="s">
        <v>893</v>
      </c>
      <c r="K79" s="25" t="s">
        <v>910</v>
      </c>
      <c r="L79" s="53"/>
      <c r="M79" s="60" t="s">
        <v>895</v>
      </c>
      <c r="N79" s="4"/>
      <c r="O79" s="4" t="s">
        <v>896</v>
      </c>
    </row>
    <row r="80" spans="1:15" ht="24">
      <c r="A80" s="11" t="s">
        <v>911</v>
      </c>
      <c r="B80" s="16" t="s">
        <v>770</v>
      </c>
      <c r="C80" s="19" t="s">
        <v>368</v>
      </c>
      <c r="D80" s="19"/>
      <c r="E80" s="19"/>
      <c r="F80" s="48">
        <v>1028.2</v>
      </c>
      <c r="G80" s="16" t="s">
        <v>14</v>
      </c>
      <c r="H80" s="16" t="s">
        <v>881</v>
      </c>
      <c r="I80" s="16" t="s">
        <v>1100</v>
      </c>
      <c r="J80" s="16" t="s">
        <v>893</v>
      </c>
      <c r="K80" s="25" t="s">
        <v>910</v>
      </c>
      <c r="L80" s="53"/>
      <c r="M80" s="60" t="s">
        <v>895</v>
      </c>
      <c r="N80" s="4"/>
      <c r="O80" s="4" t="s">
        <v>896</v>
      </c>
    </row>
    <row r="81" spans="1:15" ht="24">
      <c r="A81" s="11" t="s">
        <v>911</v>
      </c>
      <c r="B81" s="16" t="s">
        <v>770</v>
      </c>
      <c r="C81" s="19" t="s">
        <v>365</v>
      </c>
      <c r="D81" s="19"/>
      <c r="E81" s="19"/>
      <c r="F81" s="48">
        <v>1025.7</v>
      </c>
      <c r="G81" s="16" t="s">
        <v>14</v>
      </c>
      <c r="H81" s="16" t="s">
        <v>881</v>
      </c>
      <c r="I81" s="16" t="s">
        <v>1100</v>
      </c>
      <c r="J81" s="16" t="s">
        <v>893</v>
      </c>
      <c r="K81" s="25" t="s">
        <v>910</v>
      </c>
      <c r="L81" s="53"/>
      <c r="M81" s="60" t="s">
        <v>895</v>
      </c>
      <c r="N81" s="4"/>
      <c r="O81" s="4" t="s">
        <v>896</v>
      </c>
    </row>
    <row r="82" spans="1:15">
      <c r="A82" s="11" t="s">
        <v>912</v>
      </c>
      <c r="B82" s="17" t="s">
        <v>852</v>
      </c>
      <c r="C82" s="48" t="s">
        <v>913</v>
      </c>
      <c r="D82" s="48"/>
      <c r="E82" s="48"/>
      <c r="F82" s="91">
        <v>0.03</v>
      </c>
      <c r="G82" s="48" t="s">
        <v>95</v>
      </c>
      <c r="H82" s="8" t="s">
        <v>807</v>
      </c>
      <c r="I82" s="16" t="s">
        <v>1099</v>
      </c>
      <c r="J82" s="16"/>
      <c r="K82" s="4" t="s">
        <v>914</v>
      </c>
      <c r="L82" s="92"/>
      <c r="M82" s="60" t="s">
        <v>895</v>
      </c>
      <c r="N82" s="4"/>
      <c r="O82" s="4" t="s">
        <v>778</v>
      </c>
    </row>
    <row r="83" spans="1:15">
      <c r="A83" s="11" t="s">
        <v>912</v>
      </c>
      <c r="B83" s="17" t="s">
        <v>852</v>
      </c>
      <c r="C83" s="48" t="s">
        <v>915</v>
      </c>
      <c r="D83" s="48"/>
      <c r="E83" s="48"/>
      <c r="F83" s="4">
        <v>3.6999999999999998E-2</v>
      </c>
      <c r="G83" s="48" t="s">
        <v>95</v>
      </c>
      <c r="H83" s="8" t="s">
        <v>807</v>
      </c>
      <c r="I83" s="16" t="s">
        <v>1099</v>
      </c>
      <c r="J83" s="16"/>
      <c r="K83" s="4" t="s">
        <v>916</v>
      </c>
      <c r="L83" s="92"/>
      <c r="M83" s="60" t="s">
        <v>895</v>
      </c>
      <c r="N83" s="4"/>
      <c r="O83" s="4" t="s">
        <v>778</v>
      </c>
    </row>
    <row r="84" spans="1:15" ht="24">
      <c r="A84" s="11" t="s">
        <v>917</v>
      </c>
      <c r="B84" s="16" t="s">
        <v>770</v>
      </c>
      <c r="C84" s="19" t="s">
        <v>368</v>
      </c>
      <c r="D84" s="19"/>
      <c r="E84" s="19"/>
      <c r="F84" s="16" t="s">
        <v>918</v>
      </c>
      <c r="G84" s="16" t="s">
        <v>919</v>
      </c>
      <c r="H84" s="16" t="s">
        <v>920</v>
      </c>
      <c r="I84" s="16" t="s">
        <v>1100</v>
      </c>
      <c r="J84" s="16" t="s">
        <v>893</v>
      </c>
      <c r="K84" s="25" t="s">
        <v>921</v>
      </c>
      <c r="L84" s="79"/>
      <c r="M84" s="60" t="s">
        <v>895</v>
      </c>
      <c r="N84" s="4"/>
      <c r="O84" s="4" t="s">
        <v>896</v>
      </c>
    </row>
    <row r="85" spans="1:15" ht="24">
      <c r="A85" s="11" t="s">
        <v>917</v>
      </c>
      <c r="B85" s="16" t="s">
        <v>770</v>
      </c>
      <c r="C85" s="19" t="s">
        <v>365</v>
      </c>
      <c r="D85" s="19"/>
      <c r="E85" s="19"/>
      <c r="F85" s="16" t="s">
        <v>922</v>
      </c>
      <c r="G85" s="16" t="s">
        <v>919</v>
      </c>
      <c r="H85" s="16" t="s">
        <v>920</v>
      </c>
      <c r="I85" s="16" t="s">
        <v>1100</v>
      </c>
      <c r="J85" s="16" t="s">
        <v>893</v>
      </c>
      <c r="K85" s="25" t="s">
        <v>921</v>
      </c>
      <c r="L85" s="79"/>
      <c r="M85" s="60" t="s">
        <v>895</v>
      </c>
      <c r="N85" s="4"/>
      <c r="O85" s="4" t="s">
        <v>896</v>
      </c>
    </row>
    <row r="86" spans="1:15" ht="24">
      <c r="A86" s="11" t="s">
        <v>923</v>
      </c>
      <c r="B86" s="16" t="s">
        <v>770</v>
      </c>
      <c r="C86" s="19" t="s">
        <v>368</v>
      </c>
      <c r="D86" s="19"/>
      <c r="E86" s="19"/>
      <c r="F86" s="16" t="s">
        <v>918</v>
      </c>
      <c r="G86" s="16" t="s">
        <v>919</v>
      </c>
      <c r="H86" s="16" t="s">
        <v>920</v>
      </c>
      <c r="I86" s="16" t="s">
        <v>1100</v>
      </c>
      <c r="J86" s="16" t="s">
        <v>893</v>
      </c>
      <c r="K86" s="25" t="s">
        <v>924</v>
      </c>
      <c r="L86" s="79"/>
      <c r="M86" s="60" t="s">
        <v>895</v>
      </c>
      <c r="N86" s="4"/>
      <c r="O86" s="4" t="s">
        <v>896</v>
      </c>
    </row>
    <row r="87" spans="1:15" ht="24">
      <c r="A87" s="11" t="s">
        <v>923</v>
      </c>
      <c r="B87" s="16" t="s">
        <v>770</v>
      </c>
      <c r="C87" s="19" t="s">
        <v>365</v>
      </c>
      <c r="D87" s="19"/>
      <c r="E87" s="19"/>
      <c r="F87" s="16" t="s">
        <v>922</v>
      </c>
      <c r="G87" s="16" t="s">
        <v>919</v>
      </c>
      <c r="H87" s="16" t="s">
        <v>920</v>
      </c>
      <c r="I87" s="16" t="s">
        <v>1100</v>
      </c>
      <c r="J87" s="16" t="s">
        <v>893</v>
      </c>
      <c r="K87" s="25" t="s">
        <v>924</v>
      </c>
      <c r="L87" s="79"/>
      <c r="M87" s="60" t="s">
        <v>895</v>
      </c>
      <c r="N87" s="4"/>
      <c r="O87" s="4" t="s">
        <v>896</v>
      </c>
    </row>
    <row r="88" spans="1:15" ht="24">
      <c r="A88" s="11" t="s">
        <v>925</v>
      </c>
      <c r="B88" s="17" t="s">
        <v>852</v>
      </c>
      <c r="C88" s="48" t="s">
        <v>913</v>
      </c>
      <c r="D88" s="48"/>
      <c r="E88" s="48"/>
      <c r="F88" s="4">
        <v>1.26E-2</v>
      </c>
      <c r="G88" s="48" t="s">
        <v>95</v>
      </c>
      <c r="H88" s="8" t="s">
        <v>807</v>
      </c>
      <c r="I88" s="16" t="s">
        <v>1099</v>
      </c>
      <c r="J88" s="16"/>
      <c r="K88" s="16" t="s">
        <v>926</v>
      </c>
      <c r="L88" s="79"/>
      <c r="M88" s="60" t="s">
        <v>895</v>
      </c>
      <c r="N88" s="4"/>
      <c r="O88" s="4" t="s">
        <v>92</v>
      </c>
    </row>
    <row r="89" spans="1:15" ht="24">
      <c r="A89" s="11" t="s">
        <v>925</v>
      </c>
      <c r="B89" s="17" t="s">
        <v>852</v>
      </c>
      <c r="C89" s="48" t="s">
        <v>915</v>
      </c>
      <c r="D89" s="48"/>
      <c r="E89" s="48"/>
      <c r="F89" s="4">
        <v>1.5800000000000002E-2</v>
      </c>
      <c r="G89" s="48" t="s">
        <v>95</v>
      </c>
      <c r="H89" s="8" t="s">
        <v>807</v>
      </c>
      <c r="I89" s="16" t="s">
        <v>1099</v>
      </c>
      <c r="J89" s="16"/>
      <c r="K89" s="16" t="s">
        <v>927</v>
      </c>
      <c r="L89" s="79"/>
      <c r="M89" s="60" t="s">
        <v>895</v>
      </c>
      <c r="N89" s="4"/>
      <c r="O89" s="4" t="s">
        <v>92</v>
      </c>
    </row>
    <row r="90" spans="1:15" ht="24">
      <c r="A90" s="11" t="s">
        <v>928</v>
      </c>
      <c r="B90" s="16" t="s">
        <v>770</v>
      </c>
      <c r="C90" s="19" t="s">
        <v>368</v>
      </c>
      <c r="D90" s="19"/>
      <c r="E90" s="19"/>
      <c r="F90" s="16" t="s">
        <v>918</v>
      </c>
      <c r="G90" s="16" t="s">
        <v>919</v>
      </c>
      <c r="H90" s="16" t="s">
        <v>920</v>
      </c>
      <c r="I90" s="16" t="s">
        <v>1100</v>
      </c>
      <c r="J90" s="16" t="s">
        <v>893</v>
      </c>
      <c r="K90" s="25"/>
      <c r="L90" s="79"/>
      <c r="M90" s="60" t="s">
        <v>895</v>
      </c>
      <c r="N90" s="4"/>
      <c r="O90" s="4" t="s">
        <v>896</v>
      </c>
    </row>
    <row r="91" spans="1:15" ht="24">
      <c r="A91" s="11" t="s">
        <v>928</v>
      </c>
      <c r="B91" s="16" t="s">
        <v>770</v>
      </c>
      <c r="C91" s="19" t="s">
        <v>365</v>
      </c>
      <c r="D91" s="19"/>
      <c r="E91" s="19"/>
      <c r="F91" s="16" t="s">
        <v>922</v>
      </c>
      <c r="G91" s="16" t="s">
        <v>919</v>
      </c>
      <c r="H91" s="16" t="s">
        <v>920</v>
      </c>
      <c r="I91" s="16" t="s">
        <v>1100</v>
      </c>
      <c r="J91" s="16" t="s">
        <v>893</v>
      </c>
      <c r="K91" s="25"/>
      <c r="L91" s="79"/>
      <c r="M91" s="60" t="s">
        <v>895</v>
      </c>
      <c r="N91" s="4"/>
      <c r="O91" s="4" t="s">
        <v>896</v>
      </c>
    </row>
    <row r="92" spans="1:15" ht="36">
      <c r="A92" s="11" t="s">
        <v>929</v>
      </c>
      <c r="B92" s="16" t="s">
        <v>190</v>
      </c>
      <c r="C92" s="48" t="s">
        <v>43</v>
      </c>
      <c r="D92" s="48"/>
      <c r="E92" s="48"/>
      <c r="F92" s="93" t="s">
        <v>930</v>
      </c>
      <c r="G92" s="87" t="s">
        <v>931</v>
      </c>
      <c r="H92" s="16" t="s">
        <v>932</v>
      </c>
      <c r="I92" s="16" t="s">
        <v>1099</v>
      </c>
      <c r="J92" s="16"/>
      <c r="K92" s="25"/>
      <c r="L92" s="79"/>
      <c r="M92" s="60" t="s">
        <v>895</v>
      </c>
      <c r="N92" s="4"/>
      <c r="O92" s="4" t="s">
        <v>113</v>
      </c>
    </row>
    <row r="93" spans="1:15" ht="39" customHeight="1">
      <c r="A93" s="11" t="s">
        <v>933</v>
      </c>
      <c r="B93" s="16" t="s">
        <v>190</v>
      </c>
      <c r="C93" s="48" t="s">
        <v>43</v>
      </c>
      <c r="D93" s="48"/>
      <c r="E93" s="48"/>
      <c r="F93" s="16" t="s">
        <v>934</v>
      </c>
      <c r="G93" s="87" t="s">
        <v>935</v>
      </c>
      <c r="H93" s="16" t="s">
        <v>936</v>
      </c>
      <c r="I93" s="16" t="s">
        <v>1099</v>
      </c>
      <c r="J93" s="16"/>
      <c r="K93"/>
      <c r="L93" s="79"/>
      <c r="M93" s="60" t="s">
        <v>895</v>
      </c>
      <c r="N93" s="4"/>
      <c r="O93" s="4" t="s">
        <v>92</v>
      </c>
    </row>
    <row r="94" spans="1:15" ht="24">
      <c r="A94" s="11" t="s">
        <v>937</v>
      </c>
      <c r="B94" s="17" t="s">
        <v>852</v>
      </c>
      <c r="C94" s="48" t="s">
        <v>913</v>
      </c>
      <c r="D94" s="48"/>
      <c r="E94" s="48"/>
      <c r="F94" s="4">
        <v>1.54E-2</v>
      </c>
      <c r="G94" s="48" t="s">
        <v>95</v>
      </c>
      <c r="H94" s="8" t="s">
        <v>807</v>
      </c>
      <c r="I94" s="16" t="s">
        <v>1099</v>
      </c>
      <c r="J94" s="16"/>
      <c r="K94" s="16" t="s">
        <v>926</v>
      </c>
      <c r="L94" s="79"/>
      <c r="M94" s="60" t="s">
        <v>895</v>
      </c>
      <c r="N94" s="4"/>
      <c r="O94" s="4" t="s">
        <v>92</v>
      </c>
    </row>
    <row r="95" spans="1:15" ht="24">
      <c r="A95" s="11" t="s">
        <v>937</v>
      </c>
      <c r="B95" s="17" t="s">
        <v>852</v>
      </c>
      <c r="C95" s="48" t="s">
        <v>915</v>
      </c>
      <c r="D95" s="48"/>
      <c r="E95" s="48"/>
      <c r="F95" s="4">
        <v>1.9300000000000001E-2</v>
      </c>
      <c r="G95" s="48" t="s">
        <v>95</v>
      </c>
      <c r="H95" s="8" t="s">
        <v>807</v>
      </c>
      <c r="I95" s="16" t="s">
        <v>1099</v>
      </c>
      <c r="J95" s="16"/>
      <c r="K95" s="16" t="s">
        <v>927</v>
      </c>
      <c r="L95" s="79"/>
      <c r="M95" s="60" t="s">
        <v>895</v>
      </c>
      <c r="N95" s="4"/>
      <c r="O95" s="4" t="s">
        <v>92</v>
      </c>
    </row>
    <row r="96" spans="1:15" ht="24">
      <c r="A96" s="11" t="s">
        <v>938</v>
      </c>
      <c r="B96" s="16" t="s">
        <v>770</v>
      </c>
      <c r="C96" s="19" t="s">
        <v>368</v>
      </c>
      <c r="D96" s="19"/>
      <c r="E96" s="19"/>
      <c r="F96" s="16" t="s">
        <v>918</v>
      </c>
      <c r="G96" s="16" t="s">
        <v>919</v>
      </c>
      <c r="H96" s="16" t="s">
        <v>920</v>
      </c>
      <c r="I96" s="16" t="s">
        <v>1100</v>
      </c>
      <c r="J96" s="16" t="s">
        <v>893</v>
      </c>
      <c r="K96" s="25"/>
      <c r="L96" s="79"/>
      <c r="M96" s="60" t="s">
        <v>895</v>
      </c>
      <c r="N96" s="4"/>
      <c r="O96" s="4" t="s">
        <v>896</v>
      </c>
    </row>
    <row r="97" spans="1:15" ht="24">
      <c r="A97" s="11" t="s">
        <v>938</v>
      </c>
      <c r="B97" s="16" t="s">
        <v>770</v>
      </c>
      <c r="C97" s="19" t="s">
        <v>365</v>
      </c>
      <c r="D97" s="19"/>
      <c r="E97" s="19"/>
      <c r="F97" s="16" t="s">
        <v>922</v>
      </c>
      <c r="G97" s="16" t="s">
        <v>919</v>
      </c>
      <c r="H97" s="16" t="s">
        <v>920</v>
      </c>
      <c r="I97" s="16" t="s">
        <v>1100</v>
      </c>
      <c r="J97" s="16" t="s">
        <v>893</v>
      </c>
      <c r="K97" s="25"/>
      <c r="L97" s="79"/>
      <c r="M97" s="60" t="s">
        <v>895</v>
      </c>
      <c r="N97" s="4"/>
      <c r="O97" s="4" t="s">
        <v>896</v>
      </c>
    </row>
    <row r="98" spans="1:15" ht="36">
      <c r="A98" s="11" t="s">
        <v>939</v>
      </c>
      <c r="B98" s="16" t="s">
        <v>190</v>
      </c>
      <c r="C98" s="48" t="s">
        <v>43</v>
      </c>
      <c r="D98" s="48"/>
      <c r="E98" s="48"/>
      <c r="F98" s="93" t="s">
        <v>930</v>
      </c>
      <c r="G98" s="87" t="s">
        <v>931</v>
      </c>
      <c r="H98" s="16" t="s">
        <v>932</v>
      </c>
      <c r="I98" s="16" t="s">
        <v>1099</v>
      </c>
      <c r="J98" s="16"/>
      <c r="K98" s="25"/>
      <c r="L98" s="79"/>
      <c r="M98" s="60" t="s">
        <v>895</v>
      </c>
      <c r="N98" s="4"/>
      <c r="O98" s="4" t="s">
        <v>113</v>
      </c>
    </row>
    <row r="99" spans="1:15" ht="36.75" customHeight="1">
      <c r="A99" s="11" t="s">
        <v>940</v>
      </c>
      <c r="B99" s="16" t="s">
        <v>190</v>
      </c>
      <c r="C99" s="48" t="s">
        <v>43</v>
      </c>
      <c r="D99" s="48"/>
      <c r="E99" s="48"/>
      <c r="F99" s="16" t="s">
        <v>934</v>
      </c>
      <c r="G99" s="87" t="s">
        <v>935</v>
      </c>
      <c r="H99" s="16" t="s">
        <v>936</v>
      </c>
      <c r="I99" s="16" t="s">
        <v>1099</v>
      </c>
      <c r="J99" s="16"/>
      <c r="K99" s="25"/>
      <c r="L99" s="79"/>
      <c r="M99" s="60" t="s">
        <v>895</v>
      </c>
      <c r="N99" s="4"/>
      <c r="O99" s="4" t="s">
        <v>92</v>
      </c>
    </row>
    <row r="100" spans="1:15">
      <c r="A100" s="11" t="s">
        <v>941</v>
      </c>
      <c r="B100" s="17" t="s">
        <v>852</v>
      </c>
      <c r="C100" s="48" t="s">
        <v>780</v>
      </c>
      <c r="D100" s="48"/>
      <c r="E100" s="48"/>
      <c r="F100" s="94">
        <v>8.9999999999999998E-4</v>
      </c>
      <c r="G100" s="48" t="s">
        <v>95</v>
      </c>
      <c r="H100" s="8" t="s">
        <v>807</v>
      </c>
      <c r="I100" s="16" t="s">
        <v>1099</v>
      </c>
      <c r="J100" s="16"/>
      <c r="K100" s="16" t="s">
        <v>942</v>
      </c>
      <c r="L100" s="79"/>
      <c r="M100" s="60" t="s">
        <v>895</v>
      </c>
      <c r="N100" s="4"/>
      <c r="O100" s="4" t="s">
        <v>778</v>
      </c>
    </row>
    <row r="101" spans="1:15">
      <c r="A101" s="11" t="s">
        <v>943</v>
      </c>
      <c r="B101" s="16" t="s">
        <v>190</v>
      </c>
      <c r="C101" s="19" t="s">
        <v>43</v>
      </c>
      <c r="D101" s="19"/>
      <c r="E101" s="19"/>
      <c r="F101" s="16" t="s">
        <v>944</v>
      </c>
      <c r="G101" s="87" t="s">
        <v>95</v>
      </c>
      <c r="H101" s="16" t="s">
        <v>945</v>
      </c>
      <c r="I101" s="16" t="s">
        <v>1099</v>
      </c>
      <c r="J101" s="16"/>
      <c r="K101" s="25" t="s">
        <v>946</v>
      </c>
      <c r="L101" s="79"/>
      <c r="M101" s="60" t="s">
        <v>895</v>
      </c>
      <c r="N101" s="4"/>
      <c r="O101" s="4" t="s">
        <v>113</v>
      </c>
    </row>
    <row r="102" spans="1:15">
      <c r="A102" s="11" t="s">
        <v>947</v>
      </c>
      <c r="B102" s="16" t="s">
        <v>190</v>
      </c>
      <c r="C102" s="19" t="s">
        <v>43</v>
      </c>
      <c r="D102" s="19"/>
      <c r="E102" s="19"/>
      <c r="F102" s="48" t="s">
        <v>948</v>
      </c>
      <c r="G102" s="48" t="s">
        <v>95</v>
      </c>
      <c r="H102" s="16" t="s">
        <v>945</v>
      </c>
      <c r="I102" s="16" t="s">
        <v>1099</v>
      </c>
      <c r="J102" s="16"/>
      <c r="K102" s="25" t="s">
        <v>946</v>
      </c>
      <c r="L102" s="79"/>
      <c r="M102" s="60" t="s">
        <v>895</v>
      </c>
      <c r="N102" s="4"/>
      <c r="O102" s="4" t="s">
        <v>92</v>
      </c>
    </row>
    <row r="103" spans="1:15">
      <c r="A103" s="11" t="s">
        <v>949</v>
      </c>
      <c r="B103" s="17" t="s">
        <v>852</v>
      </c>
      <c r="C103" s="48" t="s">
        <v>780</v>
      </c>
      <c r="D103" s="48"/>
      <c r="E103" s="48"/>
      <c r="F103" s="82">
        <v>1.1000000000000001E-3</v>
      </c>
      <c r="G103" s="48" t="s">
        <v>95</v>
      </c>
      <c r="H103" s="8" t="s">
        <v>807</v>
      </c>
      <c r="I103" s="16" t="s">
        <v>1099</v>
      </c>
      <c r="J103" s="16"/>
      <c r="K103" s="16" t="s">
        <v>950</v>
      </c>
      <c r="L103" s="79"/>
      <c r="M103" s="60" t="s">
        <v>895</v>
      </c>
      <c r="N103" s="4"/>
      <c r="O103" s="4" t="s">
        <v>778</v>
      </c>
    </row>
    <row r="104" spans="1:15">
      <c r="A104" s="11" t="s">
        <v>951</v>
      </c>
      <c r="B104" s="16" t="s">
        <v>190</v>
      </c>
      <c r="C104" s="19" t="s">
        <v>43</v>
      </c>
      <c r="D104" s="19"/>
      <c r="E104" s="19"/>
      <c r="F104" s="16" t="s">
        <v>944</v>
      </c>
      <c r="G104" s="87" t="s">
        <v>95</v>
      </c>
      <c r="H104" s="16" t="s">
        <v>945</v>
      </c>
      <c r="I104" s="16" t="s">
        <v>1099</v>
      </c>
      <c r="J104" s="16"/>
      <c r="K104" s="25" t="s">
        <v>946</v>
      </c>
      <c r="L104" s="79"/>
      <c r="M104" s="60" t="s">
        <v>895</v>
      </c>
      <c r="N104" s="4"/>
      <c r="O104" s="4" t="s">
        <v>113</v>
      </c>
    </row>
    <row r="105" spans="1:15" ht="14.25" customHeight="1">
      <c r="A105" s="11" t="s">
        <v>952</v>
      </c>
      <c r="B105" s="16" t="s">
        <v>190</v>
      </c>
      <c r="C105" s="19" t="s">
        <v>43</v>
      </c>
      <c r="D105" s="19"/>
      <c r="E105" s="19"/>
      <c r="F105" s="48" t="s">
        <v>948</v>
      </c>
      <c r="G105" s="48" t="s">
        <v>95</v>
      </c>
      <c r="H105" s="16" t="s">
        <v>945</v>
      </c>
      <c r="I105" s="16" t="s">
        <v>1099</v>
      </c>
      <c r="J105" s="16"/>
      <c r="K105" s="25" t="s">
        <v>946</v>
      </c>
      <c r="L105" s="79"/>
      <c r="M105" s="60" t="s">
        <v>895</v>
      </c>
      <c r="N105" s="4"/>
      <c r="O105" s="4" t="s">
        <v>92</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96</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Patient</vt: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Jeff Webb</cp:lastModifiedBy>
  <cp:revision>26</cp:revision>
  <dcterms:created xsi:type="dcterms:W3CDTF">2014-01-03T14:43:46Z</dcterms:created>
  <dcterms:modified xsi:type="dcterms:W3CDTF">2022-12-29T19:14:12Z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