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8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9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10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1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2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Ex13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14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15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charts/chart2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Ex16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charts/chart2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Ex17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charts/chart2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2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Ex18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drawings/drawing11.xml" ContentType="application/vnd.openxmlformats-officedocument.drawing+xml"/>
  <Override PartName="/xl/charts/chartEx19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Ex20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21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2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2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3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32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33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34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35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14.xml" ContentType="application/vnd.openxmlformats-officedocument.drawing+xml"/>
  <Override PartName="/xl/charts/chart36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37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38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39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40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42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43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44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45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46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8763_uni_au_dk/Documents/BV/uni/Thesis/Unity/FirstSim/First UAV Simulation/Assets/"/>
    </mc:Choice>
  </mc:AlternateContent>
  <xr:revisionPtr revIDLastSave="1095" documentId="13_ncr:1_{E7760A13-128F-4288-92D8-49A91CCBD86C}" xr6:coauthVersionLast="47" xr6:coauthVersionMax="47" xr10:uidLastSave="{86C2ACDA-7523-47C9-BC0F-04C8781A13D6}"/>
  <bookViews>
    <workbookView xWindow="-110" yWindow="-110" windowWidth="25820" windowHeight="13900" tabRatio="765" activeTab="3" xr2:uid="{C04BE9F2-53DB-43AD-9FD0-613DF4DDD30F}"/>
  </bookViews>
  <sheets>
    <sheet name="S0PRP3" sheetId="16" r:id="rId1"/>
    <sheet name="S0PRP2" sheetId="15" r:id="rId2"/>
    <sheet name="S0PRP1" sheetId="3" r:id="rId3"/>
    <sheet name="S1PRP1" sheetId="4" r:id="rId4"/>
    <sheet name="S1PRP2" sheetId="5" r:id="rId5"/>
    <sheet name="S1PRP3" sheetId="7" r:id="rId6"/>
    <sheet name="Mass Influence" sheetId="13" r:id="rId7"/>
    <sheet name="S2PRP1" sheetId="8" r:id="rId8"/>
    <sheet name="S2PRP2" sheetId="9" r:id="rId9"/>
    <sheet name="S2PRP3" sheetId="10" r:id="rId10"/>
    <sheet name="Ark1" sheetId="14" r:id="rId11"/>
    <sheet name="Overall" sheetId="19" r:id="rId12"/>
    <sheet name="Scenario0" sheetId="18" r:id="rId13"/>
    <sheet name="Scenario1" sheetId="1" r:id="rId14"/>
    <sheet name="Scenario2" sheetId="11" r:id="rId15"/>
  </sheets>
  <definedNames>
    <definedName name="_xlchart.v1.0" hidden="1">S0PRP3!$A$2:$A$50</definedName>
    <definedName name="_xlchart.v1.1" hidden="1">S0PRP3!$C$2:$C$50</definedName>
    <definedName name="_xlchart.v1.10" hidden="1">S1PRP2!$C$1</definedName>
    <definedName name="_xlchart.v1.11" hidden="1">S1PRP2!$C$2:$C$40</definedName>
    <definedName name="_xlchart.v1.12" hidden="1">S1PRP2!$A$2:$A$40</definedName>
    <definedName name="_xlchart.v1.13" hidden="1">S1PRP2!$H$2:$H$41</definedName>
    <definedName name="_xlchart.v1.14" hidden="1">S1PRP3!$A$2:$A$41</definedName>
    <definedName name="_xlchart.v1.15" hidden="1">S1PRP3!$H$2:$H$41</definedName>
    <definedName name="_xlchart.v1.16" hidden="1">S1PRP3!$C$1</definedName>
    <definedName name="_xlchart.v1.17" hidden="1">S1PRP3!$C$2:$C$41</definedName>
    <definedName name="_xlchart.v1.18" hidden="1">S2PRP1!$C$2:$C$51</definedName>
    <definedName name="_xlchart.v1.19" hidden="1">S2PRP2!$C$2:$C$50</definedName>
    <definedName name="_xlchart.v1.2" hidden="1">S0PRP2!$C$2:$C$50</definedName>
    <definedName name="_xlchart.v1.20" hidden="1">S2PRP3!$C$2:$C$50</definedName>
    <definedName name="_xlchart.v1.21" hidden="1">'Ark1'!$C$2:$C$50</definedName>
    <definedName name="_xlchart.v1.22" hidden="1">'Ark1'!$B$2:$B$51</definedName>
    <definedName name="_xlchart.v1.23" hidden="1">'Ark1'!$D$2:$D$50</definedName>
    <definedName name="_xlchart.v1.3" hidden="1">S0PRP2!$A$2:$A$50</definedName>
    <definedName name="_xlchart.v1.4" hidden="1">S0PRP1!$A$2:$A$51</definedName>
    <definedName name="_xlchart.v1.5" hidden="1">S0PRP1!$C$2:$C$51</definedName>
    <definedName name="_xlchart.v1.6" hidden="1">S1PRP1!$H$2:$H$104</definedName>
    <definedName name="_xlchart.v1.7" hidden="1">S1PRP1!$A$1</definedName>
    <definedName name="_xlchart.v1.8" hidden="1">S1PRP1!$A$2:$A$104</definedName>
    <definedName name="_xlchart.v1.9" hidden="1">S1PRP1!$C$2:$C$104</definedName>
    <definedName name="_xlcn.WorksheetConnection_Results.xlsxS2PRP1Time1" hidden="1">S2PRP1[Time]</definedName>
    <definedName name="Area">Scenario1!$Q$2</definedName>
    <definedName name="Density">Scenario1!$Q$3</definedName>
    <definedName name="Drag_Constant">Scenario1!$Q$4</definedName>
    <definedName name="EksterneData_1" localSheetId="2" hidden="1">S0PRP1!$A$1:$D$51</definedName>
    <definedName name="EksterneData_1" localSheetId="1" hidden="1">S0PRP2!$A$1:$D$50</definedName>
    <definedName name="EksterneData_1" localSheetId="0" hidden="1">S0PRP3!$A$1:$D$50</definedName>
    <definedName name="EksterneData_1" localSheetId="3" hidden="1">S1PRP1!$A$1:$D$104</definedName>
    <definedName name="EksterneData_1" localSheetId="7" hidden="1">S2PRP1!$A$1:$D$51</definedName>
    <definedName name="EksterneData_2" localSheetId="4" hidden="1">S1PRP2!$A$1:$D$40</definedName>
    <definedName name="EksterneData_2" localSheetId="5" hidden="1">S1PRP3!$A$1:$D$41</definedName>
    <definedName name="EksterneData_2" localSheetId="8" hidden="1">S2PRP2!$A$1:$D$50</definedName>
    <definedName name="EksterneData_3" localSheetId="9" hidden="1">S2PRP3!$A$1:$D$50</definedName>
    <definedName name="g">Scenario1!$Q$7</definedName>
    <definedName name="Mass">Scenario1!$Q$6</definedName>
    <definedName name="Radius">Scenario1!$Q$5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2PRP1 Time" name="S2PRP1 Time" connection="WorksheetConnection_Results.xlsx!S2PRP1[Time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9" l="1"/>
  <c r="C4" i="19"/>
  <c r="C5" i="19"/>
  <c r="C6" i="19"/>
  <c r="C7" i="19"/>
  <c r="C8" i="19"/>
  <c r="C9" i="19"/>
  <c r="C10" i="19"/>
  <c r="C11" i="19"/>
  <c r="H27" i="18"/>
  <c r="H34" i="18" s="1"/>
  <c r="M2" i="15"/>
  <c r="M2" i="3"/>
  <c r="D3" i="19" s="1"/>
  <c r="G3" i="18"/>
  <c r="G4" i="18"/>
  <c r="F4" i="18"/>
  <c r="F3" i="18"/>
  <c r="E47" i="18"/>
  <c r="E46" i="18"/>
  <c r="E53" i="18" s="1"/>
  <c r="E45" i="18"/>
  <c r="E44" i="18"/>
  <c r="E43" i="18"/>
  <c r="D47" i="18"/>
  <c r="D46" i="18"/>
  <c r="D45" i="18"/>
  <c r="D52" i="18" s="1"/>
  <c r="D44" i="18"/>
  <c r="D43" i="18"/>
  <c r="C47" i="18"/>
  <c r="C46" i="18"/>
  <c r="C45" i="18"/>
  <c r="C44" i="18"/>
  <c r="C43" i="18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C50" i="18"/>
  <c r="D54" i="18"/>
  <c r="C54" i="18"/>
  <c r="C53" i="18"/>
  <c r="E52" i="18"/>
  <c r="E51" i="18"/>
  <c r="D51" i="18"/>
  <c r="E50" i="18"/>
  <c r="D50" i="18"/>
  <c r="E41" i="1"/>
  <c r="E42" i="1"/>
  <c r="E49" i="1" s="1"/>
  <c r="E43" i="1"/>
  <c r="E50" i="1" s="1"/>
  <c r="E44" i="1"/>
  <c r="E45" i="1"/>
  <c r="E52" i="1" s="1"/>
  <c r="F40" i="11"/>
  <c r="D45" i="1"/>
  <c r="D52" i="1" s="1"/>
  <c r="D44" i="1"/>
  <c r="D51" i="1" s="1"/>
  <c r="D43" i="1"/>
  <c r="D42" i="1"/>
  <c r="D41" i="1"/>
  <c r="D48" i="1" s="1"/>
  <c r="C45" i="1"/>
  <c r="C44" i="1"/>
  <c r="C43" i="1"/>
  <c r="C42" i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E39" i="5"/>
  <c r="F39" i="5" s="1"/>
  <c r="G39" i="5"/>
  <c r="E40" i="5"/>
  <c r="F40" i="5"/>
  <c r="G40" i="5"/>
  <c r="F32" i="5"/>
  <c r="C41" i="1"/>
  <c r="C48" i="1" s="1"/>
  <c r="E48" i="1"/>
  <c r="D44" i="11"/>
  <c r="D43" i="11"/>
  <c r="D42" i="11"/>
  <c r="D41" i="11"/>
  <c r="D49" i="11" s="1"/>
  <c r="E40" i="11"/>
  <c r="F42" i="11"/>
  <c r="F43" i="11"/>
  <c r="F44" i="11"/>
  <c r="F41" i="11"/>
  <c r="E44" i="11"/>
  <c r="E43" i="11"/>
  <c r="E42" i="11"/>
  <c r="E41" i="11"/>
  <c r="E51" i="11"/>
  <c r="D40" i="11"/>
  <c r="F51" i="11"/>
  <c r="E48" i="11"/>
  <c r="E47" i="11"/>
  <c r="D47" i="11"/>
  <c r="M4" i="11"/>
  <c r="M3" i="11"/>
  <c r="M2" i="11"/>
  <c r="D11" i="19"/>
  <c r="D10" i="19"/>
  <c r="D9" i="19"/>
  <c r="D8" i="19"/>
  <c r="D6" i="19"/>
  <c r="B11" i="19"/>
  <c r="B10" i="19"/>
  <c r="B9" i="19"/>
  <c r="N28" i="18"/>
  <c r="N26" i="18"/>
  <c r="N27" i="18" s="1"/>
  <c r="N30" i="18" s="1"/>
  <c r="N25" i="18"/>
  <c r="M28" i="18"/>
  <c r="M26" i="18"/>
  <c r="B4" i="19" s="1"/>
  <c r="M25" i="18"/>
  <c r="L28" i="18"/>
  <c r="L26" i="18"/>
  <c r="B3" i="19" s="1"/>
  <c r="L25" i="18"/>
  <c r="I28" i="18"/>
  <c r="I27" i="18"/>
  <c r="I26" i="18"/>
  <c r="I25" i="18"/>
  <c r="I32" i="18" s="1"/>
  <c r="I29" i="18"/>
  <c r="H29" i="18"/>
  <c r="H28" i="18"/>
  <c r="H26" i="18"/>
  <c r="H25" i="18"/>
  <c r="G29" i="18"/>
  <c r="G28" i="18"/>
  <c r="G27" i="18"/>
  <c r="G34" i="18" s="1"/>
  <c r="G26" i="18"/>
  <c r="G25" i="18"/>
  <c r="L4" i="18"/>
  <c r="L3" i="18"/>
  <c r="L2" i="18"/>
  <c r="G2" i="18"/>
  <c r="F2" i="18"/>
  <c r="C4" i="18"/>
  <c r="D4" i="18"/>
  <c r="E4" i="18"/>
  <c r="C3" i="18"/>
  <c r="D3" i="18"/>
  <c r="E3" i="18"/>
  <c r="E2" i="18"/>
  <c r="D2" i="18"/>
  <c r="C2" i="18"/>
  <c r="B4" i="18"/>
  <c r="B3" i="18"/>
  <c r="B2" i="18"/>
  <c r="L27" i="18"/>
  <c r="H32" i="18"/>
  <c r="G32" i="18"/>
  <c r="E2" i="10"/>
  <c r="E3" i="10"/>
  <c r="E4" i="10"/>
  <c r="E5" i="10"/>
  <c r="E6" i="10"/>
  <c r="E7" i="10"/>
  <c r="E8" i="10"/>
  <c r="E9" i="10"/>
  <c r="E10" i="10"/>
  <c r="F10" i="10" s="1" a="1"/>
  <c r="F10" i="10" s="1"/>
  <c r="H10" i="10" s="1"/>
  <c r="E11" i="10"/>
  <c r="F11" i="10" s="1" a="1"/>
  <c r="F11" i="10" s="1"/>
  <c r="E12" i="10"/>
  <c r="F12" i="10" s="1" a="1"/>
  <c r="F12" i="10" s="1"/>
  <c r="E13" i="10"/>
  <c r="F13" i="10" s="1" a="1"/>
  <c r="F13" i="10" s="1"/>
  <c r="E14" i="10"/>
  <c r="F14" i="10" s="1" a="1"/>
  <c r="F14" i="10" s="1"/>
  <c r="H14" i="10" s="1"/>
  <c r="E15" i="10"/>
  <c r="F15" i="10" s="1" a="1"/>
  <c r="F15" i="10" s="1"/>
  <c r="H15" i="10" s="1"/>
  <c r="E16" i="10"/>
  <c r="F16" i="10" s="1" a="1"/>
  <c r="F16" i="10" s="1"/>
  <c r="H16" i="10" s="1"/>
  <c r="E17" i="10"/>
  <c r="F17" i="10" s="1" a="1"/>
  <c r="F17" i="10" s="1"/>
  <c r="H17" i="10" s="1"/>
  <c r="E18" i="10"/>
  <c r="E19" i="10"/>
  <c r="E20" i="10"/>
  <c r="F20" i="10" s="1" a="1"/>
  <c r="F20" i="10" s="1"/>
  <c r="E21" i="10"/>
  <c r="E22" i="10"/>
  <c r="E23" i="10"/>
  <c r="E24" i="10"/>
  <c r="F24" i="10" s="1" a="1"/>
  <c r="F24" i="10" s="1"/>
  <c r="E25" i="10"/>
  <c r="E26" i="10"/>
  <c r="F26" i="10" s="1" a="1"/>
  <c r="F26" i="10" s="1"/>
  <c r="H26" i="10" s="1"/>
  <c r="E27" i="10"/>
  <c r="F27" i="10" s="1" a="1"/>
  <c r="F27" i="10" s="1"/>
  <c r="E28" i="10"/>
  <c r="F28" i="10" s="1" a="1"/>
  <c r="F28" i="10" s="1"/>
  <c r="E29" i="10"/>
  <c r="F29" i="10" s="1" a="1"/>
  <c r="F29" i="10" s="1"/>
  <c r="E30" i="10"/>
  <c r="F30" i="10" s="1" a="1"/>
  <c r="F30" i="10" s="1"/>
  <c r="H30" i="10" s="1"/>
  <c r="E31" i="10"/>
  <c r="F31" i="10" s="1" a="1"/>
  <c r="F31" i="10" s="1"/>
  <c r="H31" i="10" s="1"/>
  <c r="E32" i="10"/>
  <c r="F32" i="10" s="1" a="1"/>
  <c r="F32" i="10" s="1"/>
  <c r="H32" i="10" s="1"/>
  <c r="E33" i="10"/>
  <c r="F33" i="10" s="1" a="1"/>
  <c r="F33" i="10" s="1"/>
  <c r="H33" i="10" s="1"/>
  <c r="E34" i="10"/>
  <c r="E35" i="10"/>
  <c r="E36" i="10"/>
  <c r="F36" i="10" s="1" a="1"/>
  <c r="F36" i="10" s="1"/>
  <c r="E37" i="10"/>
  <c r="F37" i="10" s="1" a="1"/>
  <c r="F37" i="10" s="1"/>
  <c r="E38" i="10"/>
  <c r="E39" i="10"/>
  <c r="E40" i="10"/>
  <c r="F40" i="10" s="1" a="1"/>
  <c r="F40" i="10" s="1"/>
  <c r="E41" i="10"/>
  <c r="F41" i="10" s="1" a="1"/>
  <c r="F41" i="10" s="1"/>
  <c r="E42" i="10"/>
  <c r="F42" i="10" s="1" a="1"/>
  <c r="F42" i="10" s="1"/>
  <c r="H42" i="10" s="1"/>
  <c r="E43" i="10"/>
  <c r="F43" i="10" s="1" a="1"/>
  <c r="F43" i="10" s="1"/>
  <c r="E44" i="10"/>
  <c r="F44" i="10" s="1" a="1"/>
  <c r="F44" i="10" s="1"/>
  <c r="E45" i="10"/>
  <c r="F45" i="10" s="1" a="1"/>
  <c r="F45" i="10" s="1"/>
  <c r="E46" i="10"/>
  <c r="F46" i="10" s="1" a="1"/>
  <c r="F46" i="10" s="1"/>
  <c r="H46" i="10" s="1"/>
  <c r="E47" i="10"/>
  <c r="F47" i="10" s="1" a="1"/>
  <c r="F47" i="10" s="1"/>
  <c r="H47" i="10" s="1"/>
  <c r="E48" i="10"/>
  <c r="F48" i="10" s="1" a="1"/>
  <c r="F48" i="10" s="1"/>
  <c r="H48" i="10" s="1"/>
  <c r="E49" i="10"/>
  <c r="F49" i="10" s="1" a="1"/>
  <c r="F49" i="10" s="1"/>
  <c r="H49" i="10" s="1"/>
  <c r="E50" i="10"/>
  <c r="F2" i="10" a="1"/>
  <c r="F2" i="10" s="1"/>
  <c r="F3" i="10" a="1"/>
  <c r="F3" i="10" s="1"/>
  <c r="F4" i="10" a="1"/>
  <c r="F4" i="10" s="1"/>
  <c r="F5" i="10" a="1"/>
  <c r="F5" i="10" s="1"/>
  <c r="F6" i="10" a="1"/>
  <c r="F6" i="10" s="1"/>
  <c r="F7" i="10" a="1"/>
  <c r="F7" i="10"/>
  <c r="F8" i="10" a="1"/>
  <c r="F8" i="10" s="1"/>
  <c r="F9" i="10" a="1"/>
  <c r="F9" i="10" s="1"/>
  <c r="F18" i="10" a="1"/>
  <c r="F18" i="10" s="1"/>
  <c r="H18" i="10" s="1"/>
  <c r="F19" i="10" a="1"/>
  <c r="F19" i="10" s="1"/>
  <c r="F21" i="10" a="1"/>
  <c r="F21" i="10" s="1"/>
  <c r="F22" i="10" a="1"/>
  <c r="F22" i="10" s="1"/>
  <c r="H22" i="10" s="1"/>
  <c r="F23" i="10" a="1"/>
  <c r="F23" i="10"/>
  <c r="F25" i="10" a="1"/>
  <c r="F25" i="10" s="1"/>
  <c r="F34" i="10" a="1"/>
  <c r="F34" i="10" s="1"/>
  <c r="F35" i="10" a="1"/>
  <c r="F35" i="10" s="1"/>
  <c r="F38" i="10" a="1"/>
  <c r="F38" i="10" s="1"/>
  <c r="F39" i="10" a="1"/>
  <c r="F39" i="10" s="1"/>
  <c r="F50" i="10" a="1"/>
  <c r="F50" i="10" s="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E2" i="9"/>
  <c r="E3" i="9"/>
  <c r="E4" i="9"/>
  <c r="E5" i="9"/>
  <c r="E6" i="9"/>
  <c r="E7" i="9"/>
  <c r="E8" i="9"/>
  <c r="E9" i="9"/>
  <c r="E10" i="9"/>
  <c r="F10" i="9" s="1" a="1"/>
  <c r="F10" i="9" s="1"/>
  <c r="E11" i="9"/>
  <c r="F11" i="9" s="1" a="1"/>
  <c r="F11" i="9" s="1"/>
  <c r="E12" i="9"/>
  <c r="F12" i="9" s="1" a="1"/>
  <c r="F12" i="9" s="1"/>
  <c r="E13" i="9"/>
  <c r="F13" i="9" s="1" a="1"/>
  <c r="F13" i="9" s="1"/>
  <c r="E14" i="9"/>
  <c r="F14" i="9" s="1" a="1"/>
  <c r="F14" i="9" s="1"/>
  <c r="E15" i="9"/>
  <c r="E16" i="9"/>
  <c r="F16" i="9" s="1" a="1"/>
  <c r="F16" i="9" s="1"/>
  <c r="E17" i="9"/>
  <c r="F17" i="9" s="1" a="1"/>
  <c r="F17" i="9" s="1"/>
  <c r="E18" i="9"/>
  <c r="E19" i="9"/>
  <c r="E20" i="9"/>
  <c r="E21" i="9"/>
  <c r="E22" i="9"/>
  <c r="E23" i="9"/>
  <c r="E24" i="9"/>
  <c r="E25" i="9"/>
  <c r="F25" i="9" s="1" a="1"/>
  <c r="F25" i="9" s="1"/>
  <c r="E26" i="9"/>
  <c r="F26" i="9" s="1" a="1"/>
  <c r="F26" i="9" s="1"/>
  <c r="E27" i="9"/>
  <c r="F27" i="9" s="1" a="1"/>
  <c r="F27" i="9" s="1"/>
  <c r="E28" i="9"/>
  <c r="F28" i="9" s="1" a="1"/>
  <c r="F28" i="9" s="1"/>
  <c r="E29" i="9"/>
  <c r="F29" i="9" s="1" a="1"/>
  <c r="F29" i="9" s="1"/>
  <c r="E30" i="9"/>
  <c r="F30" i="9" s="1" a="1"/>
  <c r="F30" i="9" s="1"/>
  <c r="E31" i="9"/>
  <c r="F31" i="9" s="1" a="1"/>
  <c r="F31" i="9" s="1"/>
  <c r="E32" i="9"/>
  <c r="F32" i="9" s="1" a="1"/>
  <c r="F32" i="9" s="1"/>
  <c r="E33" i="9"/>
  <c r="F33" i="9" s="1" a="1"/>
  <c r="F33" i="9" s="1"/>
  <c r="E34" i="9"/>
  <c r="E35" i="9"/>
  <c r="E36" i="9"/>
  <c r="E37" i="9"/>
  <c r="F37" i="9" s="1" a="1"/>
  <c r="F37" i="9" s="1"/>
  <c r="E38" i="9"/>
  <c r="F38" i="9" s="1" a="1"/>
  <c r="F38" i="9" s="1"/>
  <c r="E39" i="9"/>
  <c r="F39" i="9" s="1" a="1"/>
  <c r="F39" i="9" s="1"/>
  <c r="H39" i="9" s="1"/>
  <c r="E40" i="9"/>
  <c r="F40" i="9" s="1" a="1"/>
  <c r="F40" i="9" s="1"/>
  <c r="H40" i="9" s="1"/>
  <c r="E41" i="9"/>
  <c r="F41" i="9" s="1" a="1"/>
  <c r="F41" i="9" s="1"/>
  <c r="E42" i="9"/>
  <c r="F42" i="9" s="1" a="1"/>
  <c r="F42" i="9" s="1"/>
  <c r="H42" i="9" s="1"/>
  <c r="E43" i="9"/>
  <c r="F43" i="9" s="1" a="1"/>
  <c r="F43" i="9" s="1"/>
  <c r="E44" i="9"/>
  <c r="F44" i="9" s="1" a="1"/>
  <c r="F44" i="9" s="1"/>
  <c r="E45" i="9"/>
  <c r="F45" i="9" s="1" a="1"/>
  <c r="F45" i="9" s="1"/>
  <c r="E46" i="9"/>
  <c r="F46" i="9" s="1" a="1"/>
  <c r="F46" i="9" s="1"/>
  <c r="E47" i="9"/>
  <c r="F47" i="9" s="1" a="1"/>
  <c r="F47" i="9" s="1"/>
  <c r="E48" i="9"/>
  <c r="F48" i="9" s="1" a="1"/>
  <c r="F48" i="9" s="1"/>
  <c r="E49" i="9"/>
  <c r="F49" i="9" s="1" a="1"/>
  <c r="F49" i="9" s="1"/>
  <c r="E50" i="9"/>
  <c r="F2" i="9" a="1"/>
  <c r="F2" i="9" s="1"/>
  <c r="F3" i="9" a="1"/>
  <c r="F3" i="9" s="1"/>
  <c r="F4" i="9" a="1"/>
  <c r="F4" i="9" s="1"/>
  <c r="H4" i="9" s="1"/>
  <c r="F5" i="9" a="1"/>
  <c r="F5" i="9" s="1"/>
  <c r="F6" i="9" a="1"/>
  <c r="F6" i="9"/>
  <c r="F7" i="9" a="1"/>
  <c r="F7" i="9"/>
  <c r="F8" i="9" a="1"/>
  <c r="F8" i="9" s="1"/>
  <c r="F9" i="9" a="1"/>
  <c r="F9" i="9" s="1"/>
  <c r="F15" i="9" a="1"/>
  <c r="F15" i="9" s="1"/>
  <c r="F18" i="9" a="1"/>
  <c r="F18" i="9" s="1"/>
  <c r="F19" i="9" a="1"/>
  <c r="F19" i="9" s="1"/>
  <c r="F20" i="9" a="1"/>
  <c r="F20" i="9" s="1"/>
  <c r="H20" i="9" s="1"/>
  <c r="F21" i="9" a="1"/>
  <c r="F21" i="9" s="1"/>
  <c r="F22" i="9" a="1"/>
  <c r="F22" i="9" s="1"/>
  <c r="F23" i="9" a="1"/>
  <c r="F23" i="9" s="1"/>
  <c r="H23" i="9" s="1"/>
  <c r="F24" i="9" a="1"/>
  <c r="F24" i="9" s="1"/>
  <c r="F34" i="9" a="1"/>
  <c r="F34" i="9" s="1"/>
  <c r="H34" i="9" s="1"/>
  <c r="F35" i="9" a="1"/>
  <c r="F35" i="9" s="1"/>
  <c r="H35" i="9" s="1"/>
  <c r="F36" i="9" a="1"/>
  <c r="F36" i="9" s="1"/>
  <c r="H36" i="9" s="1"/>
  <c r="F50" i="9" a="1"/>
  <c r="F50" i="9" s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E2" i="8"/>
  <c r="F2" i="8" s="1" a="1"/>
  <c r="F2" i="8" s="1"/>
  <c r="E3" i="8"/>
  <c r="E4" i="8"/>
  <c r="E5" i="8"/>
  <c r="E6" i="8"/>
  <c r="E7" i="8"/>
  <c r="E8" i="8"/>
  <c r="E9" i="8"/>
  <c r="E10" i="8"/>
  <c r="F10" i="8" s="1" a="1"/>
  <c r="F10" i="8" s="1"/>
  <c r="H10" i="8" s="1"/>
  <c r="E11" i="8"/>
  <c r="F11" i="8" s="1" a="1"/>
  <c r="F11" i="8" s="1"/>
  <c r="E12" i="8"/>
  <c r="F12" i="8" s="1" a="1"/>
  <c r="F12" i="8" s="1"/>
  <c r="H12" i="8" s="1"/>
  <c r="E13" i="8"/>
  <c r="E14" i="8"/>
  <c r="F14" i="8" s="1" a="1"/>
  <c r="F14" i="8" s="1"/>
  <c r="E15" i="8"/>
  <c r="F15" i="8" s="1" a="1"/>
  <c r="F15" i="8" s="1"/>
  <c r="H15" i="8" s="1"/>
  <c r="E16" i="8"/>
  <c r="F16" i="8" s="1" a="1"/>
  <c r="F16" i="8" s="1"/>
  <c r="E17" i="8"/>
  <c r="F17" i="8" s="1" a="1"/>
  <c r="F17" i="8" s="1"/>
  <c r="E18" i="8"/>
  <c r="F18" i="8" s="1" a="1"/>
  <c r="F18" i="8" s="1"/>
  <c r="E19" i="8"/>
  <c r="E20" i="8"/>
  <c r="E21" i="8"/>
  <c r="E22" i="8"/>
  <c r="E23" i="8"/>
  <c r="F23" i="8" s="1" a="1"/>
  <c r="F23" i="8" s="1"/>
  <c r="H23" i="8" s="1"/>
  <c r="E24" i="8"/>
  <c r="E25" i="8"/>
  <c r="E26" i="8"/>
  <c r="F26" i="8" s="1" a="1"/>
  <c r="F26" i="8" s="1"/>
  <c r="H26" i="8" s="1"/>
  <c r="E27" i="8"/>
  <c r="E28" i="8"/>
  <c r="F28" i="8" s="1" a="1"/>
  <c r="F28" i="8" s="1"/>
  <c r="H28" i="8" s="1"/>
  <c r="E29" i="8"/>
  <c r="E30" i="8"/>
  <c r="F30" i="8" s="1" a="1"/>
  <c r="F30" i="8" s="1"/>
  <c r="E31" i="8"/>
  <c r="F31" i="8" s="1" a="1"/>
  <c r="F31" i="8" s="1"/>
  <c r="H31" i="8" s="1"/>
  <c r="E32" i="8"/>
  <c r="F32" i="8" s="1" a="1"/>
  <c r="F32" i="8" s="1"/>
  <c r="E33" i="8"/>
  <c r="F33" i="8" s="1" a="1"/>
  <c r="F33" i="8" s="1"/>
  <c r="E34" i="8"/>
  <c r="F34" i="8" s="1" a="1"/>
  <c r="F34" i="8" s="1"/>
  <c r="E35" i="8"/>
  <c r="E36" i="8"/>
  <c r="E37" i="8"/>
  <c r="F37" i="8" s="1" a="1"/>
  <c r="F37" i="8" s="1"/>
  <c r="E38" i="8"/>
  <c r="F38" i="8" s="1" a="1"/>
  <c r="F38" i="8" s="1"/>
  <c r="E39" i="8"/>
  <c r="F39" i="8" s="1" a="1"/>
  <c r="F39" i="8" s="1"/>
  <c r="H39" i="8" s="1"/>
  <c r="E40" i="8"/>
  <c r="F40" i="8" s="1" a="1"/>
  <c r="F40" i="8" s="1"/>
  <c r="H40" i="8" s="1"/>
  <c r="E41" i="8"/>
  <c r="F41" i="8" s="1" a="1"/>
  <c r="F41" i="8" s="1"/>
  <c r="E42" i="8"/>
  <c r="F42" i="8" s="1" a="1"/>
  <c r="F42" i="8" s="1"/>
  <c r="H42" i="8" s="1"/>
  <c r="E43" i="8"/>
  <c r="F43" i="8" s="1" a="1"/>
  <c r="F43" i="8" s="1"/>
  <c r="E44" i="8"/>
  <c r="F44" i="8" s="1" a="1"/>
  <c r="F44" i="8" s="1"/>
  <c r="H44" i="8" s="1"/>
  <c r="E45" i="8"/>
  <c r="F45" i="8" s="1" a="1"/>
  <c r="F45" i="8" s="1"/>
  <c r="E46" i="8"/>
  <c r="F46" i="8" s="1" a="1"/>
  <c r="F46" i="8" s="1"/>
  <c r="E47" i="8"/>
  <c r="F47" i="8" s="1" a="1"/>
  <c r="F47" i="8" s="1"/>
  <c r="H47" i="8" s="1"/>
  <c r="E48" i="8"/>
  <c r="F48" i="8" s="1" a="1"/>
  <c r="F48" i="8" s="1"/>
  <c r="E49" i="8"/>
  <c r="F49" i="8" s="1" a="1"/>
  <c r="F49" i="8" s="1"/>
  <c r="E50" i="8"/>
  <c r="F50" i="8" s="1" a="1"/>
  <c r="F50" i="8" s="1"/>
  <c r="E51" i="8"/>
  <c r="F3" i="8" a="1"/>
  <c r="F3" i="8" s="1"/>
  <c r="F4" i="8" a="1"/>
  <c r="F4" i="8" s="1"/>
  <c r="F5" i="8" a="1"/>
  <c r="F5" i="8" s="1"/>
  <c r="F6" i="8" a="1"/>
  <c r="F6" i="8" s="1"/>
  <c r="F7" i="8" a="1"/>
  <c r="F7" i="8" s="1"/>
  <c r="H7" i="8" s="1"/>
  <c r="F8" i="8" a="1"/>
  <c r="F8" i="8"/>
  <c r="H8" i="8" s="1"/>
  <c r="F9" i="8" a="1"/>
  <c r="F9" i="8" s="1"/>
  <c r="H9" i="8" s="1"/>
  <c r="F13" i="8" a="1"/>
  <c r="F13" i="8" s="1"/>
  <c r="H13" i="8" s="1"/>
  <c r="F19" i="8" a="1"/>
  <c r="F19" i="8" s="1"/>
  <c r="F20" i="8" a="1"/>
  <c r="F20" i="8" s="1"/>
  <c r="F21" i="8" a="1"/>
  <c r="F21" i="8" s="1"/>
  <c r="F22" i="8" a="1"/>
  <c r="F22" i="8" s="1"/>
  <c r="F24" i="8" a="1"/>
  <c r="F24" i="8" s="1"/>
  <c r="H24" i="8" s="1"/>
  <c r="F25" i="8" a="1"/>
  <c r="F25" i="8" s="1"/>
  <c r="F27" i="8" a="1"/>
  <c r="F27" i="8" s="1"/>
  <c r="F29" i="8" a="1"/>
  <c r="F29" i="8" s="1"/>
  <c r="F35" i="8" a="1"/>
  <c r="F35" i="8" s="1"/>
  <c r="F36" i="8" a="1"/>
  <c r="F36" i="8" s="1"/>
  <c r="F51" i="8" a="1"/>
  <c r="F51" i="8" s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E2" i="7"/>
  <c r="E3" i="7"/>
  <c r="E4" i="7"/>
  <c r="E5" i="7"/>
  <c r="E6" i="7"/>
  <c r="F6" i="7" s="1" a="1"/>
  <c r="F6" i="7" s="1"/>
  <c r="E7" i="7"/>
  <c r="F7" i="7" s="1" a="1"/>
  <c r="F7" i="7" s="1"/>
  <c r="E8" i="7"/>
  <c r="F8" i="7" s="1" a="1"/>
  <c r="F8" i="7" s="1"/>
  <c r="E9" i="7"/>
  <c r="F9" i="7" s="1" a="1"/>
  <c r="F9" i="7" s="1"/>
  <c r="E10" i="7"/>
  <c r="E11" i="7"/>
  <c r="F11" i="7" s="1" a="1"/>
  <c r="F11" i="7" s="1"/>
  <c r="H11" i="7" s="1"/>
  <c r="E12" i="7"/>
  <c r="F12" i="7" s="1" a="1"/>
  <c r="F12" i="7" s="1"/>
  <c r="E13" i="7"/>
  <c r="F13" i="7" s="1" a="1"/>
  <c r="F13" i="7" s="1"/>
  <c r="E14" i="7"/>
  <c r="F14" i="7" s="1" a="1"/>
  <c r="F14" i="7" s="1"/>
  <c r="H14" i="7" s="1"/>
  <c r="E15" i="7"/>
  <c r="F15" i="7" s="1" a="1"/>
  <c r="F15" i="7" s="1"/>
  <c r="H15" i="7" s="1"/>
  <c r="E16" i="7"/>
  <c r="F16" i="7" s="1" a="1"/>
  <c r="F16" i="7" s="1"/>
  <c r="H16" i="7" s="1"/>
  <c r="E17" i="7"/>
  <c r="F17" i="7" s="1" a="1"/>
  <c r="F17" i="7" s="1"/>
  <c r="E18" i="7"/>
  <c r="E19" i="7"/>
  <c r="E20" i="7"/>
  <c r="E21" i="7"/>
  <c r="E22" i="7"/>
  <c r="F22" i="7" s="1" a="1"/>
  <c r="F22" i="7" s="1"/>
  <c r="E23" i="7"/>
  <c r="F23" i="7" s="1" a="1"/>
  <c r="F23" i="7" s="1"/>
  <c r="E24" i="7"/>
  <c r="F24" i="7" s="1" a="1"/>
  <c r="F24" i="7" s="1"/>
  <c r="E25" i="7"/>
  <c r="F25" i="7" s="1" a="1"/>
  <c r="F25" i="7" s="1"/>
  <c r="E26" i="7"/>
  <c r="E27" i="7"/>
  <c r="E28" i="7"/>
  <c r="E29" i="7"/>
  <c r="E30" i="7"/>
  <c r="F30" i="7" s="1" a="1"/>
  <c r="F30" i="7" s="1"/>
  <c r="H30" i="7" s="1"/>
  <c r="E31" i="7"/>
  <c r="F31" i="7" s="1" a="1"/>
  <c r="F31" i="7" s="1"/>
  <c r="H31" i="7" s="1"/>
  <c r="E32" i="7"/>
  <c r="F32" i="7" s="1" a="1"/>
  <c r="F32" i="7" s="1"/>
  <c r="H32" i="7" s="1"/>
  <c r="E33" i="7"/>
  <c r="F33" i="7" s="1" a="1"/>
  <c r="F33" i="7" s="1"/>
  <c r="E34" i="7"/>
  <c r="E35" i="7"/>
  <c r="E36" i="7"/>
  <c r="E37" i="7"/>
  <c r="E38" i="7"/>
  <c r="F38" i="7" s="1" a="1"/>
  <c r="F38" i="7" s="1"/>
  <c r="E39" i="7"/>
  <c r="F39" i="7" s="1" a="1"/>
  <c r="F39" i="7" s="1"/>
  <c r="E40" i="7"/>
  <c r="F40" i="7" s="1" a="1"/>
  <c r="F40" i="7" s="1"/>
  <c r="E41" i="7"/>
  <c r="F41" i="7" s="1" a="1"/>
  <c r="F41" i="7" s="1"/>
  <c r="F2" i="7" a="1"/>
  <c r="F2" i="7"/>
  <c r="F3" i="7" a="1"/>
  <c r="F3" i="7" s="1"/>
  <c r="H3" i="7" s="1"/>
  <c r="F4" i="7" a="1"/>
  <c r="F4" i="7" s="1"/>
  <c r="F5" i="7" a="1"/>
  <c r="F5" i="7"/>
  <c r="H5" i="7" s="1"/>
  <c r="F10" i="7" a="1"/>
  <c r="F10" i="7" s="1"/>
  <c r="H10" i="7" s="1"/>
  <c r="F18" i="7" a="1"/>
  <c r="F18" i="7" s="1"/>
  <c r="F19" i="7" a="1"/>
  <c r="F19" i="7" s="1"/>
  <c r="H19" i="7" s="1"/>
  <c r="F20" i="7" a="1"/>
  <c r="F20" i="7" s="1"/>
  <c r="F21" i="7" a="1"/>
  <c r="F21" i="7"/>
  <c r="F26" i="7" a="1"/>
  <c r="F26" i="7" s="1"/>
  <c r="F27" i="7" a="1"/>
  <c r="F27" i="7" s="1"/>
  <c r="F28" i="7" a="1"/>
  <c r="F28" i="7" s="1"/>
  <c r="F29" i="7" a="1"/>
  <c r="F29" i="7"/>
  <c r="F34" i="7" a="1"/>
  <c r="F34" i="7" s="1"/>
  <c r="F35" i="7" a="1"/>
  <c r="F35" i="7" s="1"/>
  <c r="F36" i="7" a="1"/>
  <c r="F36" i="7" s="1"/>
  <c r="F37" i="7" a="1"/>
  <c r="F37" i="7" s="1"/>
  <c r="H37" i="7" s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E2" i="4"/>
  <c r="E3" i="4"/>
  <c r="E4" i="4"/>
  <c r="E5" i="4"/>
  <c r="E6" i="4"/>
  <c r="E7" i="4"/>
  <c r="F7" i="4" s="1" a="1"/>
  <c r="F7" i="4" s="1"/>
  <c r="E8" i="4"/>
  <c r="F8" i="4" s="1" a="1"/>
  <c r="F8" i="4" s="1"/>
  <c r="E9" i="4"/>
  <c r="F9" i="4" s="1" a="1"/>
  <c r="F9" i="4" s="1"/>
  <c r="E10" i="4"/>
  <c r="E11" i="4"/>
  <c r="F11" i="4" s="1" a="1"/>
  <c r="F11" i="4" s="1"/>
  <c r="H11" i="4" s="1"/>
  <c r="E12" i="4"/>
  <c r="F12" i="4" s="1" a="1"/>
  <c r="F12" i="4" s="1"/>
  <c r="E13" i="4"/>
  <c r="F13" i="4" s="1" a="1"/>
  <c r="F13" i="4" s="1"/>
  <c r="E14" i="4"/>
  <c r="E15" i="4"/>
  <c r="F15" i="4" s="1" a="1"/>
  <c r="F15" i="4" s="1"/>
  <c r="E16" i="4"/>
  <c r="F16" i="4" s="1" a="1"/>
  <c r="F16" i="4" s="1"/>
  <c r="E17" i="4"/>
  <c r="F17" i="4" s="1" a="1"/>
  <c r="F17" i="4" s="1"/>
  <c r="E18" i="4"/>
  <c r="E19" i="4"/>
  <c r="E20" i="4"/>
  <c r="E21" i="4"/>
  <c r="E22" i="4"/>
  <c r="E23" i="4"/>
  <c r="F23" i="4" s="1" a="1"/>
  <c r="F23" i="4" s="1"/>
  <c r="E24" i="4"/>
  <c r="F24" i="4" s="1" a="1"/>
  <c r="F24" i="4" s="1"/>
  <c r="E25" i="4"/>
  <c r="E26" i="4"/>
  <c r="F26" i="4" s="1" a="1"/>
  <c r="F26" i="4" s="1"/>
  <c r="E27" i="4"/>
  <c r="F27" i="4" s="1" a="1"/>
  <c r="F27" i="4" s="1"/>
  <c r="H27" i="4" s="1"/>
  <c r="E28" i="4"/>
  <c r="F28" i="4" s="1" a="1"/>
  <c r="F28" i="4" s="1"/>
  <c r="E29" i="4"/>
  <c r="F29" i="4" s="1" a="1"/>
  <c r="F29" i="4" s="1"/>
  <c r="E30" i="4"/>
  <c r="E31" i="4"/>
  <c r="F31" i="4" s="1" a="1"/>
  <c r="F31" i="4" s="1"/>
  <c r="H31" i="4" s="1"/>
  <c r="E32" i="4"/>
  <c r="F32" i="4" s="1" a="1"/>
  <c r="F32" i="4" s="1"/>
  <c r="E33" i="4"/>
  <c r="F33" i="4" s="1" a="1"/>
  <c r="F33" i="4" s="1"/>
  <c r="E34" i="4"/>
  <c r="E35" i="4"/>
  <c r="E36" i="4"/>
  <c r="E37" i="4"/>
  <c r="E38" i="4"/>
  <c r="E39" i="4"/>
  <c r="F39" i="4" s="1" a="1"/>
  <c r="F39" i="4" s="1"/>
  <c r="E40" i="4"/>
  <c r="F40" i="4" s="1" a="1"/>
  <c r="F40" i="4" s="1"/>
  <c r="E41" i="4"/>
  <c r="E42" i="4"/>
  <c r="E43" i="4"/>
  <c r="E44" i="4"/>
  <c r="E45" i="4"/>
  <c r="F45" i="4" s="1" a="1"/>
  <c r="F45" i="4" s="1"/>
  <c r="E46" i="4"/>
  <c r="F46" i="4" s="1" a="1"/>
  <c r="F46" i="4" s="1"/>
  <c r="E47" i="4"/>
  <c r="F47" i="4" s="1" a="1"/>
  <c r="F47" i="4" s="1"/>
  <c r="E48" i="4"/>
  <c r="F48" i="4" s="1" a="1"/>
  <c r="F48" i="4" s="1"/>
  <c r="E49" i="4"/>
  <c r="F49" i="4" s="1" a="1"/>
  <c r="F49" i="4" s="1"/>
  <c r="E50" i="4"/>
  <c r="E51" i="4"/>
  <c r="E52" i="4"/>
  <c r="E53" i="4"/>
  <c r="E54" i="4"/>
  <c r="E55" i="4"/>
  <c r="F55" i="4" s="1" a="1"/>
  <c r="F55" i="4" s="1"/>
  <c r="E56" i="4"/>
  <c r="F56" i="4" s="1" a="1"/>
  <c r="F56" i="4" s="1"/>
  <c r="E57" i="4"/>
  <c r="E58" i="4"/>
  <c r="E59" i="4"/>
  <c r="E60" i="4"/>
  <c r="E61" i="4"/>
  <c r="E62" i="4"/>
  <c r="E63" i="4"/>
  <c r="F63" i="4" s="1" a="1"/>
  <c r="F63" i="4" s="1"/>
  <c r="E64" i="4"/>
  <c r="F64" i="4" s="1" a="1"/>
  <c r="F64" i="4" s="1"/>
  <c r="H64" i="4" s="1"/>
  <c r="E65" i="4"/>
  <c r="F65" i="4" s="1" a="1"/>
  <c r="F65" i="4" s="1"/>
  <c r="H65" i="4" s="1"/>
  <c r="E66" i="4"/>
  <c r="E67" i="4"/>
  <c r="E68" i="4"/>
  <c r="E69" i="4"/>
  <c r="E70" i="4"/>
  <c r="E71" i="4"/>
  <c r="F71" i="4" s="1" a="1"/>
  <c r="F71" i="4" s="1"/>
  <c r="E72" i="4"/>
  <c r="F72" i="4" s="1" a="1"/>
  <c r="F72" i="4" s="1"/>
  <c r="E73" i="4"/>
  <c r="E74" i="4"/>
  <c r="E75" i="4"/>
  <c r="E76" i="4"/>
  <c r="E77" i="4"/>
  <c r="E78" i="4"/>
  <c r="E79" i="4"/>
  <c r="F79" i="4" s="1" a="1"/>
  <c r="F79" i="4" s="1"/>
  <c r="E80" i="4"/>
  <c r="F80" i="4" s="1" a="1"/>
  <c r="F80" i="4" s="1"/>
  <c r="E81" i="4"/>
  <c r="F81" i="4" s="1" a="1"/>
  <c r="F81" i="4" s="1"/>
  <c r="E82" i="4"/>
  <c r="E83" i="4"/>
  <c r="E84" i="4"/>
  <c r="E85" i="4"/>
  <c r="E86" i="4"/>
  <c r="E87" i="4"/>
  <c r="F87" i="4" s="1" a="1"/>
  <c r="F87" i="4" s="1"/>
  <c r="E88" i="4"/>
  <c r="F88" i="4" s="1" a="1"/>
  <c r="F88" i="4" s="1"/>
  <c r="E89" i="4"/>
  <c r="F89" i="4" s="1" a="1"/>
  <c r="F89" i="4" s="1"/>
  <c r="E90" i="4"/>
  <c r="E91" i="4"/>
  <c r="E92" i="4"/>
  <c r="E93" i="4"/>
  <c r="E94" i="4"/>
  <c r="E95" i="4"/>
  <c r="F95" i="4" s="1" a="1"/>
  <c r="F95" i="4" s="1"/>
  <c r="E96" i="4"/>
  <c r="F96" i="4" s="1" a="1"/>
  <c r="F96" i="4" s="1"/>
  <c r="E97" i="4"/>
  <c r="F97" i="4" s="1" a="1"/>
  <c r="F97" i="4" s="1"/>
  <c r="E98" i="4"/>
  <c r="E99" i="4"/>
  <c r="E100" i="4"/>
  <c r="E101" i="4"/>
  <c r="E102" i="4"/>
  <c r="E103" i="4"/>
  <c r="F103" i="4" s="1" a="1"/>
  <c r="F103" i="4" s="1"/>
  <c r="E104" i="4"/>
  <c r="F104" i="4" s="1" a="1"/>
  <c r="F104" i="4" s="1"/>
  <c r="F2" i="4" a="1"/>
  <c r="F2" i="4" s="1"/>
  <c r="F3" i="4" a="1"/>
  <c r="F3" i="4" s="1"/>
  <c r="F4" i="4" a="1"/>
  <c r="F4" i="4" s="1"/>
  <c r="F5" i="4" a="1"/>
  <c r="F5" i="4"/>
  <c r="F6" i="4" a="1"/>
  <c r="F6" i="4" s="1"/>
  <c r="F10" i="4" a="1"/>
  <c r="F10" i="4" s="1"/>
  <c r="F14" i="4" a="1"/>
  <c r="F14" i="4" s="1"/>
  <c r="F18" i="4" a="1"/>
  <c r="F18" i="4" s="1"/>
  <c r="H18" i="4" s="1"/>
  <c r="F19" i="4" a="1"/>
  <c r="F19" i="4" s="1"/>
  <c r="F20" i="4" a="1"/>
  <c r="F20" i="4" s="1"/>
  <c r="F21" i="4" a="1"/>
  <c r="F21" i="4" s="1"/>
  <c r="H21" i="4" s="1"/>
  <c r="F22" i="4" a="1"/>
  <c r="F22" i="4" s="1"/>
  <c r="F25" i="4" a="1"/>
  <c r="F25" i="4" s="1"/>
  <c r="F30" i="4" a="1"/>
  <c r="F30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41" i="4" a="1"/>
  <c r="F41" i="4" s="1"/>
  <c r="F42" i="4" a="1"/>
  <c r="F42" i="4" s="1"/>
  <c r="F43" i="4" a="1"/>
  <c r="F43" i="4" s="1"/>
  <c r="H43" i="4" s="1"/>
  <c r="F44" i="4" a="1"/>
  <c r="F44" i="4" s="1"/>
  <c r="H44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7" i="4" a="1"/>
  <c r="F57" i="4" s="1"/>
  <c r="F58" i="4" a="1"/>
  <c r="F58" i="4" s="1"/>
  <c r="F59" i="4" a="1"/>
  <c r="F59" i="4" s="1"/>
  <c r="F60" i="4" a="1"/>
  <c r="F60" i="4" s="1"/>
  <c r="F61" i="4" a="1"/>
  <c r="F61" i="4"/>
  <c r="F62" i="4" a="1"/>
  <c r="F62" i="4" s="1"/>
  <c r="F66" i="4" a="1"/>
  <c r="F66" i="4" s="1"/>
  <c r="F67" i="4" a="1"/>
  <c r="F67" i="4" s="1"/>
  <c r="F68" i="4" a="1"/>
  <c r="F68" i="4" s="1"/>
  <c r="F69" i="4" a="1"/>
  <c r="F69" i="4" s="1"/>
  <c r="H69" i="4" s="1"/>
  <c r="F70" i="4" a="1"/>
  <c r="F70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90" i="4" a="1"/>
  <c r="F90" i="4" s="1"/>
  <c r="F91" i="4" a="1"/>
  <c r="F91" i="4" s="1"/>
  <c r="F92" i="4" a="1"/>
  <c r="F92" i="4" s="1"/>
  <c r="H92" i="4" s="1"/>
  <c r="F93" i="4" a="1"/>
  <c r="F93" i="4" s="1"/>
  <c r="H93" i="4" s="1"/>
  <c r="F94" i="4" a="1"/>
  <c r="F94" i="4" s="1"/>
  <c r="F98" i="4" a="1"/>
  <c r="F98" i="4" s="1"/>
  <c r="F99" i="4" a="1"/>
  <c r="F99" i="4" s="1"/>
  <c r="F100" i="4" a="1"/>
  <c r="F100" i="4" s="1"/>
  <c r="F101" i="4" a="1"/>
  <c r="F101" i="4"/>
  <c r="F102" i="4" a="1"/>
  <c r="F102" i="4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E2" i="3"/>
  <c r="F2" i="3" s="1" a="1"/>
  <c r="F2" i="3" s="1"/>
  <c r="E3" i="3"/>
  <c r="E4" i="3"/>
  <c r="E5" i="3"/>
  <c r="E6" i="3"/>
  <c r="E7" i="3"/>
  <c r="E8" i="3"/>
  <c r="E9" i="3"/>
  <c r="F9" i="3" s="1" a="1"/>
  <c r="F9" i="3" s="1"/>
  <c r="E10" i="3"/>
  <c r="F10" i="3" s="1" a="1"/>
  <c r="F10" i="3" s="1"/>
  <c r="E11" i="3"/>
  <c r="F11" i="3" s="1" a="1"/>
  <c r="F11" i="3" s="1"/>
  <c r="E12" i="3"/>
  <c r="F12" i="3" s="1" a="1"/>
  <c r="F12" i="3" s="1"/>
  <c r="E13" i="3"/>
  <c r="E14" i="3"/>
  <c r="F14" i="3" s="1" a="1"/>
  <c r="F14" i="3" s="1"/>
  <c r="E15" i="3"/>
  <c r="F15" i="3" s="1" a="1"/>
  <c r="F15" i="3" s="1"/>
  <c r="E16" i="3"/>
  <c r="F16" i="3" s="1" a="1"/>
  <c r="F16" i="3" s="1"/>
  <c r="E17" i="3"/>
  <c r="F17" i="3" s="1" a="1"/>
  <c r="F17" i="3" s="1"/>
  <c r="E18" i="3"/>
  <c r="E19" i="3"/>
  <c r="E20" i="3"/>
  <c r="E21" i="3"/>
  <c r="E22" i="3"/>
  <c r="F22" i="3" s="1" a="1"/>
  <c r="F22" i="3" s="1"/>
  <c r="E23" i="3"/>
  <c r="E24" i="3"/>
  <c r="E25" i="3"/>
  <c r="F25" i="3" s="1" a="1"/>
  <c r="F25" i="3" s="1"/>
  <c r="E26" i="3"/>
  <c r="F26" i="3" s="1" a="1"/>
  <c r="F26" i="3" s="1"/>
  <c r="E27" i="3"/>
  <c r="F27" i="3" s="1" a="1"/>
  <c r="F27" i="3" s="1"/>
  <c r="E28" i="3"/>
  <c r="F28" i="3" s="1" a="1"/>
  <c r="F28" i="3" s="1"/>
  <c r="E29" i="3"/>
  <c r="E30" i="3"/>
  <c r="F30" i="3" s="1" a="1"/>
  <c r="F30" i="3" s="1"/>
  <c r="E31" i="3"/>
  <c r="F31" i="3" s="1" a="1"/>
  <c r="F31" i="3" s="1"/>
  <c r="E32" i="3"/>
  <c r="F32" i="3" s="1" a="1"/>
  <c r="F32" i="3" s="1"/>
  <c r="E33" i="3"/>
  <c r="F33" i="3" s="1" a="1"/>
  <c r="F33" i="3" s="1"/>
  <c r="E34" i="3"/>
  <c r="E35" i="3"/>
  <c r="E36" i="3"/>
  <c r="E37" i="3"/>
  <c r="E38" i="3"/>
  <c r="F38" i="3" s="1" a="1"/>
  <c r="F38" i="3" s="1"/>
  <c r="E39" i="3"/>
  <c r="E40" i="3"/>
  <c r="F40" i="3" s="1" a="1"/>
  <c r="F40" i="3" s="1"/>
  <c r="E41" i="3"/>
  <c r="F41" i="3" s="1" a="1"/>
  <c r="F41" i="3" s="1"/>
  <c r="E42" i="3"/>
  <c r="F42" i="3" s="1" a="1"/>
  <c r="F42" i="3" s="1"/>
  <c r="E43" i="3"/>
  <c r="F43" i="3" s="1" a="1"/>
  <c r="F43" i="3" s="1"/>
  <c r="E44" i="3"/>
  <c r="F44" i="3" s="1" a="1"/>
  <c r="F44" i="3" s="1"/>
  <c r="E45" i="3"/>
  <c r="F45" i="3" s="1" a="1"/>
  <c r="F45" i="3" s="1"/>
  <c r="E46" i="3"/>
  <c r="F46" i="3" s="1" a="1"/>
  <c r="F46" i="3" s="1"/>
  <c r="E47" i="3"/>
  <c r="F47" i="3" s="1" a="1"/>
  <c r="F47" i="3" s="1"/>
  <c r="E48" i="3"/>
  <c r="F48" i="3" s="1" a="1"/>
  <c r="F48" i="3" s="1"/>
  <c r="E49" i="3"/>
  <c r="F49" i="3" s="1" a="1"/>
  <c r="F49" i="3" s="1"/>
  <c r="E50" i="3"/>
  <c r="E51" i="3"/>
  <c r="F3" i="3" a="1"/>
  <c r="F3" i="3"/>
  <c r="F4" i="3" a="1"/>
  <c r="F4" i="3" s="1"/>
  <c r="F5" i="3" a="1"/>
  <c r="F5" i="3" s="1"/>
  <c r="F6" i="3" a="1"/>
  <c r="F6" i="3" s="1"/>
  <c r="F7" i="3" a="1"/>
  <c r="F7" i="3" s="1"/>
  <c r="F8" i="3" a="1"/>
  <c r="F8" i="3" s="1"/>
  <c r="F13" i="3" a="1"/>
  <c r="F13" i="3" s="1"/>
  <c r="F18" i="3" a="1"/>
  <c r="F18" i="3" s="1"/>
  <c r="F19" i="3" a="1"/>
  <c r="F19" i="3" s="1"/>
  <c r="F20" i="3" a="1"/>
  <c r="F20" i="3" s="1"/>
  <c r="F21" i="3" a="1"/>
  <c r="F21" i="3" s="1"/>
  <c r="F23" i="3" a="1"/>
  <c r="F23" i="3" s="1"/>
  <c r="F24" i="3" a="1"/>
  <c r="F24" i="3"/>
  <c r="F29" i="3" a="1"/>
  <c r="F29" i="3" s="1"/>
  <c r="F34" i="3" a="1"/>
  <c r="F34" i="3" s="1"/>
  <c r="F35" i="3" a="1"/>
  <c r="F35" i="3" s="1"/>
  <c r="F36" i="3" a="1"/>
  <c r="F36" i="3" s="1"/>
  <c r="F37" i="3" a="1"/>
  <c r="F37" i="3" s="1"/>
  <c r="F39" i="3" a="1"/>
  <c r="F39" i="3" s="1"/>
  <c r="F50" i="3" a="1"/>
  <c r="F50" i="3" s="1"/>
  <c r="F51" i="3" a="1"/>
  <c r="F51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E2" i="15"/>
  <c r="E3" i="15"/>
  <c r="F3" i="15" s="1" a="1"/>
  <c r="F3" i="15" s="1"/>
  <c r="E4" i="15"/>
  <c r="E5" i="15"/>
  <c r="E6" i="15"/>
  <c r="E7" i="15"/>
  <c r="F7" i="15" s="1" a="1"/>
  <c r="F7" i="15" s="1"/>
  <c r="E8" i="15"/>
  <c r="E9" i="15"/>
  <c r="E10" i="15"/>
  <c r="F10" i="15" s="1" a="1"/>
  <c r="F10" i="15" s="1"/>
  <c r="E11" i="15"/>
  <c r="F11" i="15" s="1" a="1"/>
  <c r="F11" i="15" s="1"/>
  <c r="E12" i="15"/>
  <c r="F12" i="15" s="1" a="1"/>
  <c r="F12" i="15" s="1"/>
  <c r="E13" i="15"/>
  <c r="F13" i="15" s="1" a="1"/>
  <c r="F13" i="15" s="1"/>
  <c r="E14" i="15"/>
  <c r="F14" i="15" s="1" a="1"/>
  <c r="F14" i="15" s="1"/>
  <c r="E15" i="15"/>
  <c r="F15" i="15" s="1" a="1"/>
  <c r="F15" i="15" s="1"/>
  <c r="E16" i="15"/>
  <c r="F16" i="15" s="1" a="1"/>
  <c r="F16" i="15" s="1"/>
  <c r="E17" i="15"/>
  <c r="F17" i="15" s="1" a="1"/>
  <c r="F17" i="15" s="1"/>
  <c r="E18" i="15"/>
  <c r="F18" i="15" s="1" a="1"/>
  <c r="F18" i="15" s="1"/>
  <c r="E19" i="15"/>
  <c r="E20" i="15"/>
  <c r="F20" i="15" s="1" a="1"/>
  <c r="F20" i="15" s="1"/>
  <c r="E21" i="15"/>
  <c r="E22" i="15"/>
  <c r="E23" i="15"/>
  <c r="F23" i="15" s="1" a="1"/>
  <c r="F23" i="15" s="1"/>
  <c r="E24" i="15"/>
  <c r="E25" i="15"/>
  <c r="E26" i="15"/>
  <c r="F26" i="15" s="1" a="1"/>
  <c r="F26" i="15" s="1"/>
  <c r="E27" i="15"/>
  <c r="F27" i="15" s="1" a="1"/>
  <c r="F27" i="15" s="1"/>
  <c r="E28" i="15"/>
  <c r="F28" i="15" s="1" a="1"/>
  <c r="F28" i="15" s="1"/>
  <c r="E29" i="15"/>
  <c r="F29" i="15" s="1" a="1"/>
  <c r="F29" i="15" s="1"/>
  <c r="E30" i="15"/>
  <c r="F30" i="15" s="1" a="1"/>
  <c r="F30" i="15" s="1"/>
  <c r="E31" i="15"/>
  <c r="F31" i="15" s="1" a="1"/>
  <c r="F31" i="15" s="1"/>
  <c r="E32" i="15"/>
  <c r="F32" i="15" s="1" a="1"/>
  <c r="F32" i="15" s="1"/>
  <c r="E33" i="15"/>
  <c r="F33" i="15" s="1" a="1"/>
  <c r="F33" i="15" s="1"/>
  <c r="E34" i="15"/>
  <c r="E35" i="15"/>
  <c r="E36" i="15"/>
  <c r="F36" i="15" s="1" a="1"/>
  <c r="F36" i="15" s="1"/>
  <c r="E37" i="15"/>
  <c r="E38" i="15"/>
  <c r="E39" i="15"/>
  <c r="F39" i="15" s="1" a="1"/>
  <c r="F39" i="15" s="1"/>
  <c r="E40" i="15"/>
  <c r="F40" i="15" s="1" a="1"/>
  <c r="F40" i="15" s="1"/>
  <c r="E41" i="15"/>
  <c r="F41" i="15" s="1" a="1"/>
  <c r="F41" i="15" s="1"/>
  <c r="E42" i="15"/>
  <c r="F42" i="15" s="1" a="1"/>
  <c r="F42" i="15" s="1"/>
  <c r="E43" i="15"/>
  <c r="F43" i="15" s="1" a="1"/>
  <c r="F43" i="15" s="1"/>
  <c r="E44" i="15"/>
  <c r="F44" i="15" s="1" a="1"/>
  <c r="F44" i="15" s="1"/>
  <c r="E45" i="15"/>
  <c r="F45" i="15" s="1" a="1"/>
  <c r="F45" i="15" s="1"/>
  <c r="E46" i="15"/>
  <c r="F46" i="15" s="1" a="1"/>
  <c r="F46" i="15" s="1"/>
  <c r="E47" i="15"/>
  <c r="F47" i="15" s="1" a="1"/>
  <c r="F47" i="15" s="1"/>
  <c r="E48" i="15"/>
  <c r="F48" i="15" s="1" a="1"/>
  <c r="F48" i="15" s="1"/>
  <c r="E49" i="15"/>
  <c r="F49" i="15" s="1" a="1"/>
  <c r="F49" i="15" s="1"/>
  <c r="E50" i="15"/>
  <c r="F50" i="15" s="1" a="1"/>
  <c r="F50" i="15" s="1"/>
  <c r="F2" i="15" a="1"/>
  <c r="F2" i="15" s="1"/>
  <c r="F4" i="15" a="1"/>
  <c r="F4" i="15" s="1"/>
  <c r="F5" i="15" a="1"/>
  <c r="F5" i="15" s="1"/>
  <c r="F6" i="15" a="1"/>
  <c r="F6" i="15" s="1"/>
  <c r="F8" i="15" a="1"/>
  <c r="F8" i="15" s="1"/>
  <c r="F9" i="15" a="1"/>
  <c r="F9" i="15" s="1"/>
  <c r="F19" i="15" a="1"/>
  <c r="F19" i="15" s="1"/>
  <c r="F21" i="15" a="1"/>
  <c r="F21" i="15" s="1"/>
  <c r="F22" i="15" a="1"/>
  <c r="F22" i="15" s="1"/>
  <c r="F24" i="15" a="1"/>
  <c r="F24" i="15" s="1"/>
  <c r="F25" i="15" a="1"/>
  <c r="F25" i="15" s="1"/>
  <c r="F34" i="15" a="1"/>
  <c r="F34" i="15" s="1"/>
  <c r="F35" i="15" a="1"/>
  <c r="F35" i="15" s="1"/>
  <c r="F37" i="15" a="1"/>
  <c r="F37" i="15" s="1"/>
  <c r="F38" i="15" a="1"/>
  <c r="F38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E2" i="16"/>
  <c r="E3" i="16"/>
  <c r="E4" i="16"/>
  <c r="E5" i="16"/>
  <c r="F5" i="16" s="1" a="1"/>
  <c r="F5" i="16" s="1"/>
  <c r="E6" i="16"/>
  <c r="F6" i="16" s="1" a="1"/>
  <c r="F6" i="16" s="1"/>
  <c r="E7" i="16"/>
  <c r="E8" i="16"/>
  <c r="E9" i="16"/>
  <c r="E10" i="16"/>
  <c r="F10" i="16" s="1" a="1"/>
  <c r="F10" i="16" s="1"/>
  <c r="E11" i="16"/>
  <c r="E12" i="16"/>
  <c r="E13" i="16"/>
  <c r="F13" i="16" s="1" a="1"/>
  <c r="F13" i="16" s="1"/>
  <c r="E14" i="16"/>
  <c r="E15" i="16"/>
  <c r="F15" i="16" s="1" a="1"/>
  <c r="F15" i="16" s="1"/>
  <c r="E16" i="16"/>
  <c r="F16" i="16" s="1" a="1"/>
  <c r="F16" i="16" s="1"/>
  <c r="E17" i="16"/>
  <c r="F17" i="16" s="1" a="1"/>
  <c r="F17" i="16" s="1"/>
  <c r="E18" i="16"/>
  <c r="E19" i="16"/>
  <c r="E20" i="16"/>
  <c r="E21" i="16"/>
  <c r="F21" i="16" s="1" a="1"/>
  <c r="F21" i="16" s="1"/>
  <c r="E22" i="16"/>
  <c r="F22" i="16" s="1" a="1"/>
  <c r="F22" i="16" s="1"/>
  <c r="E23" i="16"/>
  <c r="F23" i="16" s="1" a="1"/>
  <c r="F23" i="16" s="1"/>
  <c r="E24" i="16"/>
  <c r="F24" i="16" s="1" a="1"/>
  <c r="F24" i="16" s="1"/>
  <c r="E25" i="16"/>
  <c r="E26" i="16"/>
  <c r="F26" i="16" s="1" a="1"/>
  <c r="F26" i="16" s="1"/>
  <c r="E27" i="16"/>
  <c r="F27" i="16" s="1" a="1"/>
  <c r="F27" i="16" s="1"/>
  <c r="E28" i="16"/>
  <c r="E29" i="16"/>
  <c r="F29" i="16" s="1" a="1"/>
  <c r="F29" i="16" s="1"/>
  <c r="E30" i="16"/>
  <c r="F30" i="16" s="1" a="1"/>
  <c r="F30" i="16" s="1"/>
  <c r="E31" i="16"/>
  <c r="F31" i="16" s="1" a="1"/>
  <c r="F31" i="16" s="1"/>
  <c r="E32" i="16"/>
  <c r="F32" i="16" s="1" a="1"/>
  <c r="F32" i="16" s="1"/>
  <c r="E33" i="16"/>
  <c r="F33" i="16" s="1" a="1"/>
  <c r="F33" i="16" s="1"/>
  <c r="E34" i="16"/>
  <c r="E35" i="16"/>
  <c r="E36" i="16"/>
  <c r="E37" i="16"/>
  <c r="F37" i="16" s="1" a="1"/>
  <c r="F37" i="16" s="1"/>
  <c r="E38" i="16"/>
  <c r="F38" i="16" s="1" a="1"/>
  <c r="F38" i="16" s="1"/>
  <c r="E39" i="16"/>
  <c r="F39" i="16" s="1" a="1"/>
  <c r="F39" i="16" s="1"/>
  <c r="E40" i="16"/>
  <c r="F40" i="16" s="1" a="1"/>
  <c r="F40" i="16" s="1"/>
  <c r="E41" i="16"/>
  <c r="F41" i="16" s="1" a="1"/>
  <c r="F41" i="16" s="1"/>
  <c r="E42" i="16"/>
  <c r="F42" i="16" s="1" a="1"/>
  <c r="F42" i="16" s="1"/>
  <c r="E43" i="16"/>
  <c r="F43" i="16" s="1" a="1"/>
  <c r="F43" i="16" s="1"/>
  <c r="E44" i="16"/>
  <c r="E45" i="16"/>
  <c r="F45" i="16" s="1" a="1"/>
  <c r="F45" i="16" s="1"/>
  <c r="E46" i="16"/>
  <c r="F46" i="16" s="1" a="1"/>
  <c r="F46" i="16" s="1"/>
  <c r="E47" i="16"/>
  <c r="F47" i="16" s="1" a="1"/>
  <c r="F47" i="16" s="1"/>
  <c r="E48" i="16"/>
  <c r="F48" i="16" s="1" a="1"/>
  <c r="F48" i="16" s="1"/>
  <c r="E49" i="16"/>
  <c r="F49" i="16" s="1" a="1"/>
  <c r="F49" i="16" s="1"/>
  <c r="E50" i="16"/>
  <c r="F50" i="16" s="1" a="1"/>
  <c r="F50" i="16" s="1"/>
  <c r="F2" i="16" a="1"/>
  <c r="F2" i="16" s="1"/>
  <c r="F3" i="16" a="1"/>
  <c r="F3" i="16" s="1"/>
  <c r="F4" i="16" a="1"/>
  <c r="F4" i="16" s="1"/>
  <c r="F7" i="16" a="1"/>
  <c r="F7" i="16" s="1"/>
  <c r="F8" i="16" a="1"/>
  <c r="F8" i="16" s="1"/>
  <c r="F9" i="16" a="1"/>
  <c r="F9" i="16" s="1"/>
  <c r="F11" i="16" a="1"/>
  <c r="F11" i="16" s="1"/>
  <c r="F12" i="16" a="1"/>
  <c r="F12" i="16" s="1"/>
  <c r="F14" i="16" a="1"/>
  <c r="F14" i="16" s="1"/>
  <c r="F18" i="16" a="1"/>
  <c r="F18" i="16" s="1"/>
  <c r="F19" i="16" a="1"/>
  <c r="F19" i="16" s="1"/>
  <c r="F20" i="16" a="1"/>
  <c r="F20" i="16" s="1"/>
  <c r="F25" i="16" a="1"/>
  <c r="F25" i="16" s="1"/>
  <c r="F28" i="16" a="1"/>
  <c r="F28" i="16" s="1"/>
  <c r="F34" i="16" a="1"/>
  <c r="F34" i="16" s="1"/>
  <c r="F35" i="16" a="1"/>
  <c r="F35" i="16" s="1"/>
  <c r="F36" i="16" a="1"/>
  <c r="F36" i="16" s="1"/>
  <c r="F44" i="16" a="1"/>
  <c r="F44" i="16" s="1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M2" i="16"/>
  <c r="H4" i="18" s="1"/>
  <c r="D4" i="19"/>
  <c r="M2" i="10"/>
  <c r="H4" i="11" s="1"/>
  <c r="L4" i="11"/>
  <c r="L3" i="11"/>
  <c r="L2" i="11"/>
  <c r="L2" i="16"/>
  <c r="K2" i="16"/>
  <c r="J2" i="16"/>
  <c r="I2" i="16"/>
  <c r="L2" i="15"/>
  <c r="K2" i="15"/>
  <c r="J2" i="15"/>
  <c r="I2" i="15"/>
  <c r="D2" i="14" a="1"/>
  <c r="D2" i="14" s="1"/>
  <c r="C2" i="14" a="1"/>
  <c r="C2" i="14" s="1"/>
  <c r="B2" i="14" a="1"/>
  <c r="B2" i="14" s="1"/>
  <c r="F28" i="11"/>
  <c r="F27" i="11"/>
  <c r="F26" i="11"/>
  <c r="F25" i="11"/>
  <c r="F24" i="11"/>
  <c r="F31" i="11" s="1"/>
  <c r="E28" i="11"/>
  <c r="E27" i="11"/>
  <c r="E26" i="11"/>
  <c r="E25" i="11"/>
  <c r="E24" i="11"/>
  <c r="E31" i="11" s="1"/>
  <c r="D28" i="11"/>
  <c r="D27" i="11"/>
  <c r="D26" i="11"/>
  <c r="D25" i="11"/>
  <c r="D24" i="11"/>
  <c r="D31" i="11" s="1"/>
  <c r="E29" i="1"/>
  <c r="E28" i="1"/>
  <c r="E27" i="1"/>
  <c r="E26" i="1"/>
  <c r="E25" i="1"/>
  <c r="E32" i="1" s="1"/>
  <c r="D29" i="1"/>
  <c r="D28" i="1"/>
  <c r="D27" i="1"/>
  <c r="D26" i="1"/>
  <c r="D25" i="1"/>
  <c r="D32" i="1" s="1"/>
  <c r="C29" i="1"/>
  <c r="C28" i="1"/>
  <c r="C27" i="1"/>
  <c r="C26" i="1"/>
  <c r="C25" i="1"/>
  <c r="C32" i="1" s="1"/>
  <c r="N30" i="11"/>
  <c r="M30" i="11"/>
  <c r="L30" i="11"/>
  <c r="N28" i="11"/>
  <c r="N29" i="11" s="1"/>
  <c r="M28" i="11"/>
  <c r="M29" i="11" s="1"/>
  <c r="L28" i="11"/>
  <c r="L29" i="11" s="1"/>
  <c r="N27" i="11"/>
  <c r="M27" i="11"/>
  <c r="L27" i="11"/>
  <c r="D4" i="1"/>
  <c r="D3" i="1"/>
  <c r="D2" i="1"/>
  <c r="T2" i="7"/>
  <c r="U2" i="7" s="1"/>
  <c r="T3" i="7"/>
  <c r="U3" i="7" s="1"/>
  <c r="T4" i="7"/>
  <c r="U4" i="7" s="1"/>
  <c r="T5" i="7"/>
  <c r="U5" i="7" s="1"/>
  <c r="T6" i="7"/>
  <c r="U6" i="7" s="1"/>
  <c r="T7" i="7"/>
  <c r="U7" i="7" s="1"/>
  <c r="T8" i="7"/>
  <c r="U8" i="7" s="1"/>
  <c r="T9" i="7"/>
  <c r="U9" i="7" s="1"/>
  <c r="T10" i="7"/>
  <c r="U10" i="7" s="1"/>
  <c r="T11" i="7"/>
  <c r="T12" i="7"/>
  <c r="U12" i="7" s="1"/>
  <c r="T13" i="7"/>
  <c r="U13" i="7" s="1"/>
  <c r="T14" i="7"/>
  <c r="U14" i="7" s="1"/>
  <c r="T15" i="7"/>
  <c r="U15" i="7" s="1"/>
  <c r="T16" i="7"/>
  <c r="U16" i="7" s="1"/>
  <c r="T17" i="7"/>
  <c r="U17" i="7" s="1"/>
  <c r="T18" i="7"/>
  <c r="U18" i="7" s="1"/>
  <c r="T19" i="7"/>
  <c r="U19" i="7" s="1"/>
  <c r="T20" i="7"/>
  <c r="U20" i="7" s="1"/>
  <c r="T21" i="7"/>
  <c r="U21" i="7" s="1"/>
  <c r="T22" i="7"/>
  <c r="U22" i="7" s="1"/>
  <c r="T23" i="7"/>
  <c r="U23" i="7" s="1"/>
  <c r="T24" i="7"/>
  <c r="U24" i="7" s="1"/>
  <c r="T25" i="7"/>
  <c r="U25" i="7" s="1"/>
  <c r="T26" i="7"/>
  <c r="U26" i="7" s="1"/>
  <c r="T27" i="7"/>
  <c r="U27" i="7" s="1"/>
  <c r="T28" i="7"/>
  <c r="U28" i="7" s="1"/>
  <c r="T29" i="7"/>
  <c r="U29" i="7" s="1"/>
  <c r="T30" i="7"/>
  <c r="U30" i="7" s="1"/>
  <c r="T31" i="7"/>
  <c r="U31" i="7" s="1"/>
  <c r="T32" i="7"/>
  <c r="U32" i="7" s="1"/>
  <c r="T33" i="7"/>
  <c r="U33" i="7" s="1"/>
  <c r="T34" i="7"/>
  <c r="U34" i="7" s="1"/>
  <c r="T35" i="7"/>
  <c r="U35" i="7" s="1"/>
  <c r="T36" i="7"/>
  <c r="U36" i="7" s="1"/>
  <c r="T37" i="7"/>
  <c r="U37" i="7" s="1"/>
  <c r="T38" i="7"/>
  <c r="U38" i="7" s="1"/>
  <c r="T39" i="7"/>
  <c r="U39" i="7" s="1"/>
  <c r="T40" i="7"/>
  <c r="U40" i="7" s="1"/>
  <c r="T41" i="7"/>
  <c r="U41" i="7" s="1"/>
  <c r="U11" i="7"/>
  <c r="S10" i="4"/>
  <c r="S8" i="4"/>
  <c r="S3" i="4"/>
  <c r="S12" i="4"/>
  <c r="S14" i="4"/>
  <c r="S33" i="4"/>
  <c r="S37" i="4"/>
  <c r="S23" i="4"/>
  <c r="S4" i="4"/>
  <c r="S98" i="4"/>
  <c r="S99" i="4"/>
  <c r="S35" i="4"/>
  <c r="S54" i="4"/>
  <c r="S39" i="4"/>
  <c r="S25" i="4"/>
  <c r="S15" i="4"/>
  <c r="S19" i="4"/>
  <c r="S94" i="4"/>
  <c r="S74" i="4"/>
  <c r="S26" i="4"/>
  <c r="S32" i="4"/>
  <c r="S96" i="4"/>
  <c r="S49" i="4"/>
  <c r="S97" i="4"/>
  <c r="S21" i="4"/>
  <c r="S48" i="4"/>
  <c r="S22" i="4"/>
  <c r="S50" i="4"/>
  <c r="S77" i="4"/>
  <c r="S76" i="4"/>
  <c r="S83" i="4"/>
  <c r="S88" i="4"/>
  <c r="S38" i="4"/>
  <c r="S51" i="4"/>
  <c r="S11" i="4"/>
  <c r="S6" i="4"/>
  <c r="S29" i="4"/>
  <c r="S52" i="4"/>
  <c r="S90" i="4"/>
  <c r="S75" i="4"/>
  <c r="S2" i="4"/>
  <c r="S73" i="4"/>
  <c r="S104" i="4"/>
  <c r="S16" i="4"/>
  <c r="S60" i="4"/>
  <c r="S81" i="4"/>
  <c r="S69" i="4"/>
  <c r="S93" i="4"/>
  <c r="S53" i="4"/>
  <c r="S57" i="4"/>
  <c r="S58" i="4"/>
  <c r="S103" i="4"/>
  <c r="S44" i="4"/>
  <c r="S31" i="4"/>
  <c r="S40" i="4"/>
  <c r="S45" i="4"/>
  <c r="S28" i="4"/>
  <c r="S61" i="4"/>
  <c r="S79" i="4"/>
  <c r="S82" i="4"/>
  <c r="S62" i="4"/>
  <c r="S95" i="4"/>
  <c r="S78" i="4"/>
  <c r="S67" i="4"/>
  <c r="S34" i="4"/>
  <c r="S63" i="4"/>
  <c r="S59" i="4"/>
  <c r="S20" i="4"/>
  <c r="S72" i="4"/>
  <c r="S70" i="4"/>
  <c r="S30" i="4"/>
  <c r="S87" i="4"/>
  <c r="S9" i="4"/>
  <c r="S65" i="4"/>
  <c r="S85" i="4"/>
  <c r="S68" i="4"/>
  <c r="S56" i="4"/>
  <c r="S92" i="4"/>
  <c r="S91" i="4"/>
  <c r="S13" i="4"/>
  <c r="S18" i="4"/>
  <c r="S36" i="4"/>
  <c r="S80" i="4"/>
  <c r="S101" i="4"/>
  <c r="S47" i="4"/>
  <c r="S64" i="4"/>
  <c r="S46" i="4"/>
  <c r="S86" i="4"/>
  <c r="S17" i="4"/>
  <c r="S27" i="4"/>
  <c r="S66" i="4"/>
  <c r="S42" i="4"/>
  <c r="S71" i="4"/>
  <c r="S55" i="4"/>
  <c r="S100" i="4"/>
  <c r="S41" i="4"/>
  <c r="S43" i="4"/>
  <c r="S89" i="4"/>
  <c r="S24" i="4"/>
  <c r="S102" i="4"/>
  <c r="S84" i="4"/>
  <c r="S7" i="4"/>
  <c r="S5" i="4"/>
  <c r="S2" i="5"/>
  <c r="T2" i="5" s="1"/>
  <c r="S3" i="5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0" i="5"/>
  <c r="T20" i="5" s="1"/>
  <c r="S21" i="5"/>
  <c r="T21" i="5" s="1"/>
  <c r="S22" i="5"/>
  <c r="T22" i="5" s="1"/>
  <c r="S23" i="5"/>
  <c r="T23" i="5" s="1"/>
  <c r="S24" i="5"/>
  <c r="T24" i="5" s="1"/>
  <c r="S25" i="5"/>
  <c r="T25" i="5" s="1"/>
  <c r="S26" i="5"/>
  <c r="T26" i="5" s="1"/>
  <c r="S27" i="5"/>
  <c r="T27" i="5" s="1"/>
  <c r="S28" i="5"/>
  <c r="T28" i="5" s="1"/>
  <c r="S29" i="5"/>
  <c r="T29" i="5" s="1"/>
  <c r="S30" i="5"/>
  <c r="T30" i="5" s="1"/>
  <c r="S31" i="5"/>
  <c r="T31" i="5" s="1"/>
  <c r="S32" i="5"/>
  <c r="T32" i="5" s="1"/>
  <c r="S33" i="5"/>
  <c r="T33" i="5" s="1"/>
  <c r="S34" i="5"/>
  <c r="T34" i="5" s="1"/>
  <c r="S35" i="5"/>
  <c r="T35" i="5" s="1"/>
  <c r="S36" i="5"/>
  <c r="T36" i="5" s="1"/>
  <c r="S37" i="5"/>
  <c r="T37" i="5" s="1"/>
  <c r="S38" i="5"/>
  <c r="T38" i="5" s="1"/>
  <c r="S39" i="5"/>
  <c r="T39" i="5" s="1"/>
  <c r="S40" i="5"/>
  <c r="T40" i="5" s="1"/>
  <c r="I28" i="1"/>
  <c r="J28" i="1"/>
  <c r="H28" i="1"/>
  <c r="I26" i="1"/>
  <c r="I27" i="1" s="1"/>
  <c r="J26" i="1"/>
  <c r="J27" i="1" s="1"/>
  <c r="H26" i="1"/>
  <c r="H27" i="1" s="1"/>
  <c r="I25" i="1"/>
  <c r="J25" i="1"/>
  <c r="H25" i="1"/>
  <c r="J10" i="8"/>
  <c r="J9" i="8"/>
  <c r="J8" i="8"/>
  <c r="J7" i="8"/>
  <c r="J6" i="8"/>
  <c r="I2" i="8"/>
  <c r="G3" i="11"/>
  <c r="G4" i="11"/>
  <c r="G2" i="11"/>
  <c r="F4" i="11"/>
  <c r="F3" i="11"/>
  <c r="F2" i="11"/>
  <c r="B2" i="11"/>
  <c r="D3" i="11"/>
  <c r="D4" i="11"/>
  <c r="D2" i="11"/>
  <c r="C3" i="11"/>
  <c r="C4" i="11"/>
  <c r="C2" i="11"/>
  <c r="B3" i="11"/>
  <c r="B4" i="11"/>
  <c r="L2" i="10"/>
  <c r="E4" i="11" s="1"/>
  <c r="K2" i="10"/>
  <c r="J2" i="10"/>
  <c r="I2" i="10"/>
  <c r="M2" i="9"/>
  <c r="H3" i="11" s="1"/>
  <c r="L2" i="9"/>
  <c r="E3" i="11" s="1"/>
  <c r="K2" i="9"/>
  <c r="J2" i="9"/>
  <c r="I2" i="9"/>
  <c r="M2" i="8"/>
  <c r="H2" i="11" s="1"/>
  <c r="L2" i="8"/>
  <c r="E2" i="11" s="1"/>
  <c r="K2" i="8"/>
  <c r="J2" i="8"/>
  <c r="M2" i="7"/>
  <c r="H4" i="1" s="1"/>
  <c r="M2" i="5"/>
  <c r="H3" i="1" s="1"/>
  <c r="M2" i="4"/>
  <c r="H2" i="1" s="1"/>
  <c r="G4" i="1"/>
  <c r="F4" i="1"/>
  <c r="E4" i="1"/>
  <c r="C4" i="1"/>
  <c r="B4" i="1"/>
  <c r="L2" i="7"/>
  <c r="K2" i="7"/>
  <c r="J2" i="7"/>
  <c r="I2" i="7"/>
  <c r="G3" i="1"/>
  <c r="F3" i="1"/>
  <c r="G2" i="1"/>
  <c r="F2" i="1"/>
  <c r="E3" i="1"/>
  <c r="C3" i="1"/>
  <c r="E2" i="1"/>
  <c r="C2" i="1"/>
  <c r="B3" i="1"/>
  <c r="B2" i="1"/>
  <c r="J2" i="5"/>
  <c r="K2" i="5"/>
  <c r="L2" i="5"/>
  <c r="I2" i="5"/>
  <c r="J2" i="4"/>
  <c r="K2" i="4"/>
  <c r="L2" i="4"/>
  <c r="I2" i="4"/>
  <c r="B9" i="13" s="1"/>
  <c r="J2" i="3"/>
  <c r="K2" i="3"/>
  <c r="L2" i="3"/>
  <c r="I2" i="3"/>
  <c r="B8" i="19" l="1"/>
  <c r="C49" i="1"/>
  <c r="B6" i="19"/>
  <c r="E54" i="18"/>
  <c r="D53" i="18"/>
  <c r="C52" i="18"/>
  <c r="C51" i="18"/>
  <c r="D5" i="19"/>
  <c r="B5" i="19"/>
  <c r="H3" i="18"/>
  <c r="M27" i="18"/>
  <c r="H2" i="18"/>
  <c r="H36" i="18"/>
  <c r="G36" i="18"/>
  <c r="H35" i="18"/>
  <c r="E51" i="1"/>
  <c r="D50" i="1"/>
  <c r="D49" i="1"/>
  <c r="C52" i="1"/>
  <c r="C51" i="1"/>
  <c r="C50" i="1"/>
  <c r="D7" i="19"/>
  <c r="B7" i="19"/>
  <c r="D51" i="11"/>
  <c r="D50" i="11"/>
  <c r="F49" i="11"/>
  <c r="F50" i="11"/>
  <c r="E50" i="11"/>
  <c r="E49" i="11"/>
  <c r="F48" i="11"/>
  <c r="D48" i="11"/>
  <c r="F47" i="11"/>
  <c r="H10" i="4"/>
  <c r="H41" i="4"/>
  <c r="H6" i="4"/>
  <c r="H46" i="4"/>
  <c r="H13" i="7"/>
  <c r="H41" i="8"/>
  <c r="H24" i="9"/>
  <c r="H21" i="10"/>
  <c r="H62" i="4"/>
  <c r="H5" i="4"/>
  <c r="H45" i="4"/>
  <c r="H29" i="4"/>
  <c r="H13" i="4"/>
  <c r="H34" i="7"/>
  <c r="H12" i="7"/>
  <c r="H19" i="10"/>
  <c r="H45" i="10"/>
  <c r="H29" i="10"/>
  <c r="H13" i="10"/>
  <c r="H85" i="4"/>
  <c r="H61" i="4"/>
  <c r="H37" i="4"/>
  <c r="H28" i="4"/>
  <c r="H12" i="4"/>
  <c r="H29" i="7"/>
  <c r="H6" i="8"/>
  <c r="H44" i="10"/>
  <c r="H28" i="10"/>
  <c r="H12" i="10"/>
  <c r="H84" i="4"/>
  <c r="H4" i="4"/>
  <c r="H38" i="8"/>
  <c r="H9" i="10"/>
  <c r="H43" i="10"/>
  <c r="H27" i="10"/>
  <c r="H11" i="10"/>
  <c r="H83" i="4"/>
  <c r="H60" i="4"/>
  <c r="H26" i="4"/>
  <c r="H28" i="7"/>
  <c r="H29" i="8"/>
  <c r="H49" i="9"/>
  <c r="H33" i="9"/>
  <c r="H17" i="9"/>
  <c r="H8" i="10"/>
  <c r="H82" i="4"/>
  <c r="H34" i="4"/>
  <c r="H2" i="4"/>
  <c r="H89" i="4"/>
  <c r="H48" i="9"/>
  <c r="H32" i="9"/>
  <c r="H16" i="9"/>
  <c r="H41" i="10"/>
  <c r="H102" i="4"/>
  <c r="H26" i="7"/>
  <c r="H25" i="8"/>
  <c r="H47" i="9"/>
  <c r="H31" i="9"/>
  <c r="H39" i="10"/>
  <c r="H40" i="10"/>
  <c r="H24" i="10"/>
  <c r="H101" i="4"/>
  <c r="H77" i="4"/>
  <c r="H25" i="4"/>
  <c r="H18" i="9"/>
  <c r="H38" i="10"/>
  <c r="H6" i="10"/>
  <c r="H22" i="4"/>
  <c r="H49" i="8"/>
  <c r="H33" i="8"/>
  <c r="H17" i="8"/>
  <c r="H15" i="9"/>
  <c r="H45" i="9"/>
  <c r="H29" i="9"/>
  <c r="H13" i="9"/>
  <c r="H5" i="10"/>
  <c r="H100" i="4"/>
  <c r="H53" i="4"/>
  <c r="H48" i="8"/>
  <c r="H32" i="8"/>
  <c r="H16" i="8"/>
  <c r="H9" i="9"/>
  <c r="H44" i="9"/>
  <c r="H28" i="9"/>
  <c r="H12" i="9"/>
  <c r="H52" i="4"/>
  <c r="H8" i="9"/>
  <c r="H43" i="9"/>
  <c r="H27" i="9"/>
  <c r="H11" i="9"/>
  <c r="H20" i="10"/>
  <c r="H73" i="4"/>
  <c r="H20" i="4"/>
  <c r="H18" i="7"/>
  <c r="H46" i="8"/>
  <c r="H30" i="8"/>
  <c r="H14" i="8"/>
  <c r="H7" i="9"/>
  <c r="H42" i="4"/>
  <c r="H70" i="4"/>
  <c r="H33" i="7"/>
  <c r="H17" i="7"/>
  <c r="H19" i="8"/>
  <c r="H45" i="8"/>
  <c r="H41" i="9"/>
  <c r="H25" i="9"/>
  <c r="H25" i="10"/>
  <c r="I35" i="18"/>
  <c r="I34" i="18"/>
  <c r="I33" i="18"/>
  <c r="I36" i="18"/>
  <c r="H33" i="18"/>
  <c r="G35" i="18"/>
  <c r="G33" i="18"/>
  <c r="L30" i="18"/>
  <c r="M30" i="18"/>
  <c r="H37" i="10"/>
  <c r="H36" i="10"/>
  <c r="H35" i="10"/>
  <c r="H34" i="10"/>
  <c r="H7" i="10"/>
  <c r="H50" i="10"/>
  <c r="H23" i="10"/>
  <c r="H4" i="10"/>
  <c r="H3" i="10"/>
  <c r="H2" i="10"/>
  <c r="H46" i="9"/>
  <c r="H30" i="9"/>
  <c r="H14" i="9"/>
  <c r="H50" i="9"/>
  <c r="H26" i="9"/>
  <c r="H10" i="9"/>
  <c r="H6" i="9"/>
  <c r="H5" i="9"/>
  <c r="H22" i="9"/>
  <c r="H21" i="9"/>
  <c r="H38" i="9"/>
  <c r="H3" i="9"/>
  <c r="H37" i="9"/>
  <c r="H2" i="9"/>
  <c r="H19" i="9"/>
  <c r="H51" i="8"/>
  <c r="H27" i="8"/>
  <c r="H11" i="8"/>
  <c r="H36" i="8"/>
  <c r="H35" i="8"/>
  <c r="H43" i="8"/>
  <c r="H20" i="8"/>
  <c r="H5" i="8"/>
  <c r="H4" i="8"/>
  <c r="H22" i="8"/>
  <c r="H21" i="8"/>
  <c r="H3" i="8"/>
  <c r="H37" i="8"/>
  <c r="H50" i="8"/>
  <c r="H34" i="8"/>
  <c r="H18" i="8"/>
  <c r="H2" i="8"/>
  <c r="H27" i="7"/>
  <c r="H4" i="7"/>
  <c r="H21" i="7"/>
  <c r="H2" i="7"/>
  <c r="H20" i="7"/>
  <c r="H41" i="7"/>
  <c r="H25" i="7"/>
  <c r="H9" i="7"/>
  <c r="H40" i="7"/>
  <c r="H24" i="7"/>
  <c r="H8" i="7"/>
  <c r="H39" i="7"/>
  <c r="H23" i="7"/>
  <c r="H7" i="7"/>
  <c r="H38" i="7"/>
  <c r="H22" i="7"/>
  <c r="H6" i="7"/>
  <c r="H36" i="7"/>
  <c r="H35" i="7"/>
  <c r="H40" i="5"/>
  <c r="H39" i="5"/>
  <c r="H96" i="4"/>
  <c r="H79" i="4"/>
  <c r="H78" i="4"/>
  <c r="H99" i="4"/>
  <c r="H59" i="4"/>
  <c r="H38" i="4"/>
  <c r="H97" i="4"/>
  <c r="H98" i="4"/>
  <c r="H58" i="4"/>
  <c r="H94" i="4"/>
  <c r="H76" i="4"/>
  <c r="H57" i="4"/>
  <c r="H19" i="4"/>
  <c r="H3" i="4"/>
  <c r="H75" i="4"/>
  <c r="H54" i="4"/>
  <c r="H36" i="4"/>
  <c r="H17" i="4"/>
  <c r="H48" i="4"/>
  <c r="H47" i="4"/>
  <c r="H74" i="4"/>
  <c r="H35" i="4"/>
  <c r="H9" i="4"/>
  <c r="H49" i="4"/>
  <c r="H14" i="4"/>
  <c r="H104" i="4"/>
  <c r="H88" i="4"/>
  <c r="H72" i="4"/>
  <c r="H56" i="4"/>
  <c r="H40" i="4"/>
  <c r="H24" i="4"/>
  <c r="H8" i="4"/>
  <c r="H91" i="4"/>
  <c r="H30" i="4"/>
  <c r="H103" i="4"/>
  <c r="H87" i="4"/>
  <c r="H71" i="4"/>
  <c r="H55" i="4"/>
  <c r="H39" i="4"/>
  <c r="H23" i="4"/>
  <c r="H7" i="4"/>
  <c r="H90" i="4"/>
  <c r="H51" i="4"/>
  <c r="H81" i="4"/>
  <c r="H16" i="4"/>
  <c r="H95" i="4"/>
  <c r="H50" i="4"/>
  <c r="H80" i="4"/>
  <c r="H63" i="4"/>
  <c r="H86" i="4"/>
  <c r="H68" i="4"/>
  <c r="H67" i="4"/>
  <c r="H33" i="4"/>
  <c r="H32" i="4"/>
  <c r="H15" i="4"/>
  <c r="H66" i="4"/>
  <c r="D35" i="1"/>
  <c r="E33" i="1"/>
  <c r="D32" i="11"/>
  <c r="O2" i="16"/>
  <c r="J4" i="18" s="1"/>
  <c r="E32" i="11"/>
  <c r="E35" i="1"/>
  <c r="D33" i="1"/>
  <c r="N2" i="16"/>
  <c r="I4" i="18" s="1"/>
  <c r="F34" i="11"/>
  <c r="F35" i="11"/>
  <c r="F32" i="11"/>
  <c r="E34" i="11"/>
  <c r="D34" i="11"/>
  <c r="D35" i="11"/>
  <c r="E36" i="1"/>
  <c r="J30" i="1"/>
  <c r="H30" i="1"/>
  <c r="C34" i="1"/>
  <c r="O2" i="15"/>
  <c r="J3" i="18" s="1"/>
  <c r="N2" i="15"/>
  <c r="I3" i="18" s="1"/>
  <c r="K3" i="18" s="1"/>
  <c r="F33" i="11"/>
  <c r="E33" i="11"/>
  <c r="E35" i="11"/>
  <c r="D33" i="11"/>
  <c r="E34" i="1"/>
  <c r="I30" i="1"/>
  <c r="D34" i="1"/>
  <c r="D36" i="1"/>
  <c r="C35" i="1"/>
  <c r="C36" i="1"/>
  <c r="T100" i="4"/>
  <c r="U100" i="4" s="1"/>
  <c r="C33" i="1"/>
  <c r="T59" i="4"/>
  <c r="U59" i="4" s="1"/>
  <c r="T10" i="4"/>
  <c r="U10" i="4" s="1"/>
  <c r="T75" i="4"/>
  <c r="U75" i="4" s="1"/>
  <c r="T2" i="4"/>
  <c r="U2" i="4" s="1"/>
  <c r="T39" i="4"/>
  <c r="U39" i="4" s="1"/>
  <c r="T67" i="4"/>
  <c r="U67" i="4" s="1"/>
  <c r="T103" i="4"/>
  <c r="U103" i="4" s="1"/>
  <c r="T81" i="4"/>
  <c r="U81" i="4" s="1"/>
  <c r="T22" i="4"/>
  <c r="U22" i="4" s="1"/>
  <c r="T26" i="4"/>
  <c r="U26" i="4" s="1"/>
  <c r="T37" i="4"/>
  <c r="U37" i="4" s="1"/>
  <c r="T84" i="4"/>
  <c r="U84" i="4" s="1"/>
  <c r="T17" i="4"/>
  <c r="U17" i="4" s="1"/>
  <c r="T61" i="4"/>
  <c r="U61" i="4" s="1"/>
  <c r="T90" i="4"/>
  <c r="U90" i="4" s="1"/>
  <c r="T38" i="4"/>
  <c r="U38" i="4" s="1"/>
  <c r="T36" i="4"/>
  <c r="U36" i="4" s="1"/>
  <c r="T68" i="4"/>
  <c r="U68" i="4" s="1"/>
  <c r="T70" i="4"/>
  <c r="U70" i="4" s="1"/>
  <c r="T58" i="4"/>
  <c r="U58" i="4" s="1"/>
  <c r="T60" i="4"/>
  <c r="U60" i="4" s="1"/>
  <c r="T74" i="4"/>
  <c r="U74" i="4" s="1"/>
  <c r="T54" i="4"/>
  <c r="U54" i="4" s="1"/>
  <c r="T102" i="4"/>
  <c r="U102" i="4" s="1"/>
  <c r="T55" i="4"/>
  <c r="U55" i="4" s="1"/>
  <c r="T86" i="4"/>
  <c r="U86" i="4" s="1"/>
  <c r="T78" i="4"/>
  <c r="U78" i="4" s="1"/>
  <c r="T88" i="4"/>
  <c r="U88" i="4" s="1"/>
  <c r="T48" i="4"/>
  <c r="U48" i="4" s="1"/>
  <c r="T33" i="4"/>
  <c r="U33" i="4" s="1"/>
  <c r="T28" i="4"/>
  <c r="U28" i="4" s="1"/>
  <c r="T52" i="4"/>
  <c r="U52" i="4" s="1"/>
  <c r="T35" i="4"/>
  <c r="U35" i="4" s="1"/>
  <c r="T24" i="4"/>
  <c r="U24" i="4" s="1"/>
  <c r="T71" i="4"/>
  <c r="U71" i="4" s="1"/>
  <c r="T46" i="4"/>
  <c r="U46" i="4" s="1"/>
  <c r="T18" i="4"/>
  <c r="U18" i="4" s="1"/>
  <c r="T85" i="4"/>
  <c r="U85" i="4" s="1"/>
  <c r="T72" i="4"/>
  <c r="U72" i="4" s="1"/>
  <c r="T57" i="4"/>
  <c r="U57" i="4" s="1"/>
  <c r="T16" i="4"/>
  <c r="U16" i="4" s="1"/>
  <c r="T94" i="4"/>
  <c r="U94" i="4" s="1"/>
  <c r="T95" i="4"/>
  <c r="U95" i="4" s="1"/>
  <c r="T45" i="4"/>
  <c r="U45" i="4" s="1"/>
  <c r="T83" i="4"/>
  <c r="U83" i="4" s="1"/>
  <c r="T21" i="4"/>
  <c r="U21" i="4" s="1"/>
  <c r="T99" i="4"/>
  <c r="U99" i="4" s="1"/>
  <c r="T14" i="4"/>
  <c r="U14" i="4" s="1"/>
  <c r="T13" i="4"/>
  <c r="U13" i="4" s="1"/>
  <c r="T20" i="4"/>
  <c r="U20" i="4" s="1"/>
  <c r="T29" i="4"/>
  <c r="U29" i="4" s="1"/>
  <c r="T89" i="4"/>
  <c r="U89" i="4" s="1"/>
  <c r="T42" i="4"/>
  <c r="U42" i="4" s="1"/>
  <c r="T64" i="4"/>
  <c r="U64" i="4" s="1"/>
  <c r="T65" i="4"/>
  <c r="U65" i="4" s="1"/>
  <c r="T62" i="4"/>
  <c r="U62" i="4" s="1"/>
  <c r="T40" i="4"/>
  <c r="U40" i="4" s="1"/>
  <c r="T53" i="4"/>
  <c r="U53" i="4" s="1"/>
  <c r="T104" i="4"/>
  <c r="U104" i="4" s="1"/>
  <c r="T76" i="4"/>
  <c r="U76" i="4" s="1"/>
  <c r="T97" i="4"/>
  <c r="U97" i="4" s="1"/>
  <c r="T19" i="4"/>
  <c r="U19" i="4" s="1"/>
  <c r="T98" i="4"/>
  <c r="U98" i="4" s="1"/>
  <c r="T12" i="4"/>
  <c r="U12" i="4" s="1"/>
  <c r="T6" i="4"/>
  <c r="U6" i="4" s="1"/>
  <c r="T91" i="4"/>
  <c r="U91" i="4" s="1"/>
  <c r="T93" i="4"/>
  <c r="U93" i="4" s="1"/>
  <c r="T77" i="4"/>
  <c r="U77" i="4" s="1"/>
  <c r="T49" i="4"/>
  <c r="U49" i="4" s="1"/>
  <c r="T15" i="4"/>
  <c r="U15" i="4" s="1"/>
  <c r="T3" i="4"/>
  <c r="U3" i="4" s="1"/>
  <c r="T43" i="4"/>
  <c r="U43" i="4" s="1"/>
  <c r="T66" i="4"/>
  <c r="U66" i="4" s="1"/>
  <c r="T47" i="4"/>
  <c r="U47" i="4" s="1"/>
  <c r="T9" i="4"/>
  <c r="U9" i="4" s="1"/>
  <c r="T82" i="4"/>
  <c r="U82" i="4" s="1"/>
  <c r="T31" i="4"/>
  <c r="U31" i="4" s="1"/>
  <c r="T73" i="4"/>
  <c r="U73" i="4" s="1"/>
  <c r="T11" i="4"/>
  <c r="U11" i="4" s="1"/>
  <c r="T4" i="4"/>
  <c r="U4" i="4" s="1"/>
  <c r="T63" i="4"/>
  <c r="U63" i="4" s="1"/>
  <c r="T96" i="4"/>
  <c r="U96" i="4" s="1"/>
  <c r="T8" i="4"/>
  <c r="U8" i="4" s="1"/>
  <c r="T41" i="4"/>
  <c r="U41" i="4" s="1"/>
  <c r="T101" i="4"/>
  <c r="U101" i="4" s="1"/>
  <c r="T92" i="4"/>
  <c r="U92" i="4" s="1"/>
  <c r="T87" i="4"/>
  <c r="U87" i="4" s="1"/>
  <c r="T69" i="4"/>
  <c r="U69" i="4" s="1"/>
  <c r="T50" i="4"/>
  <c r="U50" i="4" s="1"/>
  <c r="T25" i="4"/>
  <c r="U25" i="4" s="1"/>
  <c r="T23" i="4"/>
  <c r="U23" i="4" s="1"/>
  <c r="T7" i="4"/>
  <c r="U7" i="4" s="1"/>
  <c r="T27" i="4"/>
  <c r="U27" i="4" s="1"/>
  <c r="T34" i="4"/>
  <c r="U34" i="4" s="1"/>
  <c r="T79" i="4"/>
  <c r="U79" i="4" s="1"/>
  <c r="T44" i="4"/>
  <c r="U44" i="4" s="1"/>
  <c r="T51" i="4"/>
  <c r="U51" i="4" s="1"/>
  <c r="T32" i="4"/>
  <c r="U32" i="4" s="1"/>
  <c r="T5" i="4"/>
  <c r="U5" i="4" s="1"/>
  <c r="T80" i="4"/>
  <c r="U80" i="4" s="1"/>
  <c r="T56" i="4"/>
  <c r="U56" i="4" s="1"/>
  <c r="T30" i="4"/>
  <c r="U30" i="4" s="1"/>
  <c r="B8" i="13"/>
  <c r="B5" i="13"/>
  <c r="B7" i="13"/>
  <c r="B6" i="13"/>
  <c r="N2" i="8"/>
  <c r="I2" i="11" s="1"/>
  <c r="N2" i="9"/>
  <c r="I3" i="11" s="1"/>
  <c r="B4" i="13"/>
  <c r="N2" i="4"/>
  <c r="B2" i="13"/>
  <c r="B3" i="13"/>
  <c r="N2" i="7"/>
  <c r="N2" i="5"/>
  <c r="I3" i="1" s="1"/>
  <c r="N2" i="3"/>
  <c r="I2" i="18" s="1"/>
  <c r="N2" i="10"/>
  <c r="I4" i="11" s="1"/>
  <c r="O2" i="4"/>
  <c r="J2" i="1" s="1"/>
  <c r="O2" i="9"/>
  <c r="J3" i="11" s="1"/>
  <c r="O2" i="3"/>
  <c r="J2" i="18" s="1"/>
  <c r="O2" i="8"/>
  <c r="J2" i="11" s="1"/>
  <c r="O2" i="10"/>
  <c r="J4" i="11" s="1"/>
  <c r="O2" i="5"/>
  <c r="O2" i="7"/>
  <c r="J4" i="1" s="1"/>
  <c r="K2" i="18" l="1"/>
  <c r="K4" i="18"/>
  <c r="K2" i="11"/>
  <c r="K3" i="11"/>
  <c r="K4" i="11"/>
  <c r="I4" i="1"/>
  <c r="P2" i="7"/>
  <c r="K4" i="1" s="1"/>
  <c r="J3" i="1"/>
  <c r="P2" i="5"/>
  <c r="K3" i="1" s="1"/>
  <c r="I2" i="1"/>
  <c r="P2" i="4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74977-99DC-44F0-B5D4-AEF36B06B0B2}" keepAlive="1" name="Forespørgsel - S0PRP1" description="Forbindelse til forespørgslen 'S0PRP1' i projektmappen." type="5" refreshedVersion="8" background="1" saveData="1">
    <dbPr connection="Provider=Microsoft.Mashup.OleDb.1;Data Source=$Workbook$;Location=S0PRP1;Extended Properties=&quot;&quot;" command="SELECT * FROM [S0PRP1]"/>
  </connection>
  <connection id="2" xr16:uid="{CE110023-A61C-4A64-B515-85CD8CEC23C8}" keepAlive="1" name="Forespørgsel - S0PRP2" description="Forbindelse til forespørgslen 'S0PRP2' i projektmappen." type="5" refreshedVersion="8" background="1" saveData="1">
    <dbPr connection="Provider=Microsoft.Mashup.OleDb.1;Data Source=$Workbook$;Location=S0PRP2;Extended Properties=&quot;&quot;" command="SELECT * FROM [S0PRP2]"/>
  </connection>
  <connection id="3" xr16:uid="{0C438756-BC08-494B-81C0-C97B49912D34}" keepAlive="1" name="Forespørgsel - S0PRP3" description="Forbindelse til forespørgslen 'S0PRP3' i projektmappen." type="5" refreshedVersion="8" background="1" saveData="1">
    <dbPr connection="Provider=Microsoft.Mashup.OleDb.1;Data Source=$Workbook$;Location=S0PRP3;Extended Properties=&quot;&quot;" command="SELECT * FROM [S0PRP3]"/>
  </connection>
  <connection id="4" xr16:uid="{FB313574-2837-4C28-9447-0A5EC83CAB2D}" keepAlive="1" name="Forespørgsel - S1PRP1" description="Forbindelse til forespørgslen 'S1PRP1' i projektmappen." type="5" refreshedVersion="8" background="1" saveData="1">
    <dbPr connection="Provider=Microsoft.Mashup.OleDb.1;Data Source=$Workbook$;Location=S1PRP1;Extended Properties=&quot;&quot;" command="SELECT * FROM [S1PRP1]"/>
  </connection>
  <connection id="5" xr16:uid="{B2008460-FF1C-458E-BD47-BFCCA62CE7E6}" keepAlive="1" name="Forespørgsel - S1PRP2" description="Forbindelse til forespørgslen 'S1PRP2' i projektmappen." type="5" refreshedVersion="8" background="1" saveData="1">
    <dbPr connection="Provider=Microsoft.Mashup.OleDb.1;Data Source=$Workbook$;Location=S1PRP2;Extended Properties=&quot;&quot;" command="SELECT * FROM [S1PRP2]"/>
  </connection>
  <connection id="6" xr16:uid="{37C614B8-3574-4118-A4AB-7CC02B74D85E}" keepAlive="1" name="Forespørgsel - S1PRP3" description="Forbindelse til forespørgslen 'S1PRP3' i projektmappen." type="5" refreshedVersion="8" background="1" saveData="1">
    <dbPr connection="Provider=Microsoft.Mashup.OleDb.1;Data Source=$Workbook$;Location=S1PRP3;Extended Properties=&quot;&quot;" command="SELECT * FROM [S1PRP3]"/>
  </connection>
  <connection id="7" xr16:uid="{F4AED62F-FD43-4922-8861-F5CCFF4DBD6D}" keepAlive="1" name="Forespørgsel - S2PRP1" description="Forbindelse til forespørgslen 'S2PRP1' i projektmappen." type="5" refreshedVersion="8" background="1" saveData="1">
    <dbPr connection="Provider=Microsoft.Mashup.OleDb.1;Data Source=$Workbook$;Location=S2PRP1;Extended Properties=&quot;&quot;" command="SELECT * FROM [S2PRP1]"/>
  </connection>
  <connection id="8" xr16:uid="{0A125E99-E44B-4E8C-A6DE-118F9665B9C0}" keepAlive="1" name="Forespørgsel - S2PRP2" description="Forbindelse til forespørgslen 'S2PRP2' i projektmappen." type="5" refreshedVersion="8" background="1" saveData="1">
    <dbPr connection="Provider=Microsoft.Mashup.OleDb.1;Data Source=$Workbook$;Location=S2PRP2;Extended Properties=&quot;&quot;" command="SELECT * FROM [S2PRP2]"/>
  </connection>
  <connection id="9" xr16:uid="{38397069-4DFD-4473-A120-45ED68E7C1C5}" keepAlive="1" name="Forespørgsel - S2PRP3" description="Forbindelse til forespørgslen 'S2PRP3' i projektmappen." type="5" refreshedVersion="8" background="1" saveData="1">
    <dbPr connection="Provider=Microsoft.Mashup.OleDb.1;Data Source=$Workbook$;Location=S2PRP3;Extended Properties=&quot;&quot;" command="SELECT * FROM [S2PRP3]"/>
  </connection>
  <connection id="10" xr16:uid="{EEEE917C-3CCB-4ACD-BBAC-85508D864F06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CEF4A16E-BA63-4E41-8213-4B54117944CC}" name="WorksheetConnection_Results.xlsx!S2PRP1[Time]" type="102" refreshedVersion="8" minRefreshableVersion="5">
    <extLst>
      <ext xmlns:x15="http://schemas.microsoft.com/office/spreadsheetml/2010/11/main" uri="{DE250136-89BD-433C-8126-D09CA5730AF9}">
        <x15:connection id="S2PRP1 Time" autoDelete="1">
          <x15:rangePr sourceName="_xlcn.WorksheetConnection_Results.xlsxS2PRP1Tim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<sst xmlns="http://schemas.openxmlformats.org/spreadsheetml/2006/main" count="379" uniqueCount="84">
  <si>
    <t>Time avg</t>
  </si>
  <si>
    <t>MSG avg</t>
  </si>
  <si>
    <t>Nodes loss avg</t>
  </si>
  <si>
    <t>Distance avg</t>
  </si>
  <si>
    <t>Time</t>
  </si>
  <si>
    <t xml:space="preserve"> NumMsgSent</t>
  </si>
  <si>
    <t xml:space="preserve"> Distance</t>
  </si>
  <si>
    <t xml:space="preserve"> NodesLost</t>
  </si>
  <si>
    <t>Time(s) avg</t>
  </si>
  <si>
    <t>PRP1</t>
  </si>
  <si>
    <t>PRP2</t>
  </si>
  <si>
    <t>PRP3</t>
  </si>
  <si>
    <t>Msg avg</t>
  </si>
  <si>
    <t>Node loss avg</t>
  </si>
  <si>
    <t>Time min</t>
  </si>
  <si>
    <t>Time Max</t>
  </si>
  <si>
    <t>P(Node_loss)</t>
  </si>
  <si>
    <t>P(Node loss)</t>
  </si>
  <si>
    <t>Distance(m)</t>
  </si>
  <si>
    <t>E_horizon(J)</t>
  </si>
  <si>
    <t>Area</t>
  </si>
  <si>
    <t>Drag Constant</t>
  </si>
  <si>
    <t>Density</t>
  </si>
  <si>
    <t>Radius</t>
  </si>
  <si>
    <t>Mass</t>
  </si>
  <si>
    <t>kg</t>
  </si>
  <si>
    <t>m</t>
  </si>
  <si>
    <t>kg/m^3</t>
  </si>
  <si>
    <t>m^2</t>
  </si>
  <si>
    <t>g</t>
  </si>
  <si>
    <t>m/s^2</t>
  </si>
  <si>
    <t>E_hover(J)</t>
  </si>
  <si>
    <t>Quartile</t>
  </si>
  <si>
    <t>1th</t>
  </si>
  <si>
    <t>Min</t>
  </si>
  <si>
    <t>2th</t>
  </si>
  <si>
    <t>3th</t>
  </si>
  <si>
    <t>Max</t>
  </si>
  <si>
    <t>Quartiles</t>
  </si>
  <si>
    <t>Mean</t>
  </si>
  <si>
    <t>Std</t>
  </si>
  <si>
    <t>Varians</t>
  </si>
  <si>
    <t>n</t>
  </si>
  <si>
    <t>E_hor avg</t>
  </si>
  <si>
    <t>E_hov avg</t>
  </si>
  <si>
    <t>E_horizon</t>
  </si>
  <si>
    <t>E_hover</t>
  </si>
  <si>
    <t>Mass(g)</t>
  </si>
  <si>
    <t>TestSize</t>
  </si>
  <si>
    <t>E_Total(J)</t>
  </si>
  <si>
    <t>Kolonne1</t>
  </si>
  <si>
    <t>E_total(J)</t>
  </si>
  <si>
    <t>TimeSorted</t>
  </si>
  <si>
    <t>Rank</t>
  </si>
  <si>
    <t>P</t>
  </si>
  <si>
    <t>E_tot avg</t>
  </si>
  <si>
    <t>R+R1:U41ank</t>
  </si>
  <si>
    <t>Distance avg(m)</t>
  </si>
  <si>
    <t>NullHupo</t>
  </si>
  <si>
    <t>t_0</t>
  </si>
  <si>
    <t>Dif</t>
  </si>
  <si>
    <t>Z-min</t>
  </si>
  <si>
    <t>Min-1</t>
  </si>
  <si>
    <t>1th-2th</t>
  </si>
  <si>
    <t>2th-3th</t>
  </si>
  <si>
    <t>4th</t>
  </si>
  <si>
    <t>Varience</t>
  </si>
  <si>
    <t>Variance</t>
  </si>
  <si>
    <t>S0PRP1</t>
  </si>
  <si>
    <t>S0PRP2</t>
  </si>
  <si>
    <t>S0PRP3</t>
  </si>
  <si>
    <t>S1PRP1</t>
  </si>
  <si>
    <t>S1PRP2</t>
  </si>
  <si>
    <t>S2PRP3</t>
  </si>
  <si>
    <t>S1PRP3</t>
  </si>
  <si>
    <t>S2PRP1</t>
  </si>
  <si>
    <t>S2PRP2</t>
  </si>
  <si>
    <t>P(Nodeloss)</t>
  </si>
  <si>
    <t>PRP</t>
  </si>
  <si>
    <t>Scenario</t>
  </si>
  <si>
    <t>Varians(Time)</t>
  </si>
  <si>
    <t>Varians(Energy)</t>
  </si>
  <si>
    <t>Energy</t>
  </si>
  <si>
    <t>Node_lost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</si>
</sst>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medium">
          <color theme="9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S0PRP3!$F$2:$F$50</c:f>
              <c:numCache>
                <c:formatCode>General</c:formatCode>
                <c:ptCount val="49"/>
                <c:pt idx="0">
                  <c:v>1738.9421235000002</c:v>
                </c:pt>
                <c:pt idx="1">
                  <c:v>2011.6840685624998</c:v>
                </c:pt>
                <c:pt idx="2">
                  <c:v>1861.8591481875001</c:v>
                </c:pt>
                <c:pt idx="3">
                  <c:v>1919.0091824999997</c:v>
                </c:pt>
                <c:pt idx="4">
                  <c:v>1736.345133</c:v>
                </c:pt>
                <c:pt idx="5">
                  <c:v>1896.5897746875</c:v>
                </c:pt>
                <c:pt idx="6">
                  <c:v>1824.3276412499999</c:v>
                </c:pt>
                <c:pt idx="7">
                  <c:v>1890.72254475</c:v>
                </c:pt>
                <c:pt idx="8">
                  <c:v>2013.7057548749999</c:v>
                </c:pt>
                <c:pt idx="9">
                  <c:v>1760.213104875</c:v>
                </c:pt>
                <c:pt idx="10">
                  <c:v>1965.4083258749997</c:v>
                </c:pt>
                <c:pt idx="11">
                  <c:v>1725.4504766249997</c:v>
                </c:pt>
                <c:pt idx="12">
                  <c:v>1865.0539895624997</c:v>
                </c:pt>
                <c:pt idx="13">
                  <c:v>1830.2668751249998</c:v>
                </c:pt>
                <c:pt idx="14">
                  <c:v>1876.6328045625</c:v>
                </c:pt>
                <c:pt idx="15">
                  <c:v>1735.965475875</c:v>
                </c:pt>
                <c:pt idx="16">
                  <c:v>1870.2069986249999</c:v>
                </c:pt>
                <c:pt idx="17">
                  <c:v>1873.8748355624996</c:v>
                </c:pt>
                <c:pt idx="18">
                  <c:v>1847.8535338125</c:v>
                </c:pt>
                <c:pt idx="19">
                  <c:v>1889.9014089374996</c:v>
                </c:pt>
                <c:pt idx="20">
                  <c:v>1892.0714669999998</c:v>
                </c:pt>
                <c:pt idx="21">
                  <c:v>1831.2007443749994</c:v>
                </c:pt>
                <c:pt idx="22">
                  <c:v>1870.0203217499998</c:v>
                </c:pt>
                <c:pt idx="23">
                  <c:v>1772.2086699374997</c:v>
                </c:pt>
                <c:pt idx="24">
                  <c:v>1752.4044354374998</c:v>
                </c:pt>
                <c:pt idx="25">
                  <c:v>1910.1757297499996</c:v>
                </c:pt>
                <c:pt idx="26">
                  <c:v>1926.7203920625</c:v>
                </c:pt>
                <c:pt idx="27">
                  <c:v>1796.2434388124998</c:v>
                </c:pt>
                <c:pt idx="28">
                  <c:v>1879.3316188125</c:v>
                </c:pt>
                <c:pt idx="29">
                  <c:v>1793.8253671875</c:v>
                </c:pt>
                <c:pt idx="30">
                  <c:v>1875.9103408124997</c:v>
                </c:pt>
                <c:pt idx="31">
                  <c:v>1905.216913125</c:v>
                </c:pt>
                <c:pt idx="32">
                  <c:v>1871.3956696875</c:v>
                </c:pt>
                <c:pt idx="33">
                  <c:v>1892.2690535624997</c:v>
                </c:pt>
                <c:pt idx="34">
                  <c:v>1857.8148058125</c:v>
                </c:pt>
                <c:pt idx="35">
                  <c:v>1859.9327398124999</c:v>
                </c:pt>
                <c:pt idx="36">
                  <c:v>1793.9393128124998</c:v>
                </c:pt>
                <c:pt idx="37">
                  <c:v>1932.7005978749999</c:v>
                </c:pt>
                <c:pt idx="38">
                  <c:v>1861.6870175625002</c:v>
                </c:pt>
                <c:pt idx="39">
                  <c:v>1944.3443861249998</c:v>
                </c:pt>
                <c:pt idx="40">
                  <c:v>1859.9390431874999</c:v>
                </c:pt>
                <c:pt idx="41">
                  <c:v>1790.7660483749999</c:v>
                </c:pt>
                <c:pt idx="42">
                  <c:v>1978.0599268124997</c:v>
                </c:pt>
                <c:pt idx="43">
                  <c:v>1873.2604989374997</c:v>
                </c:pt>
                <c:pt idx="44">
                  <c:v>1795.5764932500001</c:v>
                </c:pt>
                <c:pt idx="45">
                  <c:v>1885.8328228124999</c:v>
                </c:pt>
                <c:pt idx="46">
                  <c:v>2142.5144956874997</c:v>
                </c:pt>
                <c:pt idx="47">
                  <c:v>1865.1036892499999</c:v>
                </c:pt>
                <c:pt idx="48">
                  <c:v>1869.8600705624997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7-445B-A8E3-2CBB09306029}"/>
            </c:ext>
          </c:extLst>
        </c:ser>
        <c:ser>
          <c:idx val="1"/>
          <c:order val="1"/>
          <c:tx>
            <c:strRef>
              <c:f>S0PRP3!$G$1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S0PRP3!$G$2:$G$50</c:f>
              <c:numCache>
                <c:formatCode>General</c:formatCode>
                <c:ptCount val="49"/>
                <c:pt idx="0">
                  <c:v>10335.27559136831</c:v>
                </c:pt>
                <c:pt idx="1">
                  <c:v>11306.356024140307</c:v>
                </c:pt>
                <c:pt idx="2">
                  <c:v>10968.90128623362</c:v>
                </c:pt>
                <c:pt idx="3">
                  <c:v>11476.219006080057</c:v>
                </c:pt>
                <c:pt idx="4">
                  <c:v>10569.706283106698</c:v>
                </c:pt>
                <c:pt idx="5">
                  <c:v>11267.513424850098</c:v>
                </c:pt>
                <c:pt idx="6">
                  <c:v>10991.992083623918</c:v>
                </c:pt>
                <c:pt idx="7">
                  <c:v>11218.573912816793</c:v>
                </c:pt>
                <c:pt idx="8">
                  <c:v>12385.142009677629</c:v>
                </c:pt>
                <c:pt idx="9">
                  <c:v>10384.477762187587</c:v>
                </c:pt>
                <c:pt idx="10">
                  <c:v>11679.609609523288</c:v>
                </c:pt>
                <c:pt idx="11">
                  <c:v>10307.202002302953</c:v>
                </c:pt>
                <c:pt idx="12">
                  <c:v>11012.533545738608</c:v>
                </c:pt>
                <c:pt idx="13">
                  <c:v>10724.072396674104</c:v>
                </c:pt>
                <c:pt idx="14">
                  <c:v>11033.221787763106</c:v>
                </c:pt>
                <c:pt idx="15">
                  <c:v>9900.2044881809816</c:v>
                </c:pt>
                <c:pt idx="16">
                  <c:v>11025.511979868988</c:v>
                </c:pt>
                <c:pt idx="17">
                  <c:v>11010.138715631218</c:v>
                </c:pt>
                <c:pt idx="18">
                  <c:v>10752.578600210472</c:v>
                </c:pt>
                <c:pt idx="19">
                  <c:v>11365.369273141476</c:v>
                </c:pt>
                <c:pt idx="20">
                  <c:v>11252.124710095504</c:v>
                </c:pt>
                <c:pt idx="21">
                  <c:v>10961.106500496979</c:v>
                </c:pt>
                <c:pt idx="22">
                  <c:v>11046.277474477596</c:v>
                </c:pt>
                <c:pt idx="23">
                  <c:v>10322.505739215027</c:v>
                </c:pt>
                <c:pt idx="24">
                  <c:v>10335.244690334666</c:v>
                </c:pt>
                <c:pt idx="25">
                  <c:v>11419.515609343758</c:v>
                </c:pt>
                <c:pt idx="26">
                  <c:v>10590.278646255032</c:v>
                </c:pt>
                <c:pt idx="27">
                  <c:v>11204.962007496717</c:v>
                </c:pt>
                <c:pt idx="28">
                  <c:v>11179.993972312557</c:v>
                </c:pt>
                <c:pt idx="29">
                  <c:v>10868.442025857752</c:v>
                </c:pt>
                <c:pt idx="30">
                  <c:v>11025.921418564767</c:v>
                </c:pt>
                <c:pt idx="31">
                  <c:v>11156.841372854969</c:v>
                </c:pt>
                <c:pt idx="32">
                  <c:v>11290.666024307686</c:v>
                </c:pt>
                <c:pt idx="33">
                  <c:v>11237.091357227817</c:v>
                </c:pt>
                <c:pt idx="34">
                  <c:v>10899.420312085624</c:v>
                </c:pt>
                <c:pt idx="35">
                  <c:v>10971.381094183531</c:v>
                </c:pt>
                <c:pt idx="36">
                  <c:v>11216.2486100351</c:v>
                </c:pt>
                <c:pt idx="37">
                  <c:v>11764.572001526809</c:v>
                </c:pt>
                <c:pt idx="38">
                  <c:v>11025.465628318521</c:v>
                </c:pt>
                <c:pt idx="39">
                  <c:v>11344.827811026787</c:v>
                </c:pt>
                <c:pt idx="40">
                  <c:v>10959.283339511998</c:v>
                </c:pt>
                <c:pt idx="41">
                  <c:v>11208.399747489586</c:v>
                </c:pt>
                <c:pt idx="42">
                  <c:v>11638.395355900922</c:v>
                </c:pt>
                <c:pt idx="43">
                  <c:v>11030.62610093703</c:v>
                </c:pt>
                <c:pt idx="44">
                  <c:v>11213.521593816038</c:v>
                </c:pt>
                <c:pt idx="45">
                  <c:v>11051.0825852092</c:v>
                </c:pt>
                <c:pt idx="46">
                  <c:v>12737.954561305265</c:v>
                </c:pt>
                <c:pt idx="47">
                  <c:v>10742.12632558047</c:v>
                </c:pt>
                <c:pt idx="48">
                  <c:v>11020.397858800945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7-445B-A8E3-2CBB0930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S0PRP3!$G$1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S0PRP3!$F$2:$F$50</c:f>
              <c:numCache>
                <c:formatCode>General</c:formatCode>
                <c:ptCount val="49"/>
                <c:pt idx="0">
                  <c:v>1738.9421235000002</c:v>
                </c:pt>
                <c:pt idx="1">
                  <c:v>2011.6840685624998</c:v>
                </c:pt>
                <c:pt idx="2">
                  <c:v>1861.8591481875001</c:v>
                </c:pt>
                <c:pt idx="3">
                  <c:v>1919.0091824999997</c:v>
                </c:pt>
                <c:pt idx="4">
                  <c:v>1736.345133</c:v>
                </c:pt>
                <c:pt idx="5">
                  <c:v>1896.5897746875</c:v>
                </c:pt>
                <c:pt idx="6">
                  <c:v>1824.3276412499999</c:v>
                </c:pt>
                <c:pt idx="7">
                  <c:v>1890.72254475</c:v>
                </c:pt>
                <c:pt idx="8">
                  <c:v>2013.7057548749999</c:v>
                </c:pt>
                <c:pt idx="9">
                  <c:v>1760.213104875</c:v>
                </c:pt>
                <c:pt idx="10">
                  <c:v>1965.4083258749997</c:v>
                </c:pt>
                <c:pt idx="11">
                  <c:v>1725.4504766249997</c:v>
                </c:pt>
                <c:pt idx="12">
                  <c:v>1865.0539895624997</c:v>
                </c:pt>
                <c:pt idx="13">
                  <c:v>1830.2668751249998</c:v>
                </c:pt>
                <c:pt idx="14">
                  <c:v>1876.6328045625</c:v>
                </c:pt>
                <c:pt idx="15">
                  <c:v>1735.965475875</c:v>
                </c:pt>
                <c:pt idx="16">
                  <c:v>1870.2069986249999</c:v>
                </c:pt>
                <c:pt idx="17">
                  <c:v>1873.8748355624996</c:v>
                </c:pt>
                <c:pt idx="18">
                  <c:v>1847.8535338125</c:v>
                </c:pt>
                <c:pt idx="19">
                  <c:v>1889.9014089374996</c:v>
                </c:pt>
                <c:pt idx="20">
                  <c:v>1892.0714669999998</c:v>
                </c:pt>
                <c:pt idx="21">
                  <c:v>1831.2007443749994</c:v>
                </c:pt>
                <c:pt idx="22">
                  <c:v>1870.0203217499998</c:v>
                </c:pt>
                <c:pt idx="23">
                  <c:v>1772.2086699374997</c:v>
                </c:pt>
                <c:pt idx="24">
                  <c:v>1752.4044354374998</c:v>
                </c:pt>
                <c:pt idx="25">
                  <c:v>1910.1757297499996</c:v>
                </c:pt>
                <c:pt idx="26">
                  <c:v>1926.7203920625</c:v>
                </c:pt>
                <c:pt idx="27">
                  <c:v>1796.2434388124998</c:v>
                </c:pt>
                <c:pt idx="28">
                  <c:v>1879.3316188125</c:v>
                </c:pt>
                <c:pt idx="29">
                  <c:v>1793.8253671875</c:v>
                </c:pt>
                <c:pt idx="30">
                  <c:v>1875.9103408124997</c:v>
                </c:pt>
                <c:pt idx="31">
                  <c:v>1905.216913125</c:v>
                </c:pt>
                <c:pt idx="32">
                  <c:v>1871.3956696875</c:v>
                </c:pt>
                <c:pt idx="33">
                  <c:v>1892.2690535624997</c:v>
                </c:pt>
                <c:pt idx="34">
                  <c:v>1857.8148058125</c:v>
                </c:pt>
                <c:pt idx="35">
                  <c:v>1859.9327398124999</c:v>
                </c:pt>
                <c:pt idx="36">
                  <c:v>1793.9393128124998</c:v>
                </c:pt>
                <c:pt idx="37">
                  <c:v>1932.7005978749999</c:v>
                </c:pt>
                <c:pt idx="38">
                  <c:v>1861.6870175625002</c:v>
                </c:pt>
                <c:pt idx="39">
                  <c:v>1944.3443861249998</c:v>
                </c:pt>
                <c:pt idx="40">
                  <c:v>1859.9390431874999</c:v>
                </c:pt>
                <c:pt idx="41">
                  <c:v>1790.7660483749999</c:v>
                </c:pt>
                <c:pt idx="42">
                  <c:v>1978.0599268124997</c:v>
                </c:pt>
                <c:pt idx="43">
                  <c:v>1873.2604989374997</c:v>
                </c:pt>
                <c:pt idx="44">
                  <c:v>1795.5764932500001</c:v>
                </c:pt>
                <c:pt idx="45">
                  <c:v>1885.8328228124999</c:v>
                </c:pt>
                <c:pt idx="46">
                  <c:v>2142.5144956874997</c:v>
                </c:pt>
                <c:pt idx="47">
                  <c:v>1865.1036892499999</c:v>
                </c:pt>
                <c:pt idx="48">
                  <c:v>1869.8600705624997</c:v>
                </c:pt>
              </c:numCache>
            </c:numRef>
          </c:xVal>
          <c:yVal>
            <c:numRef>
              <c:f>S0PRP3!$G$2:$G$50</c:f>
              <c:numCache>
                <c:formatCode>General</c:formatCode>
                <c:ptCount val="49"/>
                <c:pt idx="0">
                  <c:v>10335.27559136831</c:v>
                </c:pt>
                <c:pt idx="1">
                  <c:v>11306.356024140307</c:v>
                </c:pt>
                <c:pt idx="2">
                  <c:v>10968.90128623362</c:v>
                </c:pt>
                <c:pt idx="3">
                  <c:v>11476.219006080057</c:v>
                </c:pt>
                <c:pt idx="4">
                  <c:v>10569.706283106698</c:v>
                </c:pt>
                <c:pt idx="5">
                  <c:v>11267.513424850098</c:v>
                </c:pt>
                <c:pt idx="6">
                  <c:v>10991.992083623918</c:v>
                </c:pt>
                <c:pt idx="7">
                  <c:v>11218.573912816793</c:v>
                </c:pt>
                <c:pt idx="8">
                  <c:v>12385.142009677629</c:v>
                </c:pt>
                <c:pt idx="9">
                  <c:v>10384.477762187587</c:v>
                </c:pt>
                <c:pt idx="10">
                  <c:v>11679.609609523288</c:v>
                </c:pt>
                <c:pt idx="11">
                  <c:v>10307.202002302953</c:v>
                </c:pt>
                <c:pt idx="12">
                  <c:v>11012.533545738608</c:v>
                </c:pt>
                <c:pt idx="13">
                  <c:v>10724.072396674104</c:v>
                </c:pt>
                <c:pt idx="14">
                  <c:v>11033.221787763106</c:v>
                </c:pt>
                <c:pt idx="15">
                  <c:v>9900.2044881809816</c:v>
                </c:pt>
                <c:pt idx="16">
                  <c:v>11025.511979868988</c:v>
                </c:pt>
                <c:pt idx="17">
                  <c:v>11010.138715631218</c:v>
                </c:pt>
                <c:pt idx="18">
                  <c:v>10752.578600210472</c:v>
                </c:pt>
                <c:pt idx="19">
                  <c:v>11365.369273141476</c:v>
                </c:pt>
                <c:pt idx="20">
                  <c:v>11252.124710095504</c:v>
                </c:pt>
                <c:pt idx="21">
                  <c:v>10961.106500496979</c:v>
                </c:pt>
                <c:pt idx="22">
                  <c:v>11046.277474477596</c:v>
                </c:pt>
                <c:pt idx="23">
                  <c:v>10322.505739215027</c:v>
                </c:pt>
                <c:pt idx="24">
                  <c:v>10335.244690334666</c:v>
                </c:pt>
                <c:pt idx="25">
                  <c:v>11419.515609343758</c:v>
                </c:pt>
                <c:pt idx="26">
                  <c:v>10590.278646255032</c:v>
                </c:pt>
                <c:pt idx="27">
                  <c:v>11204.962007496717</c:v>
                </c:pt>
                <c:pt idx="28">
                  <c:v>11179.993972312557</c:v>
                </c:pt>
                <c:pt idx="29">
                  <c:v>10868.442025857752</c:v>
                </c:pt>
                <c:pt idx="30">
                  <c:v>11025.921418564767</c:v>
                </c:pt>
                <c:pt idx="31">
                  <c:v>11156.841372854969</c:v>
                </c:pt>
                <c:pt idx="32">
                  <c:v>11290.666024307686</c:v>
                </c:pt>
                <c:pt idx="33">
                  <c:v>11237.091357227817</c:v>
                </c:pt>
                <c:pt idx="34">
                  <c:v>10899.420312085624</c:v>
                </c:pt>
                <c:pt idx="35">
                  <c:v>10971.381094183531</c:v>
                </c:pt>
                <c:pt idx="36">
                  <c:v>11216.2486100351</c:v>
                </c:pt>
                <c:pt idx="37">
                  <c:v>11764.572001526809</c:v>
                </c:pt>
                <c:pt idx="38">
                  <c:v>11025.465628318521</c:v>
                </c:pt>
                <c:pt idx="39">
                  <c:v>11344.827811026787</c:v>
                </c:pt>
                <c:pt idx="40">
                  <c:v>10959.283339511998</c:v>
                </c:pt>
                <c:pt idx="41">
                  <c:v>11208.399747489586</c:v>
                </c:pt>
                <c:pt idx="42">
                  <c:v>11638.395355900922</c:v>
                </c:pt>
                <c:pt idx="43">
                  <c:v>11030.62610093703</c:v>
                </c:pt>
                <c:pt idx="44">
                  <c:v>11213.521593816038</c:v>
                </c:pt>
                <c:pt idx="45">
                  <c:v>11051.0825852092</c:v>
                </c:pt>
                <c:pt idx="46">
                  <c:v>12737.954561305265</c:v>
                </c:pt>
                <c:pt idx="47">
                  <c:v>10742.12632558047</c:v>
                </c:pt>
                <c:pt idx="48">
                  <c:v>11020.397858800945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D-4FB4-84EB-7FFDF269D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C4-4277-90F1-9B79436862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C4-4277-90F1-9B79436862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S0PRP3!$N$2:$O$2</c:f>
              <c:numCache>
                <c:formatCode>General</c:formatCode>
                <c:ptCount val="2"/>
                <c:pt idx="0">
                  <c:v>1865.5987614681117</c:v>
                </c:pt>
                <c:pt idx="1">
                  <c:v>11069.985188932427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4-4277-90F1-9B79436862A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S0PRP2!$F$2:$F$50</c:f>
              <c:numCache>
                <c:formatCode>General</c:formatCode>
                <c:ptCount val="49"/>
                <c:pt idx="0">
                  <c:v>1788.4951363124997</c:v>
                </c:pt>
                <c:pt idx="1">
                  <c:v>1710.9788973749999</c:v>
                </c:pt>
                <c:pt idx="2">
                  <c:v>1867.1978643750001</c:v>
                </c:pt>
                <c:pt idx="3">
                  <c:v>1889.8635886875002</c:v>
                </c:pt>
                <c:pt idx="4">
                  <c:v>1872.3198414375001</c:v>
                </c:pt>
                <c:pt idx="5">
                  <c:v>1668.8272589999999</c:v>
                </c:pt>
                <c:pt idx="6">
                  <c:v>1874.6360893124997</c:v>
                </c:pt>
                <c:pt idx="7">
                  <c:v>1851.0481327499997</c:v>
                </c:pt>
                <c:pt idx="8">
                  <c:v>1888.4159943749999</c:v>
                </c:pt>
                <c:pt idx="9">
                  <c:v>1893.208014</c:v>
                </c:pt>
                <c:pt idx="10">
                  <c:v>1877.6420718750001</c:v>
                </c:pt>
                <c:pt idx="11">
                  <c:v>1733.7733559999997</c:v>
                </c:pt>
                <c:pt idx="12">
                  <c:v>1784.2437523124997</c:v>
                </c:pt>
                <c:pt idx="13">
                  <c:v>1936.9948933124997</c:v>
                </c:pt>
                <c:pt idx="14">
                  <c:v>1858.1103371249999</c:v>
                </c:pt>
                <c:pt idx="15">
                  <c:v>1902.1672918124998</c:v>
                </c:pt>
                <c:pt idx="16">
                  <c:v>1707.694354125</c:v>
                </c:pt>
                <c:pt idx="17">
                  <c:v>2034.0625044375001</c:v>
                </c:pt>
                <c:pt idx="18">
                  <c:v>1873.8636834375</c:v>
                </c:pt>
                <c:pt idx="19">
                  <c:v>1817.2942869374999</c:v>
                </c:pt>
                <c:pt idx="20">
                  <c:v>1759.995880875</c:v>
                </c:pt>
                <c:pt idx="21">
                  <c:v>1865.7769381875</c:v>
                </c:pt>
                <c:pt idx="22">
                  <c:v>1757.8299442499997</c:v>
                </c:pt>
                <c:pt idx="23">
                  <c:v>1890.2914908749999</c:v>
                </c:pt>
                <c:pt idx="24">
                  <c:v>1853.6487598124997</c:v>
                </c:pt>
                <c:pt idx="25">
                  <c:v>1934.7838633125002</c:v>
                </c:pt>
                <c:pt idx="26">
                  <c:v>1853.7527655000001</c:v>
                </c:pt>
                <c:pt idx="27">
                  <c:v>1893.2889881249998</c:v>
                </c:pt>
                <c:pt idx="28">
                  <c:v>1862.58621825</c:v>
                </c:pt>
                <c:pt idx="29">
                  <c:v>1955.2237689374999</c:v>
                </c:pt>
                <c:pt idx="30">
                  <c:v>2093.3510799374999</c:v>
                </c:pt>
                <c:pt idx="31">
                  <c:v>1681.172661375</c:v>
                </c:pt>
                <c:pt idx="32">
                  <c:v>1965.0984907499999</c:v>
                </c:pt>
                <c:pt idx="33">
                  <c:v>2045.9770953749999</c:v>
                </c:pt>
                <c:pt idx="34">
                  <c:v>1736.8232197499999</c:v>
                </c:pt>
                <c:pt idx="35">
                  <c:v>1796.9491743749998</c:v>
                </c:pt>
                <c:pt idx="36">
                  <c:v>1820.2995421874998</c:v>
                </c:pt>
                <c:pt idx="37">
                  <c:v>1795.8885103124999</c:v>
                </c:pt>
                <c:pt idx="38">
                  <c:v>1769.0303143125</c:v>
                </c:pt>
                <c:pt idx="39">
                  <c:v>1950.4373253749995</c:v>
                </c:pt>
                <c:pt idx="40">
                  <c:v>1742.1774519374999</c:v>
                </c:pt>
                <c:pt idx="41">
                  <c:v>1750.4043260624999</c:v>
                </c:pt>
                <c:pt idx="42">
                  <c:v>1889.7496430624999</c:v>
                </c:pt>
                <c:pt idx="43">
                  <c:v>1869.2564011875002</c:v>
                </c:pt>
                <c:pt idx="44">
                  <c:v>1860.4421009999999</c:v>
                </c:pt>
                <c:pt idx="45">
                  <c:v>1742.6664483749998</c:v>
                </c:pt>
                <c:pt idx="46">
                  <c:v>1969.9644538125001</c:v>
                </c:pt>
                <c:pt idx="47">
                  <c:v>1823.4529267499997</c:v>
                </c:pt>
                <c:pt idx="48">
                  <c:v>1853.2451013749999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C-427D-92B8-EA8B0A2A2152}"/>
            </c:ext>
          </c:extLst>
        </c:ser>
        <c:ser>
          <c:idx val="1"/>
          <c:order val="1"/>
          <c:tx>
            <c:strRef>
              <c:f>S0PRP2!$G$1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S0PRP2!$G$2:$G$50</c:f>
              <c:numCache>
                <c:formatCode>General</c:formatCode>
                <c:ptCount val="49"/>
                <c:pt idx="0">
                  <c:v>10415.479224190689</c:v>
                </c:pt>
                <c:pt idx="1">
                  <c:v>9672.4484197096463</c:v>
                </c:pt>
                <c:pt idx="2">
                  <c:v>11069.291019283786</c:v>
                </c:pt>
                <c:pt idx="3">
                  <c:v>11231.498270138294</c:v>
                </c:pt>
                <c:pt idx="4">
                  <c:v>11022.916293042912</c:v>
                </c:pt>
                <c:pt idx="5">
                  <c:v>9495.9030892444298</c:v>
                </c:pt>
                <c:pt idx="6">
                  <c:v>11033.167710954231</c:v>
                </c:pt>
                <c:pt idx="7">
                  <c:v>11027.953161526846</c:v>
                </c:pt>
                <c:pt idx="8">
                  <c:v>11229.033912705207</c:v>
                </c:pt>
                <c:pt idx="9">
                  <c:v>11246.863809117656</c:v>
                </c:pt>
                <c:pt idx="10">
                  <c:v>11383.330498946914</c:v>
                </c:pt>
                <c:pt idx="11">
                  <c:v>10703.399605166429</c:v>
                </c:pt>
                <c:pt idx="12">
                  <c:v>10381.743020710113</c:v>
                </c:pt>
                <c:pt idx="13">
                  <c:v>10670.204169774619</c:v>
                </c:pt>
                <c:pt idx="14">
                  <c:v>10966.290148890721</c:v>
                </c:pt>
                <c:pt idx="15">
                  <c:v>11249.413144393266</c:v>
                </c:pt>
                <c:pt idx="16">
                  <c:v>10046.914870663146</c:v>
                </c:pt>
                <c:pt idx="17">
                  <c:v>12171.430460997381</c:v>
                </c:pt>
                <c:pt idx="18">
                  <c:v>11311.215211680787</c:v>
                </c:pt>
                <c:pt idx="19">
                  <c:v>10925.02954371789</c:v>
                </c:pt>
                <c:pt idx="20">
                  <c:v>10453.842857459418</c:v>
                </c:pt>
                <c:pt idx="21">
                  <c:v>11059.039601372469</c:v>
                </c:pt>
                <c:pt idx="22">
                  <c:v>10348.223124465045</c:v>
                </c:pt>
                <c:pt idx="23">
                  <c:v>11236.589215431104</c:v>
                </c:pt>
                <c:pt idx="24">
                  <c:v>10930.220917370041</c:v>
                </c:pt>
                <c:pt idx="25">
                  <c:v>11053.894579270784</c:v>
                </c:pt>
                <c:pt idx="26">
                  <c:v>11043.743589718806</c:v>
                </c:pt>
                <c:pt idx="27">
                  <c:v>10804.113799069855</c:v>
                </c:pt>
                <c:pt idx="28">
                  <c:v>10931.008893727958</c:v>
                </c:pt>
                <c:pt idx="29">
                  <c:v>11465.890335584631</c:v>
                </c:pt>
                <c:pt idx="30">
                  <c:v>11928.254776737807</c:v>
                </c:pt>
                <c:pt idx="31">
                  <c:v>9815.1957446269971</c:v>
                </c:pt>
                <c:pt idx="32">
                  <c:v>11223.803912761001</c:v>
                </c:pt>
                <c:pt idx="33">
                  <c:v>11663.981411757959</c:v>
                </c:pt>
                <c:pt idx="34">
                  <c:v>10345.619712380558</c:v>
                </c:pt>
                <c:pt idx="35">
                  <c:v>11210.817753372208</c:v>
                </c:pt>
                <c:pt idx="36">
                  <c:v>10906.318967846593</c:v>
                </c:pt>
                <c:pt idx="37">
                  <c:v>11213.791977860421</c:v>
                </c:pt>
                <c:pt idx="38">
                  <c:v>10476.871852782431</c:v>
                </c:pt>
                <c:pt idx="39">
                  <c:v>11437.46138463237</c:v>
                </c:pt>
                <c:pt idx="40">
                  <c:v>10134.488400009564</c:v>
                </c:pt>
                <c:pt idx="41">
                  <c:v>10389.52235592993</c:v>
                </c:pt>
                <c:pt idx="42">
                  <c:v>11105.321624512411</c:v>
                </c:pt>
                <c:pt idx="43">
                  <c:v>11144.612288790451</c:v>
                </c:pt>
                <c:pt idx="44">
                  <c:v>11558.608887032735</c:v>
                </c:pt>
                <c:pt idx="45">
                  <c:v>10685.724213922198</c:v>
                </c:pt>
                <c:pt idx="46">
                  <c:v>11764.548825751575</c:v>
                </c:pt>
                <c:pt idx="47">
                  <c:v>10752.470446592721</c:v>
                </c:pt>
                <c:pt idx="48">
                  <c:v>10760.272957587769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C-427D-92B8-EA8B0A2A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S0PRP2!$G$1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S0PRP2!$F$2:$F$50</c:f>
              <c:numCache>
                <c:formatCode>General</c:formatCode>
                <c:ptCount val="49"/>
                <c:pt idx="0">
                  <c:v>1788.4951363124997</c:v>
                </c:pt>
                <c:pt idx="1">
                  <c:v>1710.9788973749999</c:v>
                </c:pt>
                <c:pt idx="2">
                  <c:v>1867.1978643750001</c:v>
                </c:pt>
                <c:pt idx="3">
                  <c:v>1889.8635886875002</c:v>
                </c:pt>
                <c:pt idx="4">
                  <c:v>1872.3198414375001</c:v>
                </c:pt>
                <c:pt idx="5">
                  <c:v>1668.8272589999999</c:v>
                </c:pt>
                <c:pt idx="6">
                  <c:v>1874.6360893124997</c:v>
                </c:pt>
                <c:pt idx="7">
                  <c:v>1851.0481327499997</c:v>
                </c:pt>
                <c:pt idx="8">
                  <c:v>1888.4159943749999</c:v>
                </c:pt>
                <c:pt idx="9">
                  <c:v>1893.208014</c:v>
                </c:pt>
                <c:pt idx="10">
                  <c:v>1877.6420718750001</c:v>
                </c:pt>
                <c:pt idx="11">
                  <c:v>1733.7733559999997</c:v>
                </c:pt>
                <c:pt idx="12">
                  <c:v>1784.2437523124997</c:v>
                </c:pt>
                <c:pt idx="13">
                  <c:v>1936.9948933124997</c:v>
                </c:pt>
                <c:pt idx="14">
                  <c:v>1858.1103371249999</c:v>
                </c:pt>
                <c:pt idx="15">
                  <c:v>1902.1672918124998</c:v>
                </c:pt>
                <c:pt idx="16">
                  <c:v>1707.694354125</c:v>
                </c:pt>
                <c:pt idx="17">
                  <c:v>2034.0625044375001</c:v>
                </c:pt>
                <c:pt idx="18">
                  <c:v>1873.8636834375</c:v>
                </c:pt>
                <c:pt idx="19">
                  <c:v>1817.2942869374999</c:v>
                </c:pt>
                <c:pt idx="20">
                  <c:v>1759.995880875</c:v>
                </c:pt>
                <c:pt idx="21">
                  <c:v>1865.7769381875</c:v>
                </c:pt>
                <c:pt idx="22">
                  <c:v>1757.8299442499997</c:v>
                </c:pt>
                <c:pt idx="23">
                  <c:v>1890.2914908749999</c:v>
                </c:pt>
                <c:pt idx="24">
                  <c:v>1853.6487598124997</c:v>
                </c:pt>
                <c:pt idx="25">
                  <c:v>1934.7838633125002</c:v>
                </c:pt>
                <c:pt idx="26">
                  <c:v>1853.7527655000001</c:v>
                </c:pt>
                <c:pt idx="27">
                  <c:v>1893.2889881249998</c:v>
                </c:pt>
                <c:pt idx="28">
                  <c:v>1862.58621825</c:v>
                </c:pt>
                <c:pt idx="29">
                  <c:v>1955.2237689374999</c:v>
                </c:pt>
                <c:pt idx="30">
                  <c:v>2093.3510799374999</c:v>
                </c:pt>
                <c:pt idx="31">
                  <c:v>1681.172661375</c:v>
                </c:pt>
                <c:pt idx="32">
                  <c:v>1965.0984907499999</c:v>
                </c:pt>
                <c:pt idx="33">
                  <c:v>2045.9770953749999</c:v>
                </c:pt>
                <c:pt idx="34">
                  <c:v>1736.8232197499999</c:v>
                </c:pt>
                <c:pt idx="35">
                  <c:v>1796.9491743749998</c:v>
                </c:pt>
                <c:pt idx="36">
                  <c:v>1820.2995421874998</c:v>
                </c:pt>
                <c:pt idx="37">
                  <c:v>1795.8885103124999</c:v>
                </c:pt>
                <c:pt idx="38">
                  <c:v>1769.0303143125</c:v>
                </c:pt>
                <c:pt idx="39">
                  <c:v>1950.4373253749995</c:v>
                </c:pt>
                <c:pt idx="40">
                  <c:v>1742.1774519374999</c:v>
                </c:pt>
                <c:pt idx="41">
                  <c:v>1750.4043260624999</c:v>
                </c:pt>
                <c:pt idx="42">
                  <c:v>1889.7496430624999</c:v>
                </c:pt>
                <c:pt idx="43">
                  <c:v>1869.2564011875002</c:v>
                </c:pt>
                <c:pt idx="44">
                  <c:v>1860.4421009999999</c:v>
                </c:pt>
                <c:pt idx="45">
                  <c:v>1742.6664483749998</c:v>
                </c:pt>
                <c:pt idx="46">
                  <c:v>1969.9644538125001</c:v>
                </c:pt>
                <c:pt idx="47">
                  <c:v>1823.4529267499997</c:v>
                </c:pt>
                <c:pt idx="48">
                  <c:v>1853.2451013749999</c:v>
                </c:pt>
              </c:numCache>
            </c:numRef>
          </c:xVal>
          <c:yVal>
            <c:numRef>
              <c:f>S0PRP2!$G$2:$G$50</c:f>
              <c:numCache>
                <c:formatCode>General</c:formatCode>
                <c:ptCount val="49"/>
                <c:pt idx="0">
                  <c:v>10415.479224190689</c:v>
                </c:pt>
                <c:pt idx="1">
                  <c:v>9672.4484197096463</c:v>
                </c:pt>
                <c:pt idx="2">
                  <c:v>11069.291019283786</c:v>
                </c:pt>
                <c:pt idx="3">
                  <c:v>11231.498270138294</c:v>
                </c:pt>
                <c:pt idx="4">
                  <c:v>11022.916293042912</c:v>
                </c:pt>
                <c:pt idx="5">
                  <c:v>9495.9030892444298</c:v>
                </c:pt>
                <c:pt idx="6">
                  <c:v>11033.167710954231</c:v>
                </c:pt>
                <c:pt idx="7">
                  <c:v>11027.953161526846</c:v>
                </c:pt>
                <c:pt idx="8">
                  <c:v>11229.033912705207</c:v>
                </c:pt>
                <c:pt idx="9">
                  <c:v>11246.863809117656</c:v>
                </c:pt>
                <c:pt idx="10">
                  <c:v>11383.330498946914</c:v>
                </c:pt>
                <c:pt idx="11">
                  <c:v>10703.399605166429</c:v>
                </c:pt>
                <c:pt idx="12">
                  <c:v>10381.743020710113</c:v>
                </c:pt>
                <c:pt idx="13">
                  <c:v>10670.204169774619</c:v>
                </c:pt>
                <c:pt idx="14">
                  <c:v>10966.290148890721</c:v>
                </c:pt>
                <c:pt idx="15">
                  <c:v>11249.413144393266</c:v>
                </c:pt>
                <c:pt idx="16">
                  <c:v>10046.914870663146</c:v>
                </c:pt>
                <c:pt idx="17">
                  <c:v>12171.430460997381</c:v>
                </c:pt>
                <c:pt idx="18">
                  <c:v>11311.215211680787</c:v>
                </c:pt>
                <c:pt idx="19">
                  <c:v>10925.02954371789</c:v>
                </c:pt>
                <c:pt idx="20">
                  <c:v>10453.842857459418</c:v>
                </c:pt>
                <c:pt idx="21">
                  <c:v>11059.039601372469</c:v>
                </c:pt>
                <c:pt idx="22">
                  <c:v>10348.223124465045</c:v>
                </c:pt>
                <c:pt idx="23">
                  <c:v>11236.589215431104</c:v>
                </c:pt>
                <c:pt idx="24">
                  <c:v>10930.220917370041</c:v>
                </c:pt>
                <c:pt idx="25">
                  <c:v>11053.894579270784</c:v>
                </c:pt>
                <c:pt idx="26">
                  <c:v>11043.743589718806</c:v>
                </c:pt>
                <c:pt idx="27">
                  <c:v>10804.113799069855</c:v>
                </c:pt>
                <c:pt idx="28">
                  <c:v>10931.008893727958</c:v>
                </c:pt>
                <c:pt idx="29">
                  <c:v>11465.890335584631</c:v>
                </c:pt>
                <c:pt idx="30">
                  <c:v>11928.254776737807</c:v>
                </c:pt>
                <c:pt idx="31">
                  <c:v>9815.1957446269971</c:v>
                </c:pt>
                <c:pt idx="32">
                  <c:v>11223.803912761001</c:v>
                </c:pt>
                <c:pt idx="33">
                  <c:v>11663.981411757959</c:v>
                </c:pt>
                <c:pt idx="34">
                  <c:v>10345.619712380558</c:v>
                </c:pt>
                <c:pt idx="35">
                  <c:v>11210.817753372208</c:v>
                </c:pt>
                <c:pt idx="36">
                  <c:v>10906.318967846593</c:v>
                </c:pt>
                <c:pt idx="37">
                  <c:v>11213.791977860421</c:v>
                </c:pt>
                <c:pt idx="38">
                  <c:v>10476.871852782431</c:v>
                </c:pt>
                <c:pt idx="39">
                  <c:v>11437.46138463237</c:v>
                </c:pt>
                <c:pt idx="40">
                  <c:v>10134.488400009564</c:v>
                </c:pt>
                <c:pt idx="41">
                  <c:v>10389.52235592993</c:v>
                </c:pt>
                <c:pt idx="42">
                  <c:v>11105.321624512411</c:v>
                </c:pt>
                <c:pt idx="43">
                  <c:v>11144.612288790451</c:v>
                </c:pt>
                <c:pt idx="44">
                  <c:v>11558.608887032735</c:v>
                </c:pt>
                <c:pt idx="45">
                  <c:v>10685.724213922198</c:v>
                </c:pt>
                <c:pt idx="46">
                  <c:v>11764.548825751575</c:v>
                </c:pt>
                <c:pt idx="47">
                  <c:v>10752.470446592721</c:v>
                </c:pt>
                <c:pt idx="48">
                  <c:v>10760.272957587769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0-4EEE-A98F-D9F033071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6-44FB-8FA1-BBBA89D07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6-44FB-8FA1-BBBA89D075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S0PRP2!$N$2:$O$2</c:f>
              <c:numCache>
                <c:formatCode>General</c:formatCode>
                <c:ptCount val="2"/>
                <c:pt idx="0">
                  <c:v>1849.2735149885209</c:v>
                </c:pt>
                <c:pt idx="1">
                  <c:v>10920.362857004346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16-44FB-8FA1-BBBA89D0755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Distance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S0PRP2!$C$1</c:f>
              <c:strCache>
                <c:ptCount val="1"/>
                <c:pt idx="0">
                  <c:v> 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S0PRP2!$A$2:$A$50</c:f>
              <c:numCache>
                <c:formatCode>General</c:formatCode>
                <c:ptCount val="49"/>
                <c:pt idx="0">
                  <c:v>134.8237</c:v>
                </c:pt>
                <c:pt idx="1">
                  <c:v>125.2055</c:v>
                </c:pt>
                <c:pt idx="2">
                  <c:v>143.28700000000001</c:v>
                </c:pt>
                <c:pt idx="3">
                  <c:v>145.38669999999999</c:v>
                </c:pt>
                <c:pt idx="4">
                  <c:v>142.6867</c:v>
                </c:pt>
                <c:pt idx="5">
                  <c:v>122.92019999999999</c:v>
                </c:pt>
                <c:pt idx="6">
                  <c:v>142.8194</c:v>
                </c:pt>
                <c:pt idx="7">
                  <c:v>142.75190000000001</c:v>
                </c:pt>
                <c:pt idx="8">
                  <c:v>145.35480000000001</c:v>
                </c:pt>
                <c:pt idx="9">
                  <c:v>145.5856</c:v>
                </c:pt>
                <c:pt idx="10">
                  <c:v>147.35210000000001</c:v>
                </c:pt>
                <c:pt idx="11">
                  <c:v>138.55070000000001</c:v>
                </c:pt>
                <c:pt idx="12">
                  <c:v>134.387</c:v>
                </c:pt>
                <c:pt idx="13">
                  <c:v>138.12100000000001</c:v>
                </c:pt>
                <c:pt idx="14">
                  <c:v>141.9537</c:v>
                </c:pt>
                <c:pt idx="15">
                  <c:v>145.61859999999999</c:v>
                </c:pt>
                <c:pt idx="16">
                  <c:v>130.05279999999999</c:v>
                </c:pt>
                <c:pt idx="17">
                  <c:v>157.55369999999999</c:v>
                </c:pt>
                <c:pt idx="18">
                  <c:v>146.4186</c:v>
                </c:pt>
                <c:pt idx="19">
                  <c:v>141.4196</c:v>
                </c:pt>
                <c:pt idx="20">
                  <c:v>135.3203</c:v>
                </c:pt>
                <c:pt idx="21">
                  <c:v>143.15430000000001</c:v>
                </c:pt>
                <c:pt idx="22">
                  <c:v>133.95310000000001</c:v>
                </c:pt>
                <c:pt idx="23">
                  <c:v>145.45259999999999</c:v>
                </c:pt>
                <c:pt idx="24">
                  <c:v>141.48679999999999</c:v>
                </c:pt>
                <c:pt idx="25">
                  <c:v>143.08770000000001</c:v>
                </c:pt>
                <c:pt idx="26">
                  <c:v>142.9563</c:v>
                </c:pt>
                <c:pt idx="27">
                  <c:v>139.8544</c:v>
                </c:pt>
                <c:pt idx="28">
                  <c:v>141.49700000000001</c:v>
                </c:pt>
                <c:pt idx="29">
                  <c:v>148.42080000000001</c:v>
                </c:pt>
                <c:pt idx="30">
                  <c:v>154.4059</c:v>
                </c:pt>
                <c:pt idx="31">
                  <c:v>127.05329999999999</c:v>
                </c:pt>
                <c:pt idx="32">
                  <c:v>145.28710000000001</c:v>
                </c:pt>
                <c:pt idx="33">
                  <c:v>150.98500000000001</c:v>
                </c:pt>
                <c:pt idx="34">
                  <c:v>133.9194</c:v>
                </c:pt>
                <c:pt idx="35">
                  <c:v>145.119</c:v>
                </c:pt>
                <c:pt idx="36">
                  <c:v>141.17740000000001</c:v>
                </c:pt>
                <c:pt idx="37">
                  <c:v>145.1575</c:v>
                </c:pt>
                <c:pt idx="38">
                  <c:v>135.61840000000001</c:v>
                </c:pt>
                <c:pt idx="39">
                  <c:v>148.05279999999999</c:v>
                </c:pt>
                <c:pt idx="40">
                  <c:v>131.18639999999999</c:v>
                </c:pt>
                <c:pt idx="41">
                  <c:v>134.48769999999999</c:v>
                </c:pt>
                <c:pt idx="42">
                  <c:v>143.7534</c:v>
                </c:pt>
                <c:pt idx="43">
                  <c:v>144.262</c:v>
                </c:pt>
                <c:pt idx="44">
                  <c:v>149.62100000000001</c:v>
                </c:pt>
                <c:pt idx="45">
                  <c:v>138.3219</c:v>
                </c:pt>
                <c:pt idx="46">
                  <c:v>152.2868</c:v>
                </c:pt>
                <c:pt idx="47">
                  <c:v>139.1859</c:v>
                </c:pt>
                <c:pt idx="48">
                  <c:v>139.2869</c:v>
                </c:pt>
              </c:numCache>
            </c:numRef>
          </c:xVal>
          <c:yVal>
            <c:numRef>
              <c:f>S0PRP2!$C$2:$C$50</c:f>
              <c:numCache>
                <c:formatCode>General</c:formatCode>
                <c:ptCount val="49"/>
                <c:pt idx="0">
                  <c:v>737.71389999999997</c:v>
                </c:pt>
                <c:pt idx="1">
                  <c:v>705.74019999999996</c:v>
                </c:pt>
                <c:pt idx="2">
                  <c:v>770.17700000000002</c:v>
                </c:pt>
                <c:pt idx="3">
                  <c:v>779.52610000000004</c:v>
                </c:pt>
                <c:pt idx="4">
                  <c:v>772.28970000000004</c:v>
                </c:pt>
                <c:pt idx="5">
                  <c:v>688.35360000000003</c:v>
                </c:pt>
                <c:pt idx="6">
                  <c:v>773.24509999999998</c:v>
                </c:pt>
                <c:pt idx="7">
                  <c:v>763.51559999999995</c:v>
                </c:pt>
                <c:pt idx="8">
                  <c:v>778.92899999999997</c:v>
                </c:pt>
                <c:pt idx="9">
                  <c:v>780.90560000000005</c:v>
                </c:pt>
                <c:pt idx="10">
                  <c:v>774.48500000000001</c:v>
                </c:pt>
                <c:pt idx="11">
                  <c:v>715.14239999999995</c:v>
                </c:pt>
                <c:pt idx="12">
                  <c:v>735.96029999999996</c:v>
                </c:pt>
                <c:pt idx="13">
                  <c:v>798.96669999999995</c:v>
                </c:pt>
                <c:pt idx="14">
                  <c:v>766.42859999999996</c:v>
                </c:pt>
                <c:pt idx="15">
                  <c:v>784.60109999999997</c:v>
                </c:pt>
                <c:pt idx="16">
                  <c:v>704.3854</c:v>
                </c:pt>
                <c:pt idx="17">
                  <c:v>839.00490000000002</c:v>
                </c:pt>
                <c:pt idx="18">
                  <c:v>772.92650000000003</c:v>
                </c:pt>
                <c:pt idx="19">
                  <c:v>749.59289999999999</c:v>
                </c:pt>
                <c:pt idx="20">
                  <c:v>725.95860000000005</c:v>
                </c:pt>
                <c:pt idx="21">
                  <c:v>769.59090000000003</c:v>
                </c:pt>
                <c:pt idx="22">
                  <c:v>725.0652</c:v>
                </c:pt>
                <c:pt idx="23">
                  <c:v>779.70259999999996</c:v>
                </c:pt>
                <c:pt idx="24">
                  <c:v>764.5883</c:v>
                </c:pt>
                <c:pt idx="25">
                  <c:v>798.05470000000003</c:v>
                </c:pt>
                <c:pt idx="26">
                  <c:v>764.63120000000004</c:v>
                </c:pt>
                <c:pt idx="27">
                  <c:v>780.93899999999996</c:v>
                </c:pt>
                <c:pt idx="28">
                  <c:v>768.27480000000003</c:v>
                </c:pt>
                <c:pt idx="29">
                  <c:v>806.48569999999995</c:v>
                </c:pt>
                <c:pt idx="30">
                  <c:v>863.46010000000001</c:v>
                </c:pt>
                <c:pt idx="31">
                  <c:v>693.44579999999996</c:v>
                </c:pt>
                <c:pt idx="32">
                  <c:v>810.55880000000002</c:v>
                </c:pt>
                <c:pt idx="33">
                  <c:v>843.9194</c:v>
                </c:pt>
                <c:pt idx="34">
                  <c:v>716.40039999999999</c:v>
                </c:pt>
                <c:pt idx="35">
                  <c:v>741.20100000000002</c:v>
                </c:pt>
                <c:pt idx="36">
                  <c:v>750.83249999999998</c:v>
                </c:pt>
                <c:pt idx="37">
                  <c:v>740.76350000000002</c:v>
                </c:pt>
                <c:pt idx="38">
                  <c:v>729.68510000000003</c:v>
                </c:pt>
                <c:pt idx="39">
                  <c:v>804.51139999999998</c:v>
                </c:pt>
                <c:pt idx="40">
                  <c:v>718.60889999999995</c:v>
                </c:pt>
                <c:pt idx="41">
                  <c:v>722.00229999999999</c:v>
                </c:pt>
                <c:pt idx="42">
                  <c:v>779.47910000000002</c:v>
                </c:pt>
                <c:pt idx="43">
                  <c:v>771.02610000000004</c:v>
                </c:pt>
                <c:pt idx="44">
                  <c:v>767.3904</c:v>
                </c:pt>
                <c:pt idx="45">
                  <c:v>718.81060000000002</c:v>
                </c:pt>
                <c:pt idx="46">
                  <c:v>812.56590000000006</c:v>
                </c:pt>
                <c:pt idx="47">
                  <c:v>752.13319999999999</c:v>
                </c:pt>
                <c:pt idx="48">
                  <c:v>764.42179999999996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70-4DDB-8032-8171788B3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34095"/>
        <c:axId val="1885905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S0PRP2!$B$1</c15:sqref>
                        </c15:formulaRef>
                      </c:ext>
                    </c:extLst>
                    <c:strCache>
                      <c:ptCount val="1"/>
                      <c:pt idx="0">
                        <c:v> NumMsgSent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S0PRP2!$A$2:$A$50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134.8237</c:v>
                      </c:pt>
                      <c:pt idx="1">
                        <c:v>125.2055</c:v>
                      </c:pt>
                      <c:pt idx="2">
                        <c:v>143.28700000000001</c:v>
                      </c:pt>
                      <c:pt idx="3">
                        <c:v>145.38669999999999</c:v>
                      </c:pt>
                      <c:pt idx="4">
                        <c:v>142.6867</c:v>
                      </c:pt>
                      <c:pt idx="5">
                        <c:v>122.92019999999999</c:v>
                      </c:pt>
                      <c:pt idx="6">
                        <c:v>142.8194</c:v>
                      </c:pt>
                      <c:pt idx="7">
                        <c:v>142.75190000000001</c:v>
                      </c:pt>
                      <c:pt idx="8">
                        <c:v>145.35480000000001</c:v>
                      </c:pt>
                      <c:pt idx="9">
                        <c:v>145.5856</c:v>
                      </c:pt>
                      <c:pt idx="10">
                        <c:v>147.35210000000001</c:v>
                      </c:pt>
                      <c:pt idx="11">
                        <c:v>138.55070000000001</c:v>
                      </c:pt>
                      <c:pt idx="12">
                        <c:v>134.387</c:v>
                      </c:pt>
                      <c:pt idx="13">
                        <c:v>138.12100000000001</c:v>
                      </c:pt>
                      <c:pt idx="14">
                        <c:v>141.9537</c:v>
                      </c:pt>
                      <c:pt idx="15">
                        <c:v>145.61859999999999</c:v>
                      </c:pt>
                      <c:pt idx="16">
                        <c:v>130.05279999999999</c:v>
                      </c:pt>
                      <c:pt idx="17">
                        <c:v>157.55369999999999</c:v>
                      </c:pt>
                      <c:pt idx="18">
                        <c:v>146.4186</c:v>
                      </c:pt>
                      <c:pt idx="19">
                        <c:v>141.4196</c:v>
                      </c:pt>
                      <c:pt idx="20">
                        <c:v>135.3203</c:v>
                      </c:pt>
                      <c:pt idx="21">
                        <c:v>143.15430000000001</c:v>
                      </c:pt>
                      <c:pt idx="22">
                        <c:v>133.95310000000001</c:v>
                      </c:pt>
                      <c:pt idx="23">
                        <c:v>145.45259999999999</c:v>
                      </c:pt>
                      <c:pt idx="24">
                        <c:v>141.48679999999999</c:v>
                      </c:pt>
                      <c:pt idx="25">
                        <c:v>143.08770000000001</c:v>
                      </c:pt>
                      <c:pt idx="26">
                        <c:v>142.9563</c:v>
                      </c:pt>
                      <c:pt idx="27">
                        <c:v>139.8544</c:v>
                      </c:pt>
                      <c:pt idx="28">
                        <c:v>141.49700000000001</c:v>
                      </c:pt>
                      <c:pt idx="29">
                        <c:v>148.42080000000001</c:v>
                      </c:pt>
                      <c:pt idx="30">
                        <c:v>154.4059</c:v>
                      </c:pt>
                      <c:pt idx="31">
                        <c:v>127.05329999999999</c:v>
                      </c:pt>
                      <c:pt idx="32">
                        <c:v>145.28710000000001</c:v>
                      </c:pt>
                      <c:pt idx="33">
                        <c:v>150.98500000000001</c:v>
                      </c:pt>
                      <c:pt idx="34">
                        <c:v>133.9194</c:v>
                      </c:pt>
                      <c:pt idx="35">
                        <c:v>145.119</c:v>
                      </c:pt>
                      <c:pt idx="36">
                        <c:v>141.17740000000001</c:v>
                      </c:pt>
                      <c:pt idx="37">
                        <c:v>145.1575</c:v>
                      </c:pt>
                      <c:pt idx="38">
                        <c:v>135.61840000000001</c:v>
                      </c:pt>
                      <c:pt idx="39">
                        <c:v>148.05279999999999</c:v>
                      </c:pt>
                      <c:pt idx="40">
                        <c:v>131.18639999999999</c:v>
                      </c:pt>
                      <c:pt idx="41">
                        <c:v>134.48769999999999</c:v>
                      </c:pt>
                      <c:pt idx="42">
                        <c:v>143.7534</c:v>
                      </c:pt>
                      <c:pt idx="43">
                        <c:v>144.262</c:v>
                      </c:pt>
                      <c:pt idx="44">
                        <c:v>149.62100000000001</c:v>
                      </c:pt>
                      <c:pt idx="45">
                        <c:v>138.3219</c:v>
                      </c:pt>
                      <c:pt idx="46">
                        <c:v>152.2868</c:v>
                      </c:pt>
                      <c:pt idx="47">
                        <c:v>139.1859</c:v>
                      </c:pt>
                      <c:pt idx="48">
                        <c:v>139.2869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S0PRP2!$B$2:$B$50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3860</c:v>
                      </c:pt>
                      <c:pt idx="1">
                        <c:v>3952</c:v>
                      </c:pt>
                      <c:pt idx="2">
                        <c:v>3939</c:v>
                      </c:pt>
                      <c:pt idx="3">
                        <c:v>3945</c:v>
                      </c:pt>
                      <c:pt idx="4">
                        <c:v>4055</c:v>
                      </c:pt>
                      <c:pt idx="5">
                        <c:v>3735</c:v>
                      </c:pt>
                      <c:pt idx="6">
                        <c:v>4055</c:v>
                      </c:pt>
                      <c:pt idx="7">
                        <c:v>4104</c:v>
                      </c:pt>
                      <c:pt idx="8">
                        <c:v>3945</c:v>
                      </c:pt>
                      <c:pt idx="9">
                        <c:v>3943</c:v>
                      </c:pt>
                      <c:pt idx="10">
                        <c:v>3970</c:v>
                      </c:pt>
                      <c:pt idx="11">
                        <c:v>3939</c:v>
                      </c:pt>
                      <c:pt idx="12">
                        <c:v>3959</c:v>
                      </c:pt>
                      <c:pt idx="13">
                        <c:v>3881</c:v>
                      </c:pt>
                      <c:pt idx="14">
                        <c:v>4048</c:v>
                      </c:pt>
                      <c:pt idx="15">
                        <c:v>3955</c:v>
                      </c:pt>
                      <c:pt idx="16">
                        <c:v>3833</c:v>
                      </c:pt>
                      <c:pt idx="17">
                        <c:v>4040</c:v>
                      </c:pt>
                      <c:pt idx="18">
                        <c:v>3940</c:v>
                      </c:pt>
                      <c:pt idx="19">
                        <c:v>4033</c:v>
                      </c:pt>
                      <c:pt idx="20">
                        <c:v>4067</c:v>
                      </c:pt>
                      <c:pt idx="21">
                        <c:v>3940</c:v>
                      </c:pt>
                      <c:pt idx="22">
                        <c:v>3962</c:v>
                      </c:pt>
                      <c:pt idx="23">
                        <c:v>3945</c:v>
                      </c:pt>
                      <c:pt idx="24">
                        <c:v>4033</c:v>
                      </c:pt>
                      <c:pt idx="25">
                        <c:v>3952</c:v>
                      </c:pt>
                      <c:pt idx="26">
                        <c:v>3934</c:v>
                      </c:pt>
                      <c:pt idx="27">
                        <c:v>3970</c:v>
                      </c:pt>
                      <c:pt idx="28">
                        <c:v>3917</c:v>
                      </c:pt>
                      <c:pt idx="29">
                        <c:v>4063</c:v>
                      </c:pt>
                      <c:pt idx="30">
                        <c:v>4048</c:v>
                      </c:pt>
                      <c:pt idx="31">
                        <c:v>3828</c:v>
                      </c:pt>
                      <c:pt idx="32">
                        <c:v>3959</c:v>
                      </c:pt>
                      <c:pt idx="33">
                        <c:v>3998</c:v>
                      </c:pt>
                      <c:pt idx="34">
                        <c:v>3969</c:v>
                      </c:pt>
                      <c:pt idx="35">
                        <c:v>4121</c:v>
                      </c:pt>
                      <c:pt idx="36">
                        <c:v>3930</c:v>
                      </c:pt>
                      <c:pt idx="37">
                        <c:v>4121</c:v>
                      </c:pt>
                      <c:pt idx="38">
                        <c:v>4077</c:v>
                      </c:pt>
                      <c:pt idx="39">
                        <c:v>4088</c:v>
                      </c:pt>
                      <c:pt idx="40">
                        <c:v>3840</c:v>
                      </c:pt>
                      <c:pt idx="41">
                        <c:v>4067</c:v>
                      </c:pt>
                      <c:pt idx="42">
                        <c:v>4133</c:v>
                      </c:pt>
                      <c:pt idx="43">
                        <c:v>3929</c:v>
                      </c:pt>
                      <c:pt idx="44">
                        <c:v>3916</c:v>
                      </c:pt>
                      <c:pt idx="45">
                        <c:v>3939</c:v>
                      </c:pt>
                      <c:pt idx="46">
                        <c:v>4000</c:v>
                      </c:pt>
                      <c:pt idx="47">
                        <c:v>3986</c:v>
                      </c:pt>
                      <c:pt idx="48">
                        <c:v>4026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A70-4DDB-8032-8171788B3FB6}"/>
                  </c:ext>
                </c:extLst>
              </c15:ser>
            </c15:filteredScatterSeries>
          </c:ext>
        </c:extLst>
      </c:scatterChart>
      <c:valAx>
        <c:axId val="611534095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05440"/>
        <c:crosses val="autoZero"/>
        <c:crossBetween val="midCat"/>
      </c:valAx>
      <c:valAx>
        <c:axId val="18859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3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6245370370370371"/>
          <c:w val="0.79329396325459323"/>
          <c:h val="0.59088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S0PRP1!$F$1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S0PRP1!$F$2:$F$51</c:f>
              <c:numCache>
                <c:formatCode>General</c:formatCode>
                <c:ptCount val="50"/>
                <c:pt idx="0">
                  <c:v>1873.3645046250001</c:v>
                </c:pt>
                <c:pt idx="1">
                  <c:v>1793.9667082500002</c:v>
                </c:pt>
                <c:pt idx="2">
                  <c:v>1816.1824685625002</c:v>
                </c:pt>
                <c:pt idx="3">
                  <c:v>1783.7850605625001</c:v>
                </c:pt>
                <c:pt idx="4">
                  <c:v>1788.4032524999998</c:v>
                </c:pt>
                <c:pt idx="5">
                  <c:v>1810.5712526249999</c:v>
                </c:pt>
                <c:pt idx="6">
                  <c:v>1793.0597495625</c:v>
                </c:pt>
                <c:pt idx="7">
                  <c:v>1789.154323875</c:v>
                </c:pt>
                <c:pt idx="8">
                  <c:v>1795.7117733749999</c:v>
                </c:pt>
                <c:pt idx="9">
                  <c:v>1678.1431623749997</c:v>
                </c:pt>
                <c:pt idx="10">
                  <c:v>1881.3234853124998</c:v>
                </c:pt>
                <c:pt idx="11">
                  <c:v>1867.7249235000002</c:v>
                </c:pt>
                <c:pt idx="12">
                  <c:v>1713.3075095624999</c:v>
                </c:pt>
                <c:pt idx="13">
                  <c:v>1728.2996021249999</c:v>
                </c:pt>
                <c:pt idx="14">
                  <c:v>1926.2633973749998</c:v>
                </c:pt>
                <c:pt idx="15">
                  <c:v>1881.5414366249995</c:v>
                </c:pt>
                <c:pt idx="16">
                  <c:v>1733.8155401250001</c:v>
                </c:pt>
                <c:pt idx="17">
                  <c:v>1878.5989726874998</c:v>
                </c:pt>
                <c:pt idx="18">
                  <c:v>1787.264766</c:v>
                </c:pt>
                <c:pt idx="19">
                  <c:v>1924.3830521249997</c:v>
                </c:pt>
                <c:pt idx="20">
                  <c:v>1738.0143151875</c:v>
                </c:pt>
                <c:pt idx="21">
                  <c:v>1859.26579425</c:v>
                </c:pt>
                <c:pt idx="22">
                  <c:v>1674.455688</c:v>
                </c:pt>
                <c:pt idx="23">
                  <c:v>1926.1247231249997</c:v>
                </c:pt>
                <c:pt idx="24">
                  <c:v>1995.8337472499995</c:v>
                </c:pt>
                <c:pt idx="25">
                  <c:v>1792.4412914999998</c:v>
                </c:pt>
                <c:pt idx="26">
                  <c:v>1819.2049368749999</c:v>
                </c:pt>
                <c:pt idx="27">
                  <c:v>1785.6423742499996</c:v>
                </c:pt>
                <c:pt idx="28">
                  <c:v>1840.3677911249999</c:v>
                </c:pt>
                <c:pt idx="29">
                  <c:v>1838.1931267499999</c:v>
                </c:pt>
                <c:pt idx="30">
                  <c:v>1859.1838503749998</c:v>
                </c:pt>
                <c:pt idx="31">
                  <c:v>1848.2062803749996</c:v>
                </c:pt>
                <c:pt idx="32">
                  <c:v>2029.4780113124998</c:v>
                </c:pt>
                <c:pt idx="33">
                  <c:v>1918.8149900624999</c:v>
                </c:pt>
                <c:pt idx="34">
                  <c:v>1804.0550174999998</c:v>
                </c:pt>
                <c:pt idx="35">
                  <c:v>1875.5808682500001</c:v>
                </c:pt>
                <c:pt idx="36">
                  <c:v>1752.8476111875</c:v>
                </c:pt>
                <c:pt idx="37">
                  <c:v>2041.7734715624997</c:v>
                </c:pt>
                <c:pt idx="38">
                  <c:v>1960.6262461875001</c:v>
                </c:pt>
                <c:pt idx="39">
                  <c:v>1738.5224641875002</c:v>
                </c:pt>
                <c:pt idx="40">
                  <c:v>1915.2472798124998</c:v>
                </c:pt>
                <c:pt idx="41">
                  <c:v>1869.4736251874997</c:v>
                </c:pt>
                <c:pt idx="42">
                  <c:v>1948.3041178125</c:v>
                </c:pt>
                <c:pt idx="43">
                  <c:v>1883.8462899374999</c:v>
                </c:pt>
                <c:pt idx="44">
                  <c:v>1759.0627389374999</c:v>
                </c:pt>
                <c:pt idx="45">
                  <c:v>1895.83894575</c:v>
                </c:pt>
                <c:pt idx="46">
                  <c:v>1783.1229637500001</c:v>
                </c:pt>
                <c:pt idx="47">
                  <c:v>1884.2894656874998</c:v>
                </c:pt>
                <c:pt idx="48">
                  <c:v>1939.2141661874998</c:v>
                </c:pt>
                <c:pt idx="49">
                  <c:v>2001.2306484374999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E-4CDC-AA15-409FB0608498}"/>
            </c:ext>
          </c:extLst>
        </c:ser>
        <c:ser>
          <c:idx val="1"/>
          <c:order val="1"/>
          <c:tx>
            <c:strRef>
              <c:f>S0PRP1!$G$1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S0PRP1!$G$2:$G$51</c:f>
              <c:numCache>
                <c:formatCode>General</c:formatCode>
                <c:ptCount val="50"/>
                <c:pt idx="0">
                  <c:v>11303.675359471708</c:v>
                </c:pt>
                <c:pt idx="1">
                  <c:v>11416.672714248531</c:v>
                </c:pt>
                <c:pt idx="2">
                  <c:v>10719.916207649017</c:v>
                </c:pt>
                <c:pt idx="3">
                  <c:v>10402.593493161243</c:v>
                </c:pt>
                <c:pt idx="4">
                  <c:v>10410.882695436179</c:v>
                </c:pt>
                <c:pt idx="5">
                  <c:v>10551.018883010634</c:v>
                </c:pt>
                <c:pt idx="6">
                  <c:v>10295.59866416972</c:v>
                </c:pt>
                <c:pt idx="7">
                  <c:v>10412.605428061819</c:v>
                </c:pt>
                <c:pt idx="8">
                  <c:v>11012.989335984854</c:v>
                </c:pt>
                <c:pt idx="9">
                  <c:v>9406.3518937448134</c:v>
                </c:pt>
                <c:pt idx="10">
                  <c:v>11365.54695408493</c:v>
                </c:pt>
                <c:pt idx="11">
                  <c:v>11053.925480304426</c:v>
                </c:pt>
                <c:pt idx="12">
                  <c:v>9851.2495256308557</c:v>
                </c:pt>
                <c:pt idx="13">
                  <c:v>9896.2028043241153</c:v>
                </c:pt>
                <c:pt idx="14">
                  <c:v>11142.47239221062</c:v>
                </c:pt>
                <c:pt idx="15">
                  <c:v>11373.187234653349</c:v>
                </c:pt>
                <c:pt idx="16">
                  <c:v>9887.2492298258367</c:v>
                </c:pt>
                <c:pt idx="17">
                  <c:v>11056.343486187052</c:v>
                </c:pt>
                <c:pt idx="18">
                  <c:v>11079.511536161459</c:v>
                </c:pt>
                <c:pt idx="19">
                  <c:v>11416.827219416749</c:v>
                </c:pt>
                <c:pt idx="20">
                  <c:v>10301.84067296576</c:v>
                </c:pt>
                <c:pt idx="21">
                  <c:v>11074.613722328922</c:v>
                </c:pt>
                <c:pt idx="22">
                  <c:v>9742.9800290015282</c:v>
                </c:pt>
                <c:pt idx="23">
                  <c:v>11682.08169221479</c:v>
                </c:pt>
                <c:pt idx="24">
                  <c:v>11280.453232688424</c:v>
                </c:pt>
                <c:pt idx="25">
                  <c:v>11216.565345629948</c:v>
                </c:pt>
                <c:pt idx="26">
                  <c:v>10713.844154538019</c:v>
                </c:pt>
                <c:pt idx="27">
                  <c:v>10456.345841184562</c:v>
                </c:pt>
                <c:pt idx="28">
                  <c:v>11010.022836755054</c:v>
                </c:pt>
                <c:pt idx="29">
                  <c:v>10955.953753136882</c:v>
                </c:pt>
                <c:pt idx="30">
                  <c:v>10752.532248660007</c:v>
                </c:pt>
                <c:pt idx="31">
                  <c:v>11241.780589083257</c:v>
                </c:pt>
                <c:pt idx="32">
                  <c:v>12560.412672505039</c:v>
                </c:pt>
                <c:pt idx="33">
                  <c:v>10916.261375421471</c:v>
                </c:pt>
                <c:pt idx="34">
                  <c:v>11373.418992405677</c:v>
                </c:pt>
                <c:pt idx="35">
                  <c:v>10715.914523792153</c:v>
                </c:pt>
                <c:pt idx="36">
                  <c:v>10407.568559577889</c:v>
                </c:pt>
                <c:pt idx="37">
                  <c:v>12166.378141996627</c:v>
                </c:pt>
                <c:pt idx="38">
                  <c:v>12063.307744277863</c:v>
                </c:pt>
                <c:pt idx="39">
                  <c:v>10350.772459740654</c:v>
                </c:pt>
                <c:pt idx="40">
                  <c:v>11101.312215397133</c:v>
                </c:pt>
                <c:pt idx="41">
                  <c:v>11049.274874741039</c:v>
                </c:pt>
                <c:pt idx="42">
                  <c:v>11363.99417714433</c:v>
                </c:pt>
                <c:pt idx="43">
                  <c:v>11058.993249822002</c:v>
                </c:pt>
                <c:pt idx="44">
                  <c:v>10371.414350214687</c:v>
                </c:pt>
                <c:pt idx="45">
                  <c:v>11810.336432353219</c:v>
                </c:pt>
                <c:pt idx="46">
                  <c:v>10557.917538771602</c:v>
                </c:pt>
                <c:pt idx="47">
                  <c:v>11156.879999147026</c:v>
                </c:pt>
                <c:pt idx="48">
                  <c:v>11562.93503174286</c:v>
                </c:pt>
                <c:pt idx="49">
                  <c:v>11950.36446630992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E-4CDC-AA15-409FB0608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S0PRP1!$G$1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S0PRP1!$F$2:$F$51</c:f>
              <c:numCache>
                <c:formatCode>General</c:formatCode>
                <c:ptCount val="50"/>
                <c:pt idx="0">
                  <c:v>1873.3645046250001</c:v>
                </c:pt>
                <c:pt idx="1">
                  <c:v>1793.9667082500002</c:v>
                </c:pt>
                <c:pt idx="2">
                  <c:v>1816.1824685625002</c:v>
                </c:pt>
                <c:pt idx="3">
                  <c:v>1783.7850605625001</c:v>
                </c:pt>
                <c:pt idx="4">
                  <c:v>1788.4032524999998</c:v>
                </c:pt>
                <c:pt idx="5">
                  <c:v>1810.5712526249999</c:v>
                </c:pt>
                <c:pt idx="6">
                  <c:v>1793.0597495625</c:v>
                </c:pt>
                <c:pt idx="7">
                  <c:v>1789.154323875</c:v>
                </c:pt>
                <c:pt idx="8">
                  <c:v>1795.7117733749999</c:v>
                </c:pt>
                <c:pt idx="9">
                  <c:v>1678.1431623749997</c:v>
                </c:pt>
                <c:pt idx="10">
                  <c:v>1881.3234853124998</c:v>
                </c:pt>
                <c:pt idx="11">
                  <c:v>1867.7249235000002</c:v>
                </c:pt>
                <c:pt idx="12">
                  <c:v>1713.3075095624999</c:v>
                </c:pt>
                <c:pt idx="13">
                  <c:v>1728.2996021249999</c:v>
                </c:pt>
                <c:pt idx="14">
                  <c:v>1926.2633973749998</c:v>
                </c:pt>
                <c:pt idx="15">
                  <c:v>1881.5414366249995</c:v>
                </c:pt>
                <c:pt idx="16">
                  <c:v>1733.8155401250001</c:v>
                </c:pt>
                <c:pt idx="17">
                  <c:v>1878.5989726874998</c:v>
                </c:pt>
                <c:pt idx="18">
                  <c:v>1787.264766</c:v>
                </c:pt>
                <c:pt idx="19">
                  <c:v>1924.3830521249997</c:v>
                </c:pt>
                <c:pt idx="20">
                  <c:v>1738.0143151875</c:v>
                </c:pt>
                <c:pt idx="21">
                  <c:v>1859.26579425</c:v>
                </c:pt>
                <c:pt idx="22">
                  <c:v>1674.455688</c:v>
                </c:pt>
                <c:pt idx="23">
                  <c:v>1926.1247231249997</c:v>
                </c:pt>
                <c:pt idx="24">
                  <c:v>1995.8337472499995</c:v>
                </c:pt>
                <c:pt idx="25">
                  <c:v>1792.4412914999998</c:v>
                </c:pt>
                <c:pt idx="26">
                  <c:v>1819.2049368749999</c:v>
                </c:pt>
                <c:pt idx="27">
                  <c:v>1785.6423742499996</c:v>
                </c:pt>
                <c:pt idx="28">
                  <c:v>1840.3677911249999</c:v>
                </c:pt>
                <c:pt idx="29">
                  <c:v>1838.1931267499999</c:v>
                </c:pt>
                <c:pt idx="30">
                  <c:v>1859.1838503749998</c:v>
                </c:pt>
                <c:pt idx="31">
                  <c:v>1848.2062803749996</c:v>
                </c:pt>
                <c:pt idx="32">
                  <c:v>2029.4780113124998</c:v>
                </c:pt>
                <c:pt idx="33">
                  <c:v>1918.8149900624999</c:v>
                </c:pt>
                <c:pt idx="34">
                  <c:v>1804.0550174999998</c:v>
                </c:pt>
                <c:pt idx="35">
                  <c:v>1875.5808682500001</c:v>
                </c:pt>
                <c:pt idx="36">
                  <c:v>1752.8476111875</c:v>
                </c:pt>
                <c:pt idx="37">
                  <c:v>2041.7734715624997</c:v>
                </c:pt>
                <c:pt idx="38">
                  <c:v>1960.6262461875001</c:v>
                </c:pt>
                <c:pt idx="39">
                  <c:v>1738.5224641875002</c:v>
                </c:pt>
                <c:pt idx="40">
                  <c:v>1915.2472798124998</c:v>
                </c:pt>
                <c:pt idx="41">
                  <c:v>1869.4736251874997</c:v>
                </c:pt>
                <c:pt idx="42">
                  <c:v>1948.3041178125</c:v>
                </c:pt>
                <c:pt idx="43">
                  <c:v>1883.8462899374999</c:v>
                </c:pt>
                <c:pt idx="44">
                  <c:v>1759.0627389374999</c:v>
                </c:pt>
                <c:pt idx="45">
                  <c:v>1895.83894575</c:v>
                </c:pt>
                <c:pt idx="46">
                  <c:v>1783.1229637500001</c:v>
                </c:pt>
                <c:pt idx="47">
                  <c:v>1884.2894656874998</c:v>
                </c:pt>
                <c:pt idx="48">
                  <c:v>1939.2141661874998</c:v>
                </c:pt>
                <c:pt idx="49">
                  <c:v>2001.2306484374999</c:v>
                </c:pt>
              </c:numCache>
            </c:numRef>
          </c:xVal>
          <c:yVal>
            <c:numRef>
              <c:f>S0PRP1!$G$2:$G$51</c:f>
              <c:numCache>
                <c:formatCode>General</c:formatCode>
                <c:ptCount val="50"/>
                <c:pt idx="0">
                  <c:v>11303.675359471708</c:v>
                </c:pt>
                <c:pt idx="1">
                  <c:v>11416.672714248531</c:v>
                </c:pt>
                <c:pt idx="2">
                  <c:v>10719.916207649017</c:v>
                </c:pt>
                <c:pt idx="3">
                  <c:v>10402.593493161243</c:v>
                </c:pt>
                <c:pt idx="4">
                  <c:v>10410.882695436179</c:v>
                </c:pt>
                <c:pt idx="5">
                  <c:v>10551.018883010634</c:v>
                </c:pt>
                <c:pt idx="6">
                  <c:v>10295.59866416972</c:v>
                </c:pt>
                <c:pt idx="7">
                  <c:v>10412.605428061819</c:v>
                </c:pt>
                <c:pt idx="8">
                  <c:v>11012.989335984854</c:v>
                </c:pt>
                <c:pt idx="9">
                  <c:v>9406.3518937448134</c:v>
                </c:pt>
                <c:pt idx="10">
                  <c:v>11365.54695408493</c:v>
                </c:pt>
                <c:pt idx="11">
                  <c:v>11053.925480304426</c:v>
                </c:pt>
                <c:pt idx="12">
                  <c:v>9851.2495256308557</c:v>
                </c:pt>
                <c:pt idx="13">
                  <c:v>9896.2028043241153</c:v>
                </c:pt>
                <c:pt idx="14">
                  <c:v>11142.47239221062</c:v>
                </c:pt>
                <c:pt idx="15">
                  <c:v>11373.187234653349</c:v>
                </c:pt>
                <c:pt idx="16">
                  <c:v>9887.2492298258367</c:v>
                </c:pt>
                <c:pt idx="17">
                  <c:v>11056.343486187052</c:v>
                </c:pt>
                <c:pt idx="18">
                  <c:v>11079.511536161459</c:v>
                </c:pt>
                <c:pt idx="19">
                  <c:v>11416.827219416749</c:v>
                </c:pt>
                <c:pt idx="20">
                  <c:v>10301.84067296576</c:v>
                </c:pt>
                <c:pt idx="21">
                  <c:v>11074.613722328922</c:v>
                </c:pt>
                <c:pt idx="22">
                  <c:v>9742.9800290015282</c:v>
                </c:pt>
                <c:pt idx="23">
                  <c:v>11682.08169221479</c:v>
                </c:pt>
                <c:pt idx="24">
                  <c:v>11280.453232688424</c:v>
                </c:pt>
                <c:pt idx="25">
                  <c:v>11216.565345629948</c:v>
                </c:pt>
                <c:pt idx="26">
                  <c:v>10713.844154538019</c:v>
                </c:pt>
                <c:pt idx="27">
                  <c:v>10456.345841184562</c:v>
                </c:pt>
                <c:pt idx="28">
                  <c:v>11010.022836755054</c:v>
                </c:pt>
                <c:pt idx="29">
                  <c:v>10955.953753136882</c:v>
                </c:pt>
                <c:pt idx="30">
                  <c:v>10752.532248660007</c:v>
                </c:pt>
                <c:pt idx="31">
                  <c:v>11241.780589083257</c:v>
                </c:pt>
                <c:pt idx="32">
                  <c:v>12560.412672505039</c:v>
                </c:pt>
                <c:pt idx="33">
                  <c:v>10916.261375421471</c:v>
                </c:pt>
                <c:pt idx="34">
                  <c:v>11373.418992405677</c:v>
                </c:pt>
                <c:pt idx="35">
                  <c:v>10715.914523792153</c:v>
                </c:pt>
                <c:pt idx="36">
                  <c:v>10407.568559577889</c:v>
                </c:pt>
                <c:pt idx="37">
                  <c:v>12166.378141996627</c:v>
                </c:pt>
                <c:pt idx="38">
                  <c:v>12063.307744277863</c:v>
                </c:pt>
                <c:pt idx="39">
                  <c:v>10350.772459740654</c:v>
                </c:pt>
                <c:pt idx="40">
                  <c:v>11101.312215397133</c:v>
                </c:pt>
                <c:pt idx="41">
                  <c:v>11049.274874741039</c:v>
                </c:pt>
                <c:pt idx="42">
                  <c:v>11363.99417714433</c:v>
                </c:pt>
                <c:pt idx="43">
                  <c:v>11058.993249822002</c:v>
                </c:pt>
                <c:pt idx="44">
                  <c:v>10371.414350214687</c:v>
                </c:pt>
                <c:pt idx="45">
                  <c:v>11810.336432353219</c:v>
                </c:pt>
                <c:pt idx="46">
                  <c:v>10557.917538771602</c:v>
                </c:pt>
                <c:pt idx="47">
                  <c:v>11156.879999147026</c:v>
                </c:pt>
                <c:pt idx="48">
                  <c:v>11562.93503174286</c:v>
                </c:pt>
                <c:pt idx="49">
                  <c:v>11950.36446630992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C-4BFD-AAE9-F6683C05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5D-49E6-8632-E942316A71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D-49E6-8632-E942316A71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S0PRP1!$N$1:$O$1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S0PRP1!$N$2:$O$2</c:f>
              <c:numCache>
                <c:formatCode>General</c:formatCode>
                <c:ptCount val="2"/>
                <c:pt idx="0">
                  <c:v>1844.4625556512501</c:v>
                </c:pt>
                <c:pt idx="1">
                  <c:v>10940.425829225722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2-4A02-9BB0-B21C40C77D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S1PRP1!$F$2:$F$104</c:f>
              <c:numCache>
                <c:formatCode>General</c:formatCode>
                <c:ptCount val="103"/>
                <c:pt idx="0">
                  <c:v>2519.6965762499999</c:v>
                </c:pt>
                <c:pt idx="1">
                  <c:v>2692.1641893750002</c:v>
                </c:pt>
                <c:pt idx="2">
                  <c:v>2782.5739818749998</c:v>
                </c:pt>
                <c:pt idx="3">
                  <c:v>2734.7943993749996</c:v>
                </c:pt>
                <c:pt idx="4">
                  <c:v>2134.8221962499997</c:v>
                </c:pt>
                <c:pt idx="5">
                  <c:v>2830.0456687499995</c:v>
                </c:pt>
                <c:pt idx="6">
                  <c:v>2463.1577268749998</c:v>
                </c:pt>
                <c:pt idx="7">
                  <c:v>2847.6951187499994</c:v>
                </c:pt>
                <c:pt idx="8">
                  <c:v>2866.2779531249998</c:v>
                </c:pt>
                <c:pt idx="9">
                  <c:v>2620.1457056249997</c:v>
                </c:pt>
                <c:pt idx="10">
                  <c:v>2174.7082561875</c:v>
                </c:pt>
                <c:pt idx="11">
                  <c:v>2548.1732850000003</c:v>
                </c:pt>
                <c:pt idx="12">
                  <c:v>2095.7866070625</c:v>
                </c:pt>
                <c:pt idx="13">
                  <c:v>2449.2418143749996</c:v>
                </c:pt>
                <c:pt idx="14">
                  <c:v>2276.0393731874997</c:v>
                </c:pt>
                <c:pt idx="15">
                  <c:v>2554.40392875</c:v>
                </c:pt>
                <c:pt idx="16">
                  <c:v>2069.705908125</c:v>
                </c:pt>
                <c:pt idx="17">
                  <c:v>2467.5846356249999</c:v>
                </c:pt>
                <c:pt idx="18">
                  <c:v>2171.8443419999999</c:v>
                </c:pt>
                <c:pt idx="19">
                  <c:v>2830.1377950000001</c:v>
                </c:pt>
                <c:pt idx="20">
                  <c:v>2322.4945196249996</c:v>
                </c:pt>
                <c:pt idx="21">
                  <c:v>2433.8373356250004</c:v>
                </c:pt>
                <c:pt idx="22">
                  <c:v>2569.9781137499995</c:v>
                </c:pt>
                <c:pt idx="23">
                  <c:v>2534.1070612499998</c:v>
                </c:pt>
                <c:pt idx="24">
                  <c:v>2643.4100081249994</c:v>
                </c:pt>
                <c:pt idx="25">
                  <c:v>2520.1378124999997</c:v>
                </c:pt>
                <c:pt idx="26">
                  <c:v>2414.2663259999999</c:v>
                </c:pt>
                <c:pt idx="27">
                  <c:v>2623.1689012499996</c:v>
                </c:pt>
                <c:pt idx="28">
                  <c:v>2354.1006116250001</c:v>
                </c:pt>
                <c:pt idx="29">
                  <c:v>2492.2332562499996</c:v>
                </c:pt>
                <c:pt idx="30">
                  <c:v>2747.4132712500004</c:v>
                </c:pt>
                <c:pt idx="31">
                  <c:v>2692.4284462499995</c:v>
                </c:pt>
                <c:pt idx="32">
                  <c:v>2215.2850205624995</c:v>
                </c:pt>
                <c:pt idx="33">
                  <c:v>2783.4540299999999</c:v>
                </c:pt>
                <c:pt idx="34">
                  <c:v>2528.4437212499993</c:v>
                </c:pt>
                <c:pt idx="35">
                  <c:v>2587.566954375</c:v>
                </c:pt>
                <c:pt idx="36">
                  <c:v>2385.3231675000002</c:v>
                </c:pt>
                <c:pt idx="37">
                  <c:v>2267.6134578749998</c:v>
                </c:pt>
                <c:pt idx="38">
                  <c:v>2520.5523806250003</c:v>
                </c:pt>
                <c:pt idx="39">
                  <c:v>2569.6871887500001</c:v>
                </c:pt>
                <c:pt idx="40">
                  <c:v>2792.3199693749998</c:v>
                </c:pt>
                <c:pt idx="41">
                  <c:v>2841.6147862499997</c:v>
                </c:pt>
                <c:pt idx="42">
                  <c:v>1907.9254248749999</c:v>
                </c:pt>
                <c:pt idx="43">
                  <c:v>2638.444888125</c:v>
                </c:pt>
                <c:pt idx="44">
                  <c:v>3308.3166712499997</c:v>
                </c:pt>
                <c:pt idx="45">
                  <c:v>2340.1531822499996</c:v>
                </c:pt>
                <c:pt idx="46">
                  <c:v>2718.2286450000001</c:v>
                </c:pt>
                <c:pt idx="47">
                  <c:v>2854.3306331249996</c:v>
                </c:pt>
                <c:pt idx="48">
                  <c:v>2198.4295533750001</c:v>
                </c:pt>
                <c:pt idx="49">
                  <c:v>2903.08239</c:v>
                </c:pt>
                <c:pt idx="50">
                  <c:v>2275.8255433125</c:v>
                </c:pt>
                <c:pt idx="51">
                  <c:v>2672.3764406250002</c:v>
                </c:pt>
                <c:pt idx="52">
                  <c:v>2328.0761581874999</c:v>
                </c:pt>
                <c:pt idx="53">
                  <c:v>1192.934568375</c:v>
                </c:pt>
                <c:pt idx="54">
                  <c:v>2532.4924274999998</c:v>
                </c:pt>
                <c:pt idx="55">
                  <c:v>2459.613290625</c:v>
                </c:pt>
                <c:pt idx="56">
                  <c:v>2439.1248974999999</c:v>
                </c:pt>
                <c:pt idx="57">
                  <c:v>2250.7221099375001</c:v>
                </c:pt>
                <c:pt idx="58">
                  <c:v>2490.6574124999997</c:v>
                </c:pt>
                <c:pt idx="59">
                  <c:v>2742.1499531249997</c:v>
                </c:pt>
                <c:pt idx="60">
                  <c:v>2608.8747862499999</c:v>
                </c:pt>
                <c:pt idx="61">
                  <c:v>2453.43355875</c:v>
                </c:pt>
                <c:pt idx="62">
                  <c:v>2274.1197530625</c:v>
                </c:pt>
                <c:pt idx="63">
                  <c:v>3027.2419068749996</c:v>
                </c:pt>
                <c:pt idx="64">
                  <c:v>2290.0733527499997</c:v>
                </c:pt>
                <c:pt idx="65">
                  <c:v>2603.0781056249998</c:v>
                </c:pt>
                <c:pt idx="66">
                  <c:v>2538.410326875</c:v>
                </c:pt>
                <c:pt idx="67">
                  <c:v>2623.2537543749995</c:v>
                </c:pt>
                <c:pt idx="68">
                  <c:v>2578.1531062499998</c:v>
                </c:pt>
                <c:pt idx="69">
                  <c:v>2449.2951506250001</c:v>
                </c:pt>
                <c:pt idx="70">
                  <c:v>2690.7119887499998</c:v>
                </c:pt>
                <c:pt idx="71">
                  <c:v>2627.3388262499998</c:v>
                </c:pt>
                <c:pt idx="72">
                  <c:v>2139.9065955000001</c:v>
                </c:pt>
                <c:pt idx="73">
                  <c:v>2947.2932925</c:v>
                </c:pt>
                <c:pt idx="74">
                  <c:v>2308.2401643749995</c:v>
                </c:pt>
                <c:pt idx="75">
                  <c:v>2232.9213789375003</c:v>
                </c:pt>
                <c:pt idx="76">
                  <c:v>2378.7385649999997</c:v>
                </c:pt>
                <c:pt idx="77">
                  <c:v>2623.8186337499997</c:v>
                </c:pt>
                <c:pt idx="78">
                  <c:v>2486.7202275</c:v>
                </c:pt>
                <c:pt idx="79">
                  <c:v>2957.8199287500001</c:v>
                </c:pt>
                <c:pt idx="80">
                  <c:v>2759.0623931249997</c:v>
                </c:pt>
                <c:pt idx="81">
                  <c:v>2431.0177874999995</c:v>
                </c:pt>
                <c:pt idx="82">
                  <c:v>2397.4474668749999</c:v>
                </c:pt>
                <c:pt idx="83">
                  <c:v>2055.6023490000002</c:v>
                </c:pt>
                <c:pt idx="84">
                  <c:v>2759.1084562499996</c:v>
                </c:pt>
                <c:pt idx="85">
                  <c:v>2697.5244824999995</c:v>
                </c:pt>
                <c:pt idx="86">
                  <c:v>2448.0223537500001</c:v>
                </c:pt>
                <c:pt idx="87">
                  <c:v>2495.1061406250001</c:v>
                </c:pt>
                <c:pt idx="88">
                  <c:v>2567.1270487499996</c:v>
                </c:pt>
                <c:pt idx="89">
                  <c:v>2384.2101369375</c:v>
                </c:pt>
                <c:pt idx="90">
                  <c:v>2342.3945169374997</c:v>
                </c:pt>
                <c:pt idx="91">
                  <c:v>2381.9421341249999</c:v>
                </c:pt>
                <c:pt idx="92">
                  <c:v>2626.3715006249995</c:v>
                </c:pt>
                <c:pt idx="93">
                  <c:v>2535.7580606249999</c:v>
                </c:pt>
                <c:pt idx="94">
                  <c:v>2760.6988462500003</c:v>
                </c:pt>
                <c:pt idx="95">
                  <c:v>2560.9788337499995</c:v>
                </c:pt>
                <c:pt idx="96">
                  <c:v>3042.9397349999999</c:v>
                </c:pt>
                <c:pt idx="97">
                  <c:v>2152.8760320000001</c:v>
                </c:pt>
                <c:pt idx="98">
                  <c:v>2253.8146426874996</c:v>
                </c:pt>
                <c:pt idx="99">
                  <c:v>2813.4290025000005</c:v>
                </c:pt>
                <c:pt idx="100">
                  <c:v>2441.9686893749999</c:v>
                </c:pt>
                <c:pt idx="101">
                  <c:v>2973.1225837499996</c:v>
                </c:pt>
                <c:pt idx="102">
                  <c:v>2802.5387100000003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5-4139-A1E4-EA8160A5050B}"/>
            </c:ext>
          </c:extLst>
        </c:ser>
        <c:ser>
          <c:idx val="1"/>
          <c:order val="1"/>
          <c:tx>
            <c:strRef>
              <c:f>S1PRP1!$G$1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S1PRP1!$G$2:$G$104</c:f>
              <c:numCache>
                <c:formatCode>General</c:formatCode>
                <c:ptCount val="103"/>
                <c:pt idx="0">
                  <c:v>13164.999121003624</c:v>
                </c:pt>
                <c:pt idx="1">
                  <c:v>14201.991458537763</c:v>
                </c:pt>
                <c:pt idx="2">
                  <c:v>14488.227733179916</c:v>
                </c:pt>
                <c:pt idx="3">
                  <c:v>14224.193851210804</c:v>
                </c:pt>
                <c:pt idx="4">
                  <c:v>11838.363669868109</c:v>
                </c:pt>
                <c:pt idx="5">
                  <c:v>14690.946239141396</c:v>
                </c:pt>
                <c:pt idx="6">
                  <c:v>14735.822265250548</c:v>
                </c:pt>
                <c:pt idx="7">
                  <c:v>15675.205962762457</c:v>
                </c:pt>
                <c:pt idx="8">
                  <c:v>15821.777290593223</c:v>
                </c:pt>
                <c:pt idx="9">
                  <c:v>15173.210945961157</c:v>
                </c:pt>
                <c:pt idx="10">
                  <c:v>13084.030687598561</c:v>
                </c:pt>
                <c:pt idx="11">
                  <c:v>19527.60692609644</c:v>
                </c:pt>
                <c:pt idx="12">
                  <c:v>19664.877042800432</c:v>
                </c:pt>
                <c:pt idx="13">
                  <c:v>15696.620379077582</c:v>
                </c:pt>
                <c:pt idx="14">
                  <c:v>16510.406825344427</c:v>
                </c:pt>
                <c:pt idx="15">
                  <c:v>15843.516167761609</c:v>
                </c:pt>
                <c:pt idx="16">
                  <c:v>15209.975450738821</c:v>
                </c:pt>
                <c:pt idx="17">
                  <c:v>14738.72696241306</c:v>
                </c:pt>
                <c:pt idx="18">
                  <c:v>15029.752897269998</c:v>
                </c:pt>
                <c:pt idx="19">
                  <c:v>18905.275559027923</c:v>
                </c:pt>
                <c:pt idx="20">
                  <c:v>17071.801354067444</c:v>
                </c:pt>
                <c:pt idx="21">
                  <c:v>15235.816440123413</c:v>
                </c:pt>
                <c:pt idx="22">
                  <c:v>15591.046997633674</c:v>
                </c:pt>
                <c:pt idx="23">
                  <c:v>19023.773297793334</c:v>
                </c:pt>
                <c:pt idx="24">
                  <c:v>16307.039397676428</c:v>
                </c:pt>
                <c:pt idx="25">
                  <c:v>19494.882731467693</c:v>
                </c:pt>
                <c:pt idx="26">
                  <c:v>15096.653635108738</c:v>
                </c:pt>
                <c:pt idx="27">
                  <c:v>16214.313120969913</c:v>
                </c:pt>
                <c:pt idx="28">
                  <c:v>15155.921817637471</c:v>
                </c:pt>
                <c:pt idx="29">
                  <c:v>16373.886058706292</c:v>
                </c:pt>
                <c:pt idx="30">
                  <c:v>17241.702962299252</c:v>
                </c:pt>
                <c:pt idx="31">
                  <c:v>17234.008604921957</c:v>
                </c:pt>
                <c:pt idx="32">
                  <c:v>17700.127521662853</c:v>
                </c:pt>
                <c:pt idx="33">
                  <c:v>18096.556882278655</c:v>
                </c:pt>
                <c:pt idx="34">
                  <c:v>15825.562667214585</c:v>
                </c:pt>
                <c:pt idx="35">
                  <c:v>16412.58187808669</c:v>
                </c:pt>
                <c:pt idx="36">
                  <c:v>14651.199784617109</c:v>
                </c:pt>
                <c:pt idx="37">
                  <c:v>13721.573088478217</c:v>
                </c:pt>
                <c:pt idx="38">
                  <c:v>15403.184163596434</c:v>
                </c:pt>
                <c:pt idx="39">
                  <c:v>16430.558554408952</c:v>
                </c:pt>
                <c:pt idx="40">
                  <c:v>18292.438534546451</c:v>
                </c:pt>
                <c:pt idx="41">
                  <c:v>17089.93253555792</c:v>
                </c:pt>
                <c:pt idx="42">
                  <c:v>11751.67081998054</c:v>
                </c:pt>
                <c:pt idx="43">
                  <c:v>17022.79231470844</c:v>
                </c:pt>
                <c:pt idx="44">
                  <c:v>21838.200815774988</c:v>
                </c:pt>
                <c:pt idx="45">
                  <c:v>14831.437788602752</c:v>
                </c:pt>
                <c:pt idx="46">
                  <c:v>16657.094032051358</c:v>
                </c:pt>
                <c:pt idx="47">
                  <c:v>17617.868970103158</c:v>
                </c:pt>
                <c:pt idx="48">
                  <c:v>16873.455344366557</c:v>
                </c:pt>
                <c:pt idx="49">
                  <c:v>18634.791086285673</c:v>
                </c:pt>
                <c:pt idx="50">
                  <c:v>16461.459588052709</c:v>
                </c:pt>
                <c:pt idx="51">
                  <c:v>16572.216617890361</c:v>
                </c:pt>
                <c:pt idx="52">
                  <c:v>16587.659409453827</c:v>
                </c:pt>
                <c:pt idx="53">
                  <c:v>20586.716678461096</c:v>
                </c:pt>
                <c:pt idx="54">
                  <c:v>16103.548365873854</c:v>
                </c:pt>
                <c:pt idx="55">
                  <c:v>15539.728106009799</c:v>
                </c:pt>
                <c:pt idx="56">
                  <c:v>15874.33994882126</c:v>
                </c:pt>
                <c:pt idx="57">
                  <c:v>16113.861585852459</c:v>
                </c:pt>
                <c:pt idx="58">
                  <c:v>15320.709304801236</c:v>
                </c:pt>
                <c:pt idx="59">
                  <c:v>16685.515257745206</c:v>
                </c:pt>
                <c:pt idx="60">
                  <c:v>17411.658647339937</c:v>
                </c:pt>
                <c:pt idx="61">
                  <c:v>17697.632263196116</c:v>
                </c:pt>
                <c:pt idx="62">
                  <c:v>16690.783883981469</c:v>
                </c:pt>
                <c:pt idx="63">
                  <c:v>18930.884790660188</c:v>
                </c:pt>
                <c:pt idx="64">
                  <c:v>17251.985281244211</c:v>
                </c:pt>
                <c:pt idx="65">
                  <c:v>16778.256984968542</c:v>
                </c:pt>
                <c:pt idx="66">
                  <c:v>15693.901088116931</c:v>
                </c:pt>
                <c:pt idx="67">
                  <c:v>16708.629230910738</c:v>
                </c:pt>
                <c:pt idx="68">
                  <c:v>16618.575893614412</c:v>
                </c:pt>
                <c:pt idx="69">
                  <c:v>15063.133738863669</c:v>
                </c:pt>
                <c:pt idx="70">
                  <c:v>17018.234412245987</c:v>
                </c:pt>
                <c:pt idx="71">
                  <c:v>16881.126525968622</c:v>
                </c:pt>
                <c:pt idx="72">
                  <c:v>15426.352213570841</c:v>
                </c:pt>
                <c:pt idx="73">
                  <c:v>18094.162052171261</c:v>
                </c:pt>
                <c:pt idx="74">
                  <c:v>14329.357793958932</c:v>
                </c:pt>
                <c:pt idx="75">
                  <c:v>16736.99637979571</c:v>
                </c:pt>
                <c:pt idx="76">
                  <c:v>17939.625982918817</c:v>
                </c:pt>
                <c:pt idx="77">
                  <c:v>16793.637974464724</c:v>
                </c:pt>
                <c:pt idx="78">
                  <c:v>16559.261359535212</c:v>
                </c:pt>
                <c:pt idx="79">
                  <c:v>18547.279359006545</c:v>
                </c:pt>
                <c:pt idx="80">
                  <c:v>18408.394663294664</c:v>
                </c:pt>
                <c:pt idx="81">
                  <c:v>14725.941659742955</c:v>
                </c:pt>
                <c:pt idx="82">
                  <c:v>15001.378023126616</c:v>
                </c:pt>
                <c:pt idx="83">
                  <c:v>15737.950511576111</c:v>
                </c:pt>
                <c:pt idx="84">
                  <c:v>17553.324436079754</c:v>
                </c:pt>
                <c:pt idx="85">
                  <c:v>19757.580143731713</c:v>
                </c:pt>
                <c:pt idx="86">
                  <c:v>16173.199295706891</c:v>
                </c:pt>
                <c:pt idx="87">
                  <c:v>16726.621357749817</c:v>
                </c:pt>
                <c:pt idx="88">
                  <c:v>16126.731866365084</c:v>
                </c:pt>
                <c:pt idx="89">
                  <c:v>18040.046617002627</c:v>
                </c:pt>
                <c:pt idx="90">
                  <c:v>14993.590962648386</c:v>
                </c:pt>
                <c:pt idx="91">
                  <c:v>15238.365775399025</c:v>
                </c:pt>
                <c:pt idx="92">
                  <c:v>16760.179880286942</c:v>
                </c:pt>
                <c:pt idx="93">
                  <c:v>15967.089401303007</c:v>
                </c:pt>
                <c:pt idx="94">
                  <c:v>16976.487115793265</c:v>
                </c:pt>
                <c:pt idx="95">
                  <c:v>16518.209336339474</c:v>
                </c:pt>
                <c:pt idx="96">
                  <c:v>19708.864664192326</c:v>
                </c:pt>
                <c:pt idx="97">
                  <c:v>15897.592976638191</c:v>
                </c:pt>
                <c:pt idx="98">
                  <c:v>16098.441970064223</c:v>
                </c:pt>
                <c:pt idx="99">
                  <c:v>18150.695493222524</c:v>
                </c:pt>
                <c:pt idx="100">
                  <c:v>15207.541994339374</c:v>
                </c:pt>
                <c:pt idx="101">
                  <c:v>20318.966947196324</c:v>
                </c:pt>
                <c:pt idx="102">
                  <c:v>17893.15855357701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5-4139-A1E4-EA8160A50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C6-4D41-9DFF-50DD3B5F0F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C6-4D41-9DFF-50DD3B5F0F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S1PRP1!$N$2:$O$2</c:f>
              <c:numCache>
                <c:formatCode>General</c:formatCode>
                <c:ptCount val="2"/>
                <c:pt idx="0">
                  <c:v>2521.7847116213579</c:v>
                </c:pt>
                <c:pt idx="1">
                  <c:v>16486.553252439182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C6-4D41-9DFF-50DD3B5F0F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S1PRP1!$B$2:$B$104</c:f>
              <c:numCache>
                <c:formatCode>General</c:formatCode>
                <c:ptCount val="103"/>
                <c:pt idx="0">
                  <c:v>4791</c:v>
                </c:pt>
                <c:pt idx="1">
                  <c:v>4952</c:v>
                </c:pt>
                <c:pt idx="2">
                  <c:v>5029</c:v>
                </c:pt>
                <c:pt idx="3">
                  <c:v>4889</c:v>
                </c:pt>
                <c:pt idx="4">
                  <c:v>4297</c:v>
                </c:pt>
                <c:pt idx="5">
                  <c:v>5133</c:v>
                </c:pt>
                <c:pt idx="6">
                  <c:v>4740</c:v>
                </c:pt>
                <c:pt idx="7">
                  <c:v>5284</c:v>
                </c:pt>
                <c:pt idx="8">
                  <c:v>5197</c:v>
                </c:pt>
                <c:pt idx="9">
                  <c:v>4995</c:v>
                </c:pt>
                <c:pt idx="10">
                  <c:v>4320</c:v>
                </c:pt>
                <c:pt idx="11">
                  <c:v>5512</c:v>
                </c:pt>
                <c:pt idx="12">
                  <c:v>5700</c:v>
                </c:pt>
                <c:pt idx="13">
                  <c:v>5086</c:v>
                </c:pt>
                <c:pt idx="14">
                  <c:v>5286</c:v>
                </c:pt>
                <c:pt idx="15">
                  <c:v>5098</c:v>
                </c:pt>
                <c:pt idx="16">
                  <c:v>5064</c:v>
                </c:pt>
                <c:pt idx="17">
                  <c:v>4907</c:v>
                </c:pt>
                <c:pt idx="18">
                  <c:v>4616</c:v>
                </c:pt>
                <c:pt idx="19">
                  <c:v>5625</c:v>
                </c:pt>
                <c:pt idx="20">
                  <c:v>5174</c:v>
                </c:pt>
                <c:pt idx="21">
                  <c:v>5025</c:v>
                </c:pt>
                <c:pt idx="22">
                  <c:v>5091</c:v>
                </c:pt>
                <c:pt idx="23">
                  <c:v>5510</c:v>
                </c:pt>
                <c:pt idx="24">
                  <c:v>5180</c:v>
                </c:pt>
                <c:pt idx="25">
                  <c:v>5488</c:v>
                </c:pt>
                <c:pt idx="26">
                  <c:v>5050</c:v>
                </c:pt>
                <c:pt idx="27">
                  <c:v>5273</c:v>
                </c:pt>
                <c:pt idx="28">
                  <c:v>5124</c:v>
                </c:pt>
                <c:pt idx="29">
                  <c:v>5279</c:v>
                </c:pt>
                <c:pt idx="30">
                  <c:v>5341</c:v>
                </c:pt>
                <c:pt idx="31">
                  <c:v>5322</c:v>
                </c:pt>
                <c:pt idx="32">
                  <c:v>5257</c:v>
                </c:pt>
                <c:pt idx="33">
                  <c:v>5278</c:v>
                </c:pt>
                <c:pt idx="34">
                  <c:v>5180</c:v>
                </c:pt>
                <c:pt idx="35">
                  <c:v>5243</c:v>
                </c:pt>
                <c:pt idx="36">
                  <c:v>4944</c:v>
                </c:pt>
                <c:pt idx="37">
                  <c:v>4736</c:v>
                </c:pt>
                <c:pt idx="38">
                  <c:v>5074</c:v>
                </c:pt>
                <c:pt idx="39">
                  <c:v>5208</c:v>
                </c:pt>
                <c:pt idx="40">
                  <c:v>5521</c:v>
                </c:pt>
                <c:pt idx="41">
                  <c:v>5254</c:v>
                </c:pt>
                <c:pt idx="42">
                  <c:v>4111</c:v>
                </c:pt>
                <c:pt idx="43">
                  <c:v>5324</c:v>
                </c:pt>
                <c:pt idx="44">
                  <c:v>5905</c:v>
                </c:pt>
                <c:pt idx="45">
                  <c:v>4941</c:v>
                </c:pt>
                <c:pt idx="46">
                  <c:v>5245</c:v>
                </c:pt>
                <c:pt idx="47">
                  <c:v>5361</c:v>
                </c:pt>
                <c:pt idx="48">
                  <c:v>5475</c:v>
                </c:pt>
                <c:pt idx="49">
                  <c:v>5531</c:v>
                </c:pt>
                <c:pt idx="50">
                  <c:v>5085</c:v>
                </c:pt>
                <c:pt idx="51">
                  <c:v>5294</c:v>
                </c:pt>
                <c:pt idx="52">
                  <c:v>4858</c:v>
                </c:pt>
                <c:pt idx="53">
                  <c:v>5221</c:v>
                </c:pt>
                <c:pt idx="54">
                  <c:v>5251</c:v>
                </c:pt>
                <c:pt idx="55">
                  <c:v>5137</c:v>
                </c:pt>
                <c:pt idx="56">
                  <c:v>5134</c:v>
                </c:pt>
                <c:pt idx="57">
                  <c:v>5044</c:v>
                </c:pt>
                <c:pt idx="58">
                  <c:v>4982</c:v>
                </c:pt>
                <c:pt idx="59">
                  <c:v>5299</c:v>
                </c:pt>
                <c:pt idx="60">
                  <c:v>5348</c:v>
                </c:pt>
                <c:pt idx="61">
                  <c:v>5324</c:v>
                </c:pt>
                <c:pt idx="62">
                  <c:v>5280</c:v>
                </c:pt>
                <c:pt idx="63">
                  <c:v>5512</c:v>
                </c:pt>
                <c:pt idx="64">
                  <c:v>5344</c:v>
                </c:pt>
                <c:pt idx="65">
                  <c:v>5205</c:v>
                </c:pt>
                <c:pt idx="66">
                  <c:v>5139</c:v>
                </c:pt>
                <c:pt idx="67">
                  <c:v>5287</c:v>
                </c:pt>
                <c:pt idx="68">
                  <c:v>5219</c:v>
                </c:pt>
                <c:pt idx="69">
                  <c:v>5042</c:v>
                </c:pt>
                <c:pt idx="70">
                  <c:v>5310</c:v>
                </c:pt>
                <c:pt idx="71">
                  <c:v>5256</c:v>
                </c:pt>
                <c:pt idx="72">
                  <c:v>4898</c:v>
                </c:pt>
                <c:pt idx="73">
                  <c:v>5674</c:v>
                </c:pt>
                <c:pt idx="74">
                  <c:v>4470</c:v>
                </c:pt>
                <c:pt idx="75">
                  <c:v>5061</c:v>
                </c:pt>
                <c:pt idx="76">
                  <c:v>5427</c:v>
                </c:pt>
                <c:pt idx="77">
                  <c:v>5385</c:v>
                </c:pt>
                <c:pt idx="78">
                  <c:v>5334</c:v>
                </c:pt>
                <c:pt idx="79">
                  <c:v>5533</c:v>
                </c:pt>
                <c:pt idx="80">
                  <c:v>5400</c:v>
                </c:pt>
                <c:pt idx="81">
                  <c:v>5003</c:v>
                </c:pt>
                <c:pt idx="82">
                  <c:v>4960</c:v>
                </c:pt>
                <c:pt idx="83">
                  <c:v>5143</c:v>
                </c:pt>
                <c:pt idx="84">
                  <c:v>5445</c:v>
                </c:pt>
                <c:pt idx="85">
                  <c:v>5607</c:v>
                </c:pt>
                <c:pt idx="86">
                  <c:v>5182</c:v>
                </c:pt>
                <c:pt idx="87">
                  <c:v>5202</c:v>
                </c:pt>
                <c:pt idx="88">
                  <c:v>5262</c:v>
                </c:pt>
                <c:pt idx="89">
                  <c:v>5302</c:v>
                </c:pt>
                <c:pt idx="90">
                  <c:v>4959</c:v>
                </c:pt>
                <c:pt idx="91">
                  <c:v>5032</c:v>
                </c:pt>
                <c:pt idx="92">
                  <c:v>5242</c:v>
                </c:pt>
                <c:pt idx="93">
                  <c:v>5298</c:v>
                </c:pt>
                <c:pt idx="94">
                  <c:v>5463</c:v>
                </c:pt>
                <c:pt idx="95">
                  <c:v>5221</c:v>
                </c:pt>
                <c:pt idx="96">
                  <c:v>5685</c:v>
                </c:pt>
                <c:pt idx="97">
                  <c:v>5056</c:v>
                </c:pt>
                <c:pt idx="98">
                  <c:v>5053</c:v>
                </c:pt>
                <c:pt idx="99">
                  <c:v>5502</c:v>
                </c:pt>
                <c:pt idx="100">
                  <c:v>5028</c:v>
                </c:pt>
                <c:pt idx="101">
                  <c:v>5551</c:v>
                </c:pt>
                <c:pt idx="102">
                  <c:v>5565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8-4781-8D98-22D3107E3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2927"/>
        <c:axId val="72246560"/>
      </c:scatterChart>
      <c:valAx>
        <c:axId val="43912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46560"/>
        <c:crosses val="autoZero"/>
        <c:crossBetween val="midCat"/>
      </c:valAx>
      <c:valAx>
        <c:axId val="722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2F-47FE-BE81-880D9CD15C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2F-47FE-BE81-880D9CD15C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S1PRP2!$N$2:$O$2</c:f>
              <c:numCache>
                <c:formatCode>General</c:formatCode>
                <c:ptCount val="2"/>
                <c:pt idx="0">
                  <c:v>2831.6440467548077</c:v>
                </c:pt>
                <c:pt idx="1">
                  <c:v>18016.503594869966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2F-47FE-BE81-880D9CD15C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S1PRP2!$F$1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S1PRP2!$F$2:$F$43</c:f>
              <c:numCache>
                <c:formatCode>General</c:formatCode>
                <c:ptCount val="42"/>
                <c:pt idx="0">
                  <c:v>6379.0858068749994</c:v>
                </c:pt>
                <c:pt idx="1">
                  <c:v>2879.3598806250002</c:v>
                </c:pt>
                <c:pt idx="2">
                  <c:v>3038.6316206249999</c:v>
                </c:pt>
                <c:pt idx="3">
                  <c:v>2809.6906162499999</c:v>
                </c:pt>
                <c:pt idx="4">
                  <c:v>5258.8451531250003</c:v>
                </c:pt>
                <c:pt idx="5">
                  <c:v>2393.8833931874997</c:v>
                </c:pt>
                <c:pt idx="6">
                  <c:v>2826.1521225000001</c:v>
                </c:pt>
                <c:pt idx="7">
                  <c:v>3511.3580775</c:v>
                </c:pt>
                <c:pt idx="8">
                  <c:v>2403.3122724374998</c:v>
                </c:pt>
                <c:pt idx="9">
                  <c:v>2643.46092</c:v>
                </c:pt>
                <c:pt idx="10">
                  <c:v>2801.7241199999999</c:v>
                </c:pt>
                <c:pt idx="11">
                  <c:v>2586.8372174999995</c:v>
                </c:pt>
                <c:pt idx="12">
                  <c:v>2038.8729493124997</c:v>
                </c:pt>
                <c:pt idx="13">
                  <c:v>2644.0815600000001</c:v>
                </c:pt>
                <c:pt idx="14">
                  <c:v>2576.6596912500004</c:v>
                </c:pt>
                <c:pt idx="15">
                  <c:v>2044.2521525625</c:v>
                </c:pt>
                <c:pt idx="16">
                  <c:v>2734.3289193749997</c:v>
                </c:pt>
                <c:pt idx="17">
                  <c:v>3224.9496881249997</c:v>
                </c:pt>
                <c:pt idx="18">
                  <c:v>2037.5388157500001</c:v>
                </c:pt>
                <c:pt idx="19">
                  <c:v>3017.5928943750005</c:v>
                </c:pt>
                <c:pt idx="20">
                  <c:v>2591.307765</c:v>
                </c:pt>
                <c:pt idx="21">
                  <c:v>2677.8603768749999</c:v>
                </c:pt>
                <c:pt idx="22">
                  <c:v>2700.3319087499999</c:v>
                </c:pt>
                <c:pt idx="23">
                  <c:v>2628.10492875</c:v>
                </c:pt>
                <c:pt idx="24">
                  <c:v>2757.8138399999998</c:v>
                </c:pt>
                <c:pt idx="25">
                  <c:v>2633.295515625</c:v>
                </c:pt>
                <c:pt idx="26">
                  <c:v>2831.185125</c:v>
                </c:pt>
                <c:pt idx="27">
                  <c:v>2160.1513389374995</c:v>
                </c:pt>
                <c:pt idx="28">
                  <c:v>2571.2048475000001</c:v>
                </c:pt>
                <c:pt idx="29">
                  <c:v>2625.5884275000003</c:v>
                </c:pt>
                <c:pt idx="30">
                  <c:v>2574.9771749999995</c:v>
                </c:pt>
                <c:pt idx="31">
                  <c:v>2830.8238931249998</c:v>
                </c:pt>
                <c:pt idx="32">
                  <c:v>2746.5356475000003</c:v>
                </c:pt>
                <c:pt idx="33">
                  <c:v>2740.7704837500005</c:v>
                </c:pt>
                <c:pt idx="34">
                  <c:v>2702.7732543750003</c:v>
                </c:pt>
                <c:pt idx="35">
                  <c:v>2432.0457224999996</c:v>
                </c:pt>
                <c:pt idx="36">
                  <c:v>2538.0733387499999</c:v>
                </c:pt>
                <c:pt idx="37">
                  <c:v>2568.7344093749998</c:v>
                </c:pt>
                <c:pt idx="38">
                  <c:v>3271.9219537499998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4-4355-950E-3B5DFD10CD47}"/>
            </c:ext>
          </c:extLst>
        </c:ser>
        <c:ser>
          <c:idx val="1"/>
          <c:order val="1"/>
          <c:tx>
            <c:strRef>
              <c:f>S1PRP2!$G$1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S1PRP2!$G$2:$G$43</c:f>
              <c:numCache>
                <c:formatCode>General</c:formatCode>
                <c:ptCount val="42"/>
                <c:pt idx="0">
                  <c:v>33406.875714517177</c:v>
                </c:pt>
                <c:pt idx="1">
                  <c:v>15288.085538531835</c:v>
                </c:pt>
                <c:pt idx="2">
                  <c:v>17416.425131779484</c:v>
                </c:pt>
                <c:pt idx="3">
                  <c:v>16243.854509133347</c:v>
                </c:pt>
                <c:pt idx="4">
                  <c:v>27313.887153224583</c:v>
                </c:pt>
                <c:pt idx="5">
                  <c:v>13354.298853105302</c:v>
                </c:pt>
                <c:pt idx="6">
                  <c:v>15003.780578492415</c:v>
                </c:pt>
                <c:pt idx="7">
                  <c:v>27258.945115405979</c:v>
                </c:pt>
                <c:pt idx="8">
                  <c:v>12850.666081520882</c:v>
                </c:pt>
                <c:pt idx="9">
                  <c:v>17153.735444773876</c:v>
                </c:pt>
                <c:pt idx="10">
                  <c:v>17684.700180616204</c:v>
                </c:pt>
                <c:pt idx="11">
                  <c:v>16719.799954572958</c:v>
                </c:pt>
                <c:pt idx="12">
                  <c:v>12585.882849485908</c:v>
                </c:pt>
                <c:pt idx="13">
                  <c:v>17399.275058107196</c:v>
                </c:pt>
                <c:pt idx="14">
                  <c:v>16168.007922054738</c:v>
                </c:pt>
                <c:pt idx="15">
                  <c:v>19093.540106502533</c:v>
                </c:pt>
                <c:pt idx="16">
                  <c:v>18024.688803281679</c:v>
                </c:pt>
                <c:pt idx="17">
                  <c:v>24699.69060799609</c:v>
                </c:pt>
                <c:pt idx="18">
                  <c:v>12387.784048054171</c:v>
                </c:pt>
                <c:pt idx="19">
                  <c:v>22407.822744705656</c:v>
                </c:pt>
                <c:pt idx="20">
                  <c:v>17986.054785968568</c:v>
                </c:pt>
                <c:pt idx="21">
                  <c:v>17082.137749821282</c:v>
                </c:pt>
                <c:pt idx="22">
                  <c:v>18201.033277028208</c:v>
                </c:pt>
                <c:pt idx="23">
                  <c:v>17034.109818280467</c:v>
                </c:pt>
                <c:pt idx="24">
                  <c:v>17804.835674164733</c:v>
                </c:pt>
                <c:pt idx="25">
                  <c:v>16500.054979073768</c:v>
                </c:pt>
                <c:pt idx="26">
                  <c:v>18248.288682727929</c:v>
                </c:pt>
                <c:pt idx="27">
                  <c:v>13349.045677385862</c:v>
                </c:pt>
                <c:pt idx="28">
                  <c:v>20132.092946235683</c:v>
                </c:pt>
                <c:pt idx="29">
                  <c:v>17613.573726426675</c:v>
                </c:pt>
                <c:pt idx="30">
                  <c:v>16049.000316234204</c:v>
                </c:pt>
                <c:pt idx="31">
                  <c:v>17626.89979718555</c:v>
                </c:pt>
                <c:pt idx="32">
                  <c:v>18284.914132854195</c:v>
                </c:pt>
                <c:pt idx="33">
                  <c:v>17277.942149504972</c:v>
                </c:pt>
                <c:pt idx="34">
                  <c:v>17035.075475581838</c:v>
                </c:pt>
                <c:pt idx="35">
                  <c:v>14892.166044971154</c:v>
                </c:pt>
                <c:pt idx="36">
                  <c:v>16455.148051930973</c:v>
                </c:pt>
                <c:pt idx="37">
                  <c:v>16493.704816659974</c:v>
                </c:pt>
                <c:pt idx="38">
                  <c:v>22115.81570203053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4-4355-950E-3B5DFD10C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064639"/>
        <c:axId val="64376656"/>
      </c:barChart>
      <c:catAx>
        <c:axId val="4350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6656"/>
        <c:crosses val="autoZero"/>
        <c:auto val="1"/>
        <c:lblAlgn val="ctr"/>
        <c:lblOffset val="100"/>
        <c:noMultiLvlLbl val="0"/>
      </c:catAx>
      <c:valAx>
        <c:axId val="643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S1PRP2!$S$1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S1PRP2!$R$2:$R$40</c:f>
              <c:numCache>
                <c:formatCode>General</c:formatCode>
                <c:ptCount val="39"/>
                <c:pt idx="0">
                  <c:v>160.35429999999999</c:v>
                </c:pt>
                <c:pt idx="1">
                  <c:v>162.9186</c:v>
                </c:pt>
                <c:pt idx="2">
                  <c:v>166.34610000000001</c:v>
                </c:pt>
                <c:pt idx="3">
                  <c:v>172.79740000000001</c:v>
                </c:pt>
                <c:pt idx="4">
                  <c:v>172.86539999999999</c:v>
                </c:pt>
                <c:pt idx="5">
                  <c:v>192.7724</c:v>
                </c:pt>
                <c:pt idx="6">
                  <c:v>194.21719999999999</c:v>
                </c:pt>
                <c:pt idx="7">
                  <c:v>197.8974</c:v>
                </c:pt>
                <c:pt idx="8">
                  <c:v>207.74709999999999</c:v>
                </c:pt>
                <c:pt idx="9">
                  <c:v>209.2876</c:v>
                </c:pt>
                <c:pt idx="10">
                  <c:v>210.26939999999999</c:v>
                </c:pt>
                <c:pt idx="11">
                  <c:v>213.00450000000001</c:v>
                </c:pt>
                <c:pt idx="12">
                  <c:v>213.50360000000001</c:v>
                </c:pt>
                <c:pt idx="13">
                  <c:v>213.58580000000001</c:v>
                </c:pt>
                <c:pt idx="14">
                  <c:v>216.43029999999999</c:v>
                </c:pt>
                <c:pt idx="15">
                  <c:v>220.49889999999999</c:v>
                </c:pt>
                <c:pt idx="16">
                  <c:v>220.51140000000001</c:v>
                </c:pt>
                <c:pt idx="17">
                  <c:v>221.1206</c:v>
                </c:pt>
                <c:pt idx="18">
                  <c:v>222.04740000000001</c:v>
                </c:pt>
                <c:pt idx="19">
                  <c:v>223.65520000000001</c:v>
                </c:pt>
                <c:pt idx="20">
                  <c:v>225.22579999999999</c:v>
                </c:pt>
                <c:pt idx="21">
                  <c:v>225.4478</c:v>
                </c:pt>
                <c:pt idx="22">
                  <c:v>227.99979999999999</c:v>
                </c:pt>
                <c:pt idx="23">
                  <c:v>228.17230000000001</c:v>
                </c:pt>
                <c:pt idx="24">
                  <c:v>228.9205</c:v>
                </c:pt>
                <c:pt idx="25">
                  <c:v>230.47559999999999</c:v>
                </c:pt>
                <c:pt idx="26">
                  <c:v>232.82140000000001</c:v>
                </c:pt>
                <c:pt idx="27">
                  <c:v>233.32149999999999</c:v>
                </c:pt>
                <c:pt idx="28">
                  <c:v>235.60419999999999</c:v>
                </c:pt>
                <c:pt idx="29">
                  <c:v>236.2159</c:v>
                </c:pt>
                <c:pt idx="30">
                  <c:v>236.69</c:v>
                </c:pt>
                <c:pt idx="31">
                  <c:v>247.15729999999999</c:v>
                </c:pt>
                <c:pt idx="32">
                  <c:v>260.60090000000002</c:v>
                </c:pt>
                <c:pt idx="33">
                  <c:v>286.27929999999998</c:v>
                </c:pt>
                <c:pt idx="34">
                  <c:v>290.05919999999998</c:v>
                </c:pt>
                <c:pt idx="35">
                  <c:v>319.72640000000001</c:v>
                </c:pt>
                <c:pt idx="36">
                  <c:v>352.85480000000001</c:v>
                </c:pt>
                <c:pt idx="37">
                  <c:v>353.56599999999997</c:v>
                </c:pt>
                <c:pt idx="38">
                  <c:v>432.43700000000001</c:v>
                </c:pt>
              </c:numCache>
            </c:numRef>
          </c:xVal>
          <c:yVal>
            <c:numRef>
              <c:f>S1PRP2!$S$2:$S$40</c:f>
              <c:numCache>
                <c:formatCode>General</c:formatCode>
                <c:ptCount val="39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A-4BDC-A4F3-26D7ABD2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462159"/>
        <c:axId val="1362490175"/>
      </c:scatterChart>
      <c:valAx>
        <c:axId val="19794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90175"/>
        <c:crosses val="autoZero"/>
        <c:crossBetween val="midCat"/>
      </c:valAx>
      <c:valAx>
        <c:axId val="136249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S1PRP3!$F$2:$F$41</c:f>
              <c:numCache>
                <c:formatCode>General</c:formatCode>
                <c:ptCount val="40"/>
                <c:pt idx="0">
                  <c:v>2216.7452216249999</c:v>
                </c:pt>
                <c:pt idx="1">
                  <c:v>2561.5437131249996</c:v>
                </c:pt>
                <c:pt idx="2">
                  <c:v>2264.5073486249998</c:v>
                </c:pt>
                <c:pt idx="3">
                  <c:v>2131.4923171874998</c:v>
                </c:pt>
                <c:pt idx="4">
                  <c:v>2528.2691662500001</c:v>
                </c:pt>
                <c:pt idx="5">
                  <c:v>2269.3740389999998</c:v>
                </c:pt>
                <c:pt idx="6">
                  <c:v>2061.273931875</c:v>
                </c:pt>
                <c:pt idx="7">
                  <c:v>2157.3502160625003</c:v>
                </c:pt>
                <c:pt idx="8">
                  <c:v>2422.3234938750002</c:v>
                </c:pt>
                <c:pt idx="9">
                  <c:v>2357.0527730624995</c:v>
                </c:pt>
                <c:pt idx="10">
                  <c:v>2012.185186875</c:v>
                </c:pt>
                <c:pt idx="11">
                  <c:v>2309.9280142499993</c:v>
                </c:pt>
                <c:pt idx="12">
                  <c:v>2325.7060891874999</c:v>
                </c:pt>
                <c:pt idx="13">
                  <c:v>2190.1202505000001</c:v>
                </c:pt>
                <c:pt idx="14">
                  <c:v>2204.4170323124999</c:v>
                </c:pt>
                <c:pt idx="15">
                  <c:v>2162.3390949374998</c:v>
                </c:pt>
                <c:pt idx="16">
                  <c:v>2257.7030977499999</c:v>
                </c:pt>
                <c:pt idx="17">
                  <c:v>2456.6143387499997</c:v>
                </c:pt>
                <c:pt idx="18">
                  <c:v>2627.9303737499995</c:v>
                </c:pt>
                <c:pt idx="19">
                  <c:v>2461.4194499999999</c:v>
                </c:pt>
                <c:pt idx="20">
                  <c:v>2143.6442544374995</c:v>
                </c:pt>
                <c:pt idx="21">
                  <c:v>2407.2385477500002</c:v>
                </c:pt>
                <c:pt idx="22">
                  <c:v>2250.4372458749999</c:v>
                </c:pt>
                <c:pt idx="23">
                  <c:v>2294.129817</c:v>
                </c:pt>
                <c:pt idx="24">
                  <c:v>2277.310957875</c:v>
                </c:pt>
                <c:pt idx="25">
                  <c:v>2372.9566730624997</c:v>
                </c:pt>
                <c:pt idx="26">
                  <c:v>2263.5308103749999</c:v>
                </c:pt>
                <c:pt idx="27">
                  <c:v>2305.5636543749997</c:v>
                </c:pt>
                <c:pt idx="28">
                  <c:v>2668.5144112499997</c:v>
                </c:pt>
                <c:pt idx="29">
                  <c:v>2348.152165125</c:v>
                </c:pt>
                <c:pt idx="30">
                  <c:v>2370.6610323749996</c:v>
                </c:pt>
                <c:pt idx="31">
                  <c:v>2587.2105712499997</c:v>
                </c:pt>
                <c:pt idx="32">
                  <c:v>2163.0150106874999</c:v>
                </c:pt>
                <c:pt idx="33">
                  <c:v>2106.4771310624997</c:v>
                </c:pt>
                <c:pt idx="34">
                  <c:v>2452.8662549999999</c:v>
                </c:pt>
                <c:pt idx="35">
                  <c:v>2204.7787490625001</c:v>
                </c:pt>
                <c:pt idx="36">
                  <c:v>2623.0622287499996</c:v>
                </c:pt>
                <c:pt idx="37">
                  <c:v>2560.0357518750002</c:v>
                </c:pt>
                <c:pt idx="38">
                  <c:v>2262.0567903749998</c:v>
                </c:pt>
                <c:pt idx="39">
                  <c:v>2464.845091875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9-425E-9BA4-5410F8B6A477}"/>
            </c:ext>
          </c:extLst>
        </c:ser>
        <c:ser>
          <c:idx val="1"/>
          <c:order val="1"/>
          <c:tx>
            <c:strRef>
              <c:f>S1PRP3!$G$1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S1PRP3!$G$2:$G$41</c:f>
              <c:numCache>
                <c:formatCode>General</c:formatCode>
                <c:ptCount val="40"/>
                <c:pt idx="0">
                  <c:v>13627.958407054446</c:v>
                </c:pt>
                <c:pt idx="1">
                  <c:v>15489.011784541977</c:v>
                </c:pt>
                <c:pt idx="2">
                  <c:v>15261.286617104284</c:v>
                </c:pt>
                <c:pt idx="3">
                  <c:v>13142.209608691352</c:v>
                </c:pt>
                <c:pt idx="4">
                  <c:v>16013.232369791553</c:v>
                </c:pt>
                <c:pt idx="5">
                  <c:v>13564.634463859968</c:v>
                </c:pt>
                <c:pt idx="6">
                  <c:v>12699.227840891221</c:v>
                </c:pt>
                <c:pt idx="7">
                  <c:v>13363.538262164788</c:v>
                </c:pt>
                <c:pt idx="8">
                  <c:v>15263.055701280389</c:v>
                </c:pt>
                <c:pt idx="9">
                  <c:v>14218.183600167093</c:v>
                </c:pt>
                <c:pt idx="10">
                  <c:v>12638.878122184959</c:v>
                </c:pt>
                <c:pt idx="11">
                  <c:v>13768.380429190105</c:v>
                </c:pt>
                <c:pt idx="12">
                  <c:v>13354.576962408095</c:v>
                </c:pt>
                <c:pt idx="13">
                  <c:v>13438.318763582687</c:v>
                </c:pt>
                <c:pt idx="14">
                  <c:v>13420.43479036136</c:v>
                </c:pt>
                <c:pt idx="15">
                  <c:v>12627.212981984438</c:v>
                </c:pt>
                <c:pt idx="16">
                  <c:v>13968.781357628302</c:v>
                </c:pt>
                <c:pt idx="17">
                  <c:v>15220.335022267889</c:v>
                </c:pt>
                <c:pt idx="18">
                  <c:v>15967.043049752543</c:v>
                </c:pt>
                <c:pt idx="19">
                  <c:v>15321.705863136247</c:v>
                </c:pt>
                <c:pt idx="20">
                  <c:v>13026.307556752015</c:v>
                </c:pt>
                <c:pt idx="21">
                  <c:v>15166.235037616076</c:v>
                </c:pt>
                <c:pt idx="22">
                  <c:v>12946.62924150158</c:v>
                </c:pt>
                <c:pt idx="23">
                  <c:v>13299.488144679681</c:v>
                </c:pt>
                <c:pt idx="24">
                  <c:v>14203.536510219948</c:v>
                </c:pt>
                <c:pt idx="25">
                  <c:v>16427.962867582875</c:v>
                </c:pt>
                <c:pt idx="26">
                  <c:v>13429.017552455916</c:v>
                </c:pt>
                <c:pt idx="27">
                  <c:v>14640.762960503929</c:v>
                </c:pt>
                <c:pt idx="28">
                  <c:v>16984.490483507001</c:v>
                </c:pt>
                <c:pt idx="29">
                  <c:v>14309.797439662432</c:v>
                </c:pt>
                <c:pt idx="30">
                  <c:v>14704.604496011938</c:v>
                </c:pt>
                <c:pt idx="31">
                  <c:v>15427.928166286674</c:v>
                </c:pt>
                <c:pt idx="32">
                  <c:v>13408.955056362704</c:v>
                </c:pt>
                <c:pt idx="33">
                  <c:v>12916.848370327405</c:v>
                </c:pt>
                <c:pt idx="34">
                  <c:v>14380.676685582806</c:v>
                </c:pt>
                <c:pt idx="35">
                  <c:v>14185.830217942075</c:v>
                </c:pt>
                <c:pt idx="36">
                  <c:v>15945.883566964976</c:v>
                </c:pt>
                <c:pt idx="37">
                  <c:v>14925.554611823236</c:v>
                </c:pt>
                <c:pt idx="38">
                  <c:v>20961.731622761774</c:v>
                </c:pt>
                <c:pt idx="39">
                  <c:v>14897.573725858811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9-425E-9BA4-5410F8B6A477}"/>
            </c:ext>
          </c:extLst>
        </c:ser>
        <c:ser>
          <c:idx val="2"/>
          <c:order val="2"/>
          <c:tx>
            <c:v>E_total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S1PRP3!$H$2:$H$41</c:f>
              <c:numCache>
                <c:formatCode>General</c:formatCode>
                <c:ptCount val="40"/>
                <c:pt idx="0">
                  <c:v>15844.703628679446</c:v>
                </c:pt>
                <c:pt idx="1">
                  <c:v>18050.555497666977</c:v>
                </c:pt>
                <c:pt idx="2">
                  <c:v>17525.793965729285</c:v>
                </c:pt>
                <c:pt idx="3">
                  <c:v>15273.701925878851</c:v>
                </c:pt>
                <c:pt idx="4">
                  <c:v>18541.501536041553</c:v>
                </c:pt>
                <c:pt idx="5">
                  <c:v>15834.008502859968</c:v>
                </c:pt>
                <c:pt idx="6">
                  <c:v>14760.50177276622</c:v>
                </c:pt>
                <c:pt idx="7">
                  <c:v>15520.888478227287</c:v>
                </c:pt>
                <c:pt idx="8">
                  <c:v>17685.37919515539</c:v>
                </c:pt>
                <c:pt idx="9">
                  <c:v>16575.236373229593</c:v>
                </c:pt>
                <c:pt idx="10">
                  <c:v>14651.063309059959</c:v>
                </c:pt>
                <c:pt idx="11">
                  <c:v>16078.308443440104</c:v>
                </c:pt>
                <c:pt idx="12">
                  <c:v>15680.283051595594</c:v>
                </c:pt>
                <c:pt idx="13">
                  <c:v>15628.439014082687</c:v>
                </c:pt>
                <c:pt idx="14">
                  <c:v>15624.85182267386</c:v>
                </c:pt>
                <c:pt idx="15">
                  <c:v>14789.552076921937</c:v>
                </c:pt>
                <c:pt idx="16">
                  <c:v>16226.484455378302</c:v>
                </c:pt>
                <c:pt idx="17">
                  <c:v>17676.949361017891</c:v>
                </c:pt>
                <c:pt idx="18">
                  <c:v>18594.973423502543</c:v>
                </c:pt>
                <c:pt idx="19">
                  <c:v>17783.125313136246</c:v>
                </c:pt>
                <c:pt idx="20">
                  <c:v>15169.951811189516</c:v>
                </c:pt>
                <c:pt idx="21">
                  <c:v>17573.473585366075</c:v>
                </c:pt>
                <c:pt idx="22">
                  <c:v>15197.06648737658</c:v>
                </c:pt>
                <c:pt idx="23">
                  <c:v>15593.61796167968</c:v>
                </c:pt>
                <c:pt idx="24">
                  <c:v>16480.847468094948</c:v>
                </c:pt>
                <c:pt idx="25">
                  <c:v>18800.919540645376</c:v>
                </c:pt>
                <c:pt idx="26">
                  <c:v>15692.548362830916</c:v>
                </c:pt>
                <c:pt idx="27">
                  <c:v>16946.32661487893</c:v>
                </c:pt>
                <c:pt idx="28">
                  <c:v>19653.004894756999</c:v>
                </c:pt>
                <c:pt idx="29">
                  <c:v>16657.949604787431</c:v>
                </c:pt>
                <c:pt idx="30">
                  <c:v>17075.265528386939</c:v>
                </c:pt>
                <c:pt idx="31">
                  <c:v>18015.138737536676</c:v>
                </c:pt>
                <c:pt idx="32">
                  <c:v>15571.970067050202</c:v>
                </c:pt>
                <c:pt idx="33">
                  <c:v>15023.325501389905</c:v>
                </c:pt>
                <c:pt idx="34">
                  <c:v>16833.542940582807</c:v>
                </c:pt>
                <c:pt idx="35">
                  <c:v>16390.608967004577</c:v>
                </c:pt>
                <c:pt idx="36">
                  <c:v>18568.945795714975</c:v>
                </c:pt>
                <c:pt idx="37">
                  <c:v>17485.590363698237</c:v>
                </c:pt>
                <c:pt idx="38">
                  <c:v>23223.788413136775</c:v>
                </c:pt>
                <c:pt idx="39">
                  <c:v>17362.418817733811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5-42DA-B47E-E1EF4DAD3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6-4562-8E84-CA31558A17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6-4562-8E84-CA31558A17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S1PRP3!$N$1:$O$1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S1PRP3!$N$2:$O$2</c:f>
              <c:numCache>
                <c:formatCode>General</c:formatCode>
                <c:ptCount val="2"/>
                <c:pt idx="0">
                  <c:v>2327.6195574609374</c:v>
                </c:pt>
                <c:pt idx="1">
                  <c:v>14463.94550781119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C6-4562-8E84-CA31558A17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'Mass Influence'!$B$1</c:f>
              <c:strCache>
                <c:ptCount val="1"/>
                <c:pt idx="0">
                  <c:v>E_hover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'Mass Influence'!$A$2:$A$9</c:f>
              <c:numCache>
                <c:formatCode>General</c:formatCode>
                <c:ptCount val="8"/>
                <c:pt idx="0">
                  <c:v>75</c:v>
                </c:pt>
                <c:pt idx="1">
                  <c:v>150</c:v>
                </c:pt>
                <c:pt idx="2">
                  <c:v>300</c:v>
                </c:pt>
                <c:pt idx="3">
                  <c:v>600</c:v>
                </c:pt>
                <c:pt idx="4">
                  <c:v>750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</c:numCache>
            </c:numRef>
          </c:xVal>
          <c:yVal>
            <c:numRef>
              <c:f>'Mass Influence'!$B$2:$B$9</c:f>
              <c:numCache>
                <c:formatCode>General</c:formatCode>
                <c:ptCount val="8"/>
                <c:pt idx="0">
                  <c:v>473.24581741052839</c:v>
                </c:pt>
                <c:pt idx="1">
                  <c:v>1338.5413066366214</c:v>
                </c:pt>
                <c:pt idx="2">
                  <c:v>3785.9665392842271</c:v>
                </c:pt>
                <c:pt idx="3">
                  <c:v>10708.330453092971</c:v>
                </c:pt>
                <c:pt idx="4">
                  <c:v>14965.346761654377</c:v>
                </c:pt>
                <c:pt idx="5">
                  <c:v>23040.658616952667</c:v>
                </c:pt>
                <c:pt idx="6">
                  <c:v>65168.823804205946</c:v>
                </c:pt>
                <c:pt idx="7">
                  <c:v>119722.77409323501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6-4B3D-8C5F-241CF1F03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65168"/>
        <c:axId val="9289472"/>
      </c:scatterChart>
      <c:valAx>
        <c:axId val="133356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9472"/>
        <c:crosses val="autoZero"/>
        <c:crossBetween val="midCat"/>
      </c:valAx>
      <c:valAx>
        <c:axId val="92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S2PRP1!$F$1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S2PRP1!$F$2:$F$51</c:f>
              <c:numCache>
                <c:formatCode>General</c:formatCode>
                <c:ptCount val="50"/>
                <c:pt idx="0">
                  <c:v>3123.3877706249996</c:v>
                </c:pt>
                <c:pt idx="1">
                  <c:v>2046.8692653749999</c:v>
                </c:pt>
                <c:pt idx="2">
                  <c:v>1761.2829815625</c:v>
                </c:pt>
                <c:pt idx="3">
                  <c:v>1757.4114971250001</c:v>
                </c:pt>
                <c:pt idx="4">
                  <c:v>1446.6609281250001</c:v>
                </c:pt>
                <c:pt idx="5">
                  <c:v>6478.334870624999</c:v>
                </c:pt>
                <c:pt idx="6">
                  <c:v>7147.3484249999992</c:v>
                </c:pt>
                <c:pt idx="7">
                  <c:v>7414.007855625</c:v>
                </c:pt>
                <c:pt idx="8">
                  <c:v>2594.5515787499994</c:v>
                </c:pt>
                <c:pt idx="9">
                  <c:v>2406.1327903125002</c:v>
                </c:pt>
                <c:pt idx="10">
                  <c:v>5285.0720418749997</c:v>
                </c:pt>
                <c:pt idx="11">
                  <c:v>4616.4148706249989</c:v>
                </c:pt>
                <c:pt idx="12">
                  <c:v>7307.3135362499997</c:v>
                </c:pt>
                <c:pt idx="13">
                  <c:v>7423.2810899999995</c:v>
                </c:pt>
                <c:pt idx="14">
                  <c:v>7137.0763481249987</c:v>
                </c:pt>
                <c:pt idx="15">
                  <c:v>1491.3310072499999</c:v>
                </c:pt>
                <c:pt idx="16">
                  <c:v>1439.5024760624999</c:v>
                </c:pt>
                <c:pt idx="17">
                  <c:v>4042.2889293749995</c:v>
                </c:pt>
                <c:pt idx="18">
                  <c:v>2675.7899606249994</c:v>
                </c:pt>
                <c:pt idx="19">
                  <c:v>1435.5778978124999</c:v>
                </c:pt>
                <c:pt idx="20">
                  <c:v>1686.4059172500001</c:v>
                </c:pt>
                <c:pt idx="21">
                  <c:v>1435.1516926875001</c:v>
                </c:pt>
                <c:pt idx="22">
                  <c:v>2682.4400212499995</c:v>
                </c:pt>
                <c:pt idx="23">
                  <c:v>1660.6803892499997</c:v>
                </c:pt>
                <c:pt idx="24">
                  <c:v>1544.6832581249998</c:v>
                </c:pt>
                <c:pt idx="25">
                  <c:v>1675.2877334999998</c:v>
                </c:pt>
                <c:pt idx="26">
                  <c:v>2971.4255212499997</c:v>
                </c:pt>
                <c:pt idx="27">
                  <c:v>1733.5074020625</c:v>
                </c:pt>
                <c:pt idx="28">
                  <c:v>1644.0540255000003</c:v>
                </c:pt>
                <c:pt idx="29">
                  <c:v>1441.4293693124998</c:v>
                </c:pt>
                <c:pt idx="30">
                  <c:v>1441.1030484375001</c:v>
                </c:pt>
                <c:pt idx="31">
                  <c:v>1553.7872711249997</c:v>
                </c:pt>
                <c:pt idx="32">
                  <c:v>1710.4394739374998</c:v>
                </c:pt>
                <c:pt idx="33">
                  <c:v>1490.77243125</c:v>
                </c:pt>
                <c:pt idx="34">
                  <c:v>1438.2083446875001</c:v>
                </c:pt>
                <c:pt idx="35">
                  <c:v>2858.262969375</c:v>
                </c:pt>
                <c:pt idx="36">
                  <c:v>1431.3495453750002</c:v>
                </c:pt>
                <c:pt idx="37">
                  <c:v>2226.526605</c:v>
                </c:pt>
                <c:pt idx="38">
                  <c:v>1659.6953656875003</c:v>
                </c:pt>
                <c:pt idx="39">
                  <c:v>2363.3934834375</c:v>
                </c:pt>
                <c:pt idx="40">
                  <c:v>6526.6720593749988</c:v>
                </c:pt>
                <c:pt idx="41">
                  <c:v>1541.3642887500002</c:v>
                </c:pt>
                <c:pt idx="42">
                  <c:v>4339.0566731249992</c:v>
                </c:pt>
                <c:pt idx="43">
                  <c:v>1928.2579306874998</c:v>
                </c:pt>
                <c:pt idx="44">
                  <c:v>3818.4463856249999</c:v>
                </c:pt>
                <c:pt idx="45">
                  <c:v>2362.1025037499999</c:v>
                </c:pt>
                <c:pt idx="46">
                  <c:v>1319.4093633749999</c:v>
                </c:pt>
                <c:pt idx="47">
                  <c:v>1696.196028375</c:v>
                </c:pt>
                <c:pt idx="48">
                  <c:v>2549.6618512500004</c:v>
                </c:pt>
                <c:pt idx="49">
                  <c:v>2577.8524837500004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1-4DD5-95DA-69F0941D98C9}"/>
            </c:ext>
          </c:extLst>
        </c:ser>
        <c:ser>
          <c:idx val="1"/>
          <c:order val="1"/>
          <c:tx>
            <c:strRef>
              <c:f>S2PRP1!$G$1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S2PRP1!$G$2:$G$51</c:f>
              <c:numCache>
                <c:formatCode>General</c:formatCode>
                <c:ptCount val="50"/>
                <c:pt idx="0">
                  <c:v>24195.578870390189</c:v>
                </c:pt>
                <c:pt idx="1">
                  <c:v>14920.942632551905</c:v>
                </c:pt>
                <c:pt idx="2">
                  <c:v>10855.965733524084</c:v>
                </c:pt>
                <c:pt idx="3">
                  <c:v>13440.898999891941</c:v>
                </c:pt>
                <c:pt idx="4">
                  <c:v>10492.415072705244</c:v>
                </c:pt>
                <c:pt idx="5">
                  <c:v>46354.177053500505</c:v>
                </c:pt>
                <c:pt idx="6">
                  <c:v>46353.404527659412</c:v>
                </c:pt>
                <c:pt idx="7">
                  <c:v>46351.905827527691</c:v>
                </c:pt>
                <c:pt idx="8">
                  <c:v>16035.156653161801</c:v>
                </c:pt>
                <c:pt idx="9">
                  <c:v>15147.818021564397</c:v>
                </c:pt>
                <c:pt idx="10">
                  <c:v>46352.068057954319</c:v>
                </c:pt>
                <c:pt idx="11">
                  <c:v>34583.061758099633</c:v>
                </c:pt>
                <c:pt idx="12">
                  <c:v>46351.820849685173</c:v>
                </c:pt>
                <c:pt idx="13">
                  <c:v>46352.832858537004</c:v>
                </c:pt>
                <c:pt idx="14">
                  <c:v>46353.056891030923</c:v>
                </c:pt>
                <c:pt idx="15">
                  <c:v>13468.957138440475</c:v>
                </c:pt>
                <c:pt idx="16">
                  <c:v>9330.2503731386405</c:v>
                </c:pt>
                <c:pt idx="17">
                  <c:v>31940.946128973999</c:v>
                </c:pt>
                <c:pt idx="18">
                  <c:v>22895.958647917731</c:v>
                </c:pt>
                <c:pt idx="19">
                  <c:v>9323.4521457370138</c:v>
                </c:pt>
                <c:pt idx="20">
                  <c:v>11407.417854672225</c:v>
                </c:pt>
                <c:pt idx="21">
                  <c:v>9321.8375667291275</c:v>
                </c:pt>
                <c:pt idx="22">
                  <c:v>19479.470840937869</c:v>
                </c:pt>
                <c:pt idx="23">
                  <c:v>11064.624963203578</c:v>
                </c:pt>
                <c:pt idx="24">
                  <c:v>9856.2941193731986</c:v>
                </c:pt>
                <c:pt idx="25">
                  <c:v>10160.368015686214</c:v>
                </c:pt>
                <c:pt idx="26">
                  <c:v>19815.496406038532</c:v>
                </c:pt>
                <c:pt idx="27">
                  <c:v>16155.454377136961</c:v>
                </c:pt>
                <c:pt idx="28">
                  <c:v>10077.908607407839</c:v>
                </c:pt>
                <c:pt idx="29">
                  <c:v>9320.895085202992</c:v>
                </c:pt>
                <c:pt idx="30">
                  <c:v>9317.0324559975234</c:v>
                </c:pt>
                <c:pt idx="31">
                  <c:v>9517.309780301146</c:v>
                </c:pt>
                <c:pt idx="32">
                  <c:v>16297.390549921163</c:v>
                </c:pt>
                <c:pt idx="33">
                  <c:v>15527.112759024734</c:v>
                </c:pt>
                <c:pt idx="34">
                  <c:v>9321.0959419216779</c:v>
                </c:pt>
                <c:pt idx="35">
                  <c:v>19642.296112465254</c:v>
                </c:pt>
                <c:pt idx="36">
                  <c:v>9318.1835195007534</c:v>
                </c:pt>
                <c:pt idx="37">
                  <c:v>24578.095040607888</c:v>
                </c:pt>
                <c:pt idx="38">
                  <c:v>15792.197276137733</c:v>
                </c:pt>
                <c:pt idx="39">
                  <c:v>16328.585143384538</c:v>
                </c:pt>
                <c:pt idx="40">
                  <c:v>46353.983922040235</c:v>
                </c:pt>
                <c:pt idx="41">
                  <c:v>9513.9415676339759</c:v>
                </c:pt>
                <c:pt idx="42">
                  <c:v>40945.68501370927</c:v>
                </c:pt>
                <c:pt idx="43">
                  <c:v>13345.971024538308</c:v>
                </c:pt>
                <c:pt idx="44">
                  <c:v>44636.906185557396</c:v>
                </c:pt>
                <c:pt idx="45">
                  <c:v>14911.332411088695</c:v>
                </c:pt>
                <c:pt idx="46">
                  <c:v>14223.653083122037</c:v>
                </c:pt>
                <c:pt idx="47">
                  <c:v>11772.220007353639</c:v>
                </c:pt>
                <c:pt idx="48">
                  <c:v>21923.225009845792</c:v>
                </c:pt>
                <c:pt idx="49">
                  <c:v>24872.659143817036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41-4DD5-95DA-69F0941D9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Hover and Horizon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S2PRP1!$G$1</c:f>
              <c:strCache>
                <c:ptCount val="1"/>
                <c:pt idx="0">
                  <c:v>E_hover(J)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571303587051616E-3"/>
                  <c:y val="0.214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S2PRP1!$F$2:$F$51</c:f>
              <c:numCache>
                <c:formatCode>General</c:formatCode>
                <c:ptCount val="50"/>
                <c:pt idx="0">
                  <c:v>3123.3877706249996</c:v>
                </c:pt>
                <c:pt idx="1">
                  <c:v>2046.8692653749999</c:v>
                </c:pt>
                <c:pt idx="2">
                  <c:v>1761.2829815625</c:v>
                </c:pt>
                <c:pt idx="3">
                  <c:v>1757.4114971250001</c:v>
                </c:pt>
                <c:pt idx="4">
                  <c:v>1446.6609281250001</c:v>
                </c:pt>
                <c:pt idx="5">
                  <c:v>6478.334870624999</c:v>
                </c:pt>
                <c:pt idx="6">
                  <c:v>7147.3484249999992</c:v>
                </c:pt>
                <c:pt idx="7">
                  <c:v>7414.007855625</c:v>
                </c:pt>
                <c:pt idx="8">
                  <c:v>2594.5515787499994</c:v>
                </c:pt>
                <c:pt idx="9">
                  <c:v>2406.1327903125002</c:v>
                </c:pt>
                <c:pt idx="10">
                  <c:v>5285.0720418749997</c:v>
                </c:pt>
                <c:pt idx="11">
                  <c:v>4616.4148706249989</c:v>
                </c:pt>
                <c:pt idx="12">
                  <c:v>7307.3135362499997</c:v>
                </c:pt>
                <c:pt idx="13">
                  <c:v>7423.2810899999995</c:v>
                </c:pt>
                <c:pt idx="14">
                  <c:v>7137.0763481249987</c:v>
                </c:pt>
                <c:pt idx="15">
                  <c:v>1491.3310072499999</c:v>
                </c:pt>
                <c:pt idx="16">
                  <c:v>1439.5024760624999</c:v>
                </c:pt>
                <c:pt idx="17">
                  <c:v>4042.2889293749995</c:v>
                </c:pt>
                <c:pt idx="18">
                  <c:v>2675.7899606249994</c:v>
                </c:pt>
                <c:pt idx="19">
                  <c:v>1435.5778978124999</c:v>
                </c:pt>
                <c:pt idx="20">
                  <c:v>1686.4059172500001</c:v>
                </c:pt>
                <c:pt idx="21">
                  <c:v>1435.1516926875001</c:v>
                </c:pt>
                <c:pt idx="22">
                  <c:v>2682.4400212499995</c:v>
                </c:pt>
                <c:pt idx="23">
                  <c:v>1660.6803892499997</c:v>
                </c:pt>
                <c:pt idx="24">
                  <c:v>1544.6832581249998</c:v>
                </c:pt>
                <c:pt idx="25">
                  <c:v>1675.2877334999998</c:v>
                </c:pt>
                <c:pt idx="26">
                  <c:v>2971.4255212499997</c:v>
                </c:pt>
                <c:pt idx="27">
                  <c:v>1733.5074020625</c:v>
                </c:pt>
                <c:pt idx="28">
                  <c:v>1644.0540255000003</c:v>
                </c:pt>
                <c:pt idx="29">
                  <c:v>1441.4293693124998</c:v>
                </c:pt>
                <c:pt idx="30">
                  <c:v>1441.1030484375001</c:v>
                </c:pt>
                <c:pt idx="31">
                  <c:v>1553.7872711249997</c:v>
                </c:pt>
                <c:pt idx="32">
                  <c:v>1710.4394739374998</c:v>
                </c:pt>
                <c:pt idx="33">
                  <c:v>1490.77243125</c:v>
                </c:pt>
                <c:pt idx="34">
                  <c:v>1438.2083446875001</c:v>
                </c:pt>
                <c:pt idx="35">
                  <c:v>2858.262969375</c:v>
                </c:pt>
                <c:pt idx="36">
                  <c:v>1431.3495453750002</c:v>
                </c:pt>
                <c:pt idx="37">
                  <c:v>2226.526605</c:v>
                </c:pt>
                <c:pt idx="38">
                  <c:v>1659.6953656875003</c:v>
                </c:pt>
                <c:pt idx="39">
                  <c:v>2363.3934834375</c:v>
                </c:pt>
                <c:pt idx="40">
                  <c:v>6526.6720593749988</c:v>
                </c:pt>
                <c:pt idx="41">
                  <c:v>1541.3642887500002</c:v>
                </c:pt>
                <c:pt idx="42">
                  <c:v>4339.0566731249992</c:v>
                </c:pt>
                <c:pt idx="43">
                  <c:v>1928.2579306874998</c:v>
                </c:pt>
                <c:pt idx="44">
                  <c:v>3818.4463856249999</c:v>
                </c:pt>
                <c:pt idx="45">
                  <c:v>2362.1025037499999</c:v>
                </c:pt>
                <c:pt idx="46">
                  <c:v>1319.4093633749999</c:v>
                </c:pt>
                <c:pt idx="47">
                  <c:v>1696.196028375</c:v>
                </c:pt>
                <c:pt idx="48">
                  <c:v>2549.6618512500004</c:v>
                </c:pt>
                <c:pt idx="49">
                  <c:v>2577.8524837500004</c:v>
                </c:pt>
              </c:numCache>
            </c:numRef>
          </c:xVal>
          <c:yVal>
            <c:numRef>
              <c:f>S2PRP1!$G$2:$G$51</c:f>
              <c:numCache>
                <c:formatCode>General</c:formatCode>
                <c:ptCount val="50"/>
                <c:pt idx="0">
                  <c:v>24195.578870390189</c:v>
                </c:pt>
                <c:pt idx="1">
                  <c:v>14920.942632551905</c:v>
                </c:pt>
                <c:pt idx="2">
                  <c:v>10855.965733524084</c:v>
                </c:pt>
                <c:pt idx="3">
                  <c:v>13440.898999891941</c:v>
                </c:pt>
                <c:pt idx="4">
                  <c:v>10492.415072705244</c:v>
                </c:pt>
                <c:pt idx="5">
                  <c:v>46354.177053500505</c:v>
                </c:pt>
                <c:pt idx="6">
                  <c:v>46353.404527659412</c:v>
                </c:pt>
                <c:pt idx="7">
                  <c:v>46351.905827527691</c:v>
                </c:pt>
                <c:pt idx="8">
                  <c:v>16035.156653161801</c:v>
                </c:pt>
                <c:pt idx="9">
                  <c:v>15147.818021564397</c:v>
                </c:pt>
                <c:pt idx="10">
                  <c:v>46352.068057954319</c:v>
                </c:pt>
                <c:pt idx="11">
                  <c:v>34583.061758099633</c:v>
                </c:pt>
                <c:pt idx="12">
                  <c:v>46351.820849685173</c:v>
                </c:pt>
                <c:pt idx="13">
                  <c:v>46352.832858537004</c:v>
                </c:pt>
                <c:pt idx="14">
                  <c:v>46353.056891030923</c:v>
                </c:pt>
                <c:pt idx="15">
                  <c:v>13468.957138440475</c:v>
                </c:pt>
                <c:pt idx="16">
                  <c:v>9330.2503731386405</c:v>
                </c:pt>
                <c:pt idx="17">
                  <c:v>31940.946128973999</c:v>
                </c:pt>
                <c:pt idx="18">
                  <c:v>22895.958647917731</c:v>
                </c:pt>
                <c:pt idx="19">
                  <c:v>9323.4521457370138</c:v>
                </c:pt>
                <c:pt idx="20">
                  <c:v>11407.417854672225</c:v>
                </c:pt>
                <c:pt idx="21">
                  <c:v>9321.8375667291275</c:v>
                </c:pt>
                <c:pt idx="22">
                  <c:v>19479.470840937869</c:v>
                </c:pt>
                <c:pt idx="23">
                  <c:v>11064.624963203578</c:v>
                </c:pt>
                <c:pt idx="24">
                  <c:v>9856.2941193731986</c:v>
                </c:pt>
                <c:pt idx="25">
                  <c:v>10160.368015686214</c:v>
                </c:pt>
                <c:pt idx="26">
                  <c:v>19815.496406038532</c:v>
                </c:pt>
                <c:pt idx="27">
                  <c:v>16155.454377136961</c:v>
                </c:pt>
                <c:pt idx="28">
                  <c:v>10077.908607407839</c:v>
                </c:pt>
                <c:pt idx="29">
                  <c:v>9320.895085202992</c:v>
                </c:pt>
                <c:pt idx="30">
                  <c:v>9317.0324559975234</c:v>
                </c:pt>
                <c:pt idx="31">
                  <c:v>9517.309780301146</c:v>
                </c:pt>
                <c:pt idx="32">
                  <c:v>16297.390549921163</c:v>
                </c:pt>
                <c:pt idx="33">
                  <c:v>15527.112759024734</c:v>
                </c:pt>
                <c:pt idx="34">
                  <c:v>9321.0959419216779</c:v>
                </c:pt>
                <c:pt idx="35">
                  <c:v>19642.296112465254</c:v>
                </c:pt>
                <c:pt idx="36">
                  <c:v>9318.1835195007534</c:v>
                </c:pt>
                <c:pt idx="37">
                  <c:v>24578.095040607888</c:v>
                </c:pt>
                <c:pt idx="38">
                  <c:v>15792.197276137733</c:v>
                </c:pt>
                <c:pt idx="39">
                  <c:v>16328.585143384538</c:v>
                </c:pt>
                <c:pt idx="40">
                  <c:v>46353.983922040235</c:v>
                </c:pt>
                <c:pt idx="41">
                  <c:v>9513.9415676339759</c:v>
                </c:pt>
                <c:pt idx="42">
                  <c:v>40945.68501370927</c:v>
                </c:pt>
                <c:pt idx="43">
                  <c:v>13345.971024538308</c:v>
                </c:pt>
                <c:pt idx="44">
                  <c:v>44636.906185557396</c:v>
                </c:pt>
                <c:pt idx="45">
                  <c:v>14911.332411088695</c:v>
                </c:pt>
                <c:pt idx="46">
                  <c:v>14223.653083122037</c:v>
                </c:pt>
                <c:pt idx="47">
                  <c:v>11772.220007353639</c:v>
                </c:pt>
                <c:pt idx="48">
                  <c:v>21923.225009845792</c:v>
                </c:pt>
                <c:pt idx="49">
                  <c:v>24872.659143817036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C-480C-987F-A8C0AB9D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05232"/>
        <c:axId val="115720832"/>
      </c:scatterChart>
      <c:valAx>
        <c:axId val="13245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E_Horizon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0832"/>
        <c:crosses val="autoZero"/>
        <c:crossBetween val="midCat"/>
      </c:valAx>
      <c:valAx>
        <c:axId val="1157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E_Hover(J)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F2-4728-B8A3-0966FC4861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F2-4728-B8A3-0966FC4861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S2PRP1!$N$1:$O$1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S2PRP1!$N$2:$O$2</c:f>
              <c:numCache>
                <c:formatCode>General</c:formatCode>
                <c:ptCount val="2"/>
                <c:pt idx="0">
                  <c:v>2886.7451911537501</c:v>
                </c:pt>
                <c:pt idx="1">
                  <c:v>21317.986240526989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F2-4728-B8A3-0966FC4861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S2PRP2!$F$1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S2PRP2!$F$2:$F$50</c:f>
              <c:numCache>
                <c:formatCode>General</c:formatCode>
                <c:ptCount val="49"/>
                <c:pt idx="0">
                  <c:v>1517.6989946249998</c:v>
                </c:pt>
                <c:pt idx="1">
                  <c:v>2143.1433785624999</c:v>
                </c:pt>
                <c:pt idx="2">
                  <c:v>3096.5087249999997</c:v>
                </c:pt>
                <c:pt idx="3">
                  <c:v>4029.7039987499998</c:v>
                </c:pt>
                <c:pt idx="4">
                  <c:v>2196.180703125</c:v>
                </c:pt>
                <c:pt idx="5">
                  <c:v>2788.1864100000003</c:v>
                </c:pt>
                <c:pt idx="6">
                  <c:v>4387.9926825000002</c:v>
                </c:pt>
                <c:pt idx="7">
                  <c:v>3413.0108812499998</c:v>
                </c:pt>
                <c:pt idx="8">
                  <c:v>2937.8236837499999</c:v>
                </c:pt>
                <c:pt idx="9">
                  <c:v>2928.5383274999999</c:v>
                </c:pt>
                <c:pt idx="10">
                  <c:v>4712.0904056250001</c:v>
                </c:pt>
                <c:pt idx="11">
                  <c:v>2489.9107049999998</c:v>
                </c:pt>
                <c:pt idx="12">
                  <c:v>1636.5391903124998</c:v>
                </c:pt>
                <c:pt idx="13">
                  <c:v>4123.3551806249998</c:v>
                </c:pt>
                <c:pt idx="14">
                  <c:v>2933.5858762499997</c:v>
                </c:pt>
                <c:pt idx="15">
                  <c:v>2574.7492837499999</c:v>
                </c:pt>
                <c:pt idx="16">
                  <c:v>2436.4217193750001</c:v>
                </c:pt>
                <c:pt idx="17">
                  <c:v>2247.2535566249999</c:v>
                </c:pt>
                <c:pt idx="18">
                  <c:v>4380.8553224999996</c:v>
                </c:pt>
                <c:pt idx="19">
                  <c:v>1666.4431286249999</c:v>
                </c:pt>
                <c:pt idx="20">
                  <c:v>1662.6809834999999</c:v>
                </c:pt>
                <c:pt idx="21">
                  <c:v>1759.6048291874999</c:v>
                </c:pt>
                <c:pt idx="22">
                  <c:v>3358.8551924999997</c:v>
                </c:pt>
                <c:pt idx="23">
                  <c:v>1792.5969363749998</c:v>
                </c:pt>
                <c:pt idx="24">
                  <c:v>1663.4284183124998</c:v>
                </c:pt>
                <c:pt idx="25">
                  <c:v>1435.3279447499999</c:v>
                </c:pt>
                <c:pt idx="26">
                  <c:v>1539.5879491874996</c:v>
                </c:pt>
                <c:pt idx="27">
                  <c:v>2193.4564329375003</c:v>
                </c:pt>
                <c:pt idx="28">
                  <c:v>1435.0927803749998</c:v>
                </c:pt>
                <c:pt idx="29">
                  <c:v>1606.751622</c:v>
                </c:pt>
                <c:pt idx="30">
                  <c:v>1993.2692433749999</c:v>
                </c:pt>
                <c:pt idx="31">
                  <c:v>1553.8912768124999</c:v>
                </c:pt>
                <c:pt idx="32">
                  <c:v>1676.9329143749999</c:v>
                </c:pt>
                <c:pt idx="33">
                  <c:v>1632.5382442500002</c:v>
                </c:pt>
                <c:pt idx="34">
                  <c:v>1458.0193674374996</c:v>
                </c:pt>
                <c:pt idx="35">
                  <c:v>1625.9984926874997</c:v>
                </c:pt>
                <c:pt idx="36">
                  <c:v>1551.1740373124999</c:v>
                </c:pt>
                <c:pt idx="37">
                  <c:v>2365.5611171249998</c:v>
                </c:pt>
                <c:pt idx="38">
                  <c:v>1606.6825273124996</c:v>
                </c:pt>
                <c:pt idx="39">
                  <c:v>2478.7707018749998</c:v>
                </c:pt>
                <c:pt idx="40">
                  <c:v>1440.3861607499998</c:v>
                </c:pt>
                <c:pt idx="41">
                  <c:v>1558.1118712500001</c:v>
                </c:pt>
                <c:pt idx="42">
                  <c:v>1669.4779612499997</c:v>
                </c:pt>
                <c:pt idx="43">
                  <c:v>1495.2970423125</c:v>
                </c:pt>
                <c:pt idx="44">
                  <c:v>1595.8649660624999</c:v>
                </c:pt>
                <c:pt idx="45">
                  <c:v>3726.0486056249997</c:v>
                </c:pt>
                <c:pt idx="46">
                  <c:v>1430.6401732500001</c:v>
                </c:pt>
                <c:pt idx="47">
                  <c:v>1758.1562651249999</c:v>
                </c:pt>
                <c:pt idx="48">
                  <c:v>1769.8129025625001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2-4654-9720-5ECA3A79B0F5}"/>
            </c:ext>
          </c:extLst>
        </c:ser>
        <c:ser>
          <c:idx val="1"/>
          <c:order val="1"/>
          <c:tx>
            <c:strRef>
              <c:f>S2PRP2!$G$1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S2PRP2!$G$2:$G$50</c:f>
              <c:numCache>
                <c:formatCode>General</c:formatCode>
                <c:ptCount val="49"/>
                <c:pt idx="0">
                  <c:v>15004.390873906881</c:v>
                </c:pt>
                <c:pt idx="1">
                  <c:v>16909.2155655508</c:v>
                </c:pt>
                <c:pt idx="2">
                  <c:v>23157.002854881808</c:v>
                </c:pt>
                <c:pt idx="3">
                  <c:v>27042.668780933298</c:v>
                </c:pt>
                <c:pt idx="4">
                  <c:v>18392.897794922315</c:v>
                </c:pt>
                <c:pt idx="5">
                  <c:v>19938.235311671549</c:v>
                </c:pt>
                <c:pt idx="6">
                  <c:v>30380.358952121573</c:v>
                </c:pt>
                <c:pt idx="7">
                  <c:v>27575.634358704057</c:v>
                </c:pt>
                <c:pt idx="8">
                  <c:v>26956.192238281234</c:v>
                </c:pt>
                <c:pt idx="9">
                  <c:v>20027.956462856208</c:v>
                </c:pt>
                <c:pt idx="10">
                  <c:v>33251.010900818044</c:v>
                </c:pt>
                <c:pt idx="11">
                  <c:v>22170.30194960289</c:v>
                </c:pt>
                <c:pt idx="12">
                  <c:v>14605.350375948179</c:v>
                </c:pt>
                <c:pt idx="13">
                  <c:v>31775.996411383607</c:v>
                </c:pt>
                <c:pt idx="14">
                  <c:v>18369.629316588565</c:v>
                </c:pt>
                <c:pt idx="15">
                  <c:v>21062.368564081091</c:v>
                </c:pt>
                <c:pt idx="16">
                  <c:v>24816.573767753613</c:v>
                </c:pt>
                <c:pt idx="17">
                  <c:v>16845.420381593256</c:v>
                </c:pt>
                <c:pt idx="18">
                  <c:v>30690.852538174076</c:v>
                </c:pt>
                <c:pt idx="19">
                  <c:v>10116.635327821881</c:v>
                </c:pt>
                <c:pt idx="20">
                  <c:v>10358.737201162336</c:v>
                </c:pt>
                <c:pt idx="21">
                  <c:v>18041.004549045585</c:v>
                </c:pt>
                <c:pt idx="22">
                  <c:v>26904.633863646617</c:v>
                </c:pt>
                <c:pt idx="23">
                  <c:v>15262.6385373262</c:v>
                </c:pt>
                <c:pt idx="24">
                  <c:v>10272.206581701394</c:v>
                </c:pt>
                <c:pt idx="25">
                  <c:v>9292.5124858012005</c:v>
                </c:pt>
                <c:pt idx="26">
                  <c:v>9488.054226698916</c:v>
                </c:pt>
                <c:pt idx="27">
                  <c:v>13770.991566533001</c:v>
                </c:pt>
                <c:pt idx="28">
                  <c:v>9341.5601514522587</c:v>
                </c:pt>
                <c:pt idx="29">
                  <c:v>9313.3784087691492</c:v>
                </c:pt>
                <c:pt idx="30">
                  <c:v>14279.251767905575</c:v>
                </c:pt>
                <c:pt idx="31">
                  <c:v>9516.8153637628457</c:v>
                </c:pt>
                <c:pt idx="32">
                  <c:v>14244.534456606811</c:v>
                </c:pt>
                <c:pt idx="33">
                  <c:v>10044.442787971646</c:v>
                </c:pt>
                <c:pt idx="34">
                  <c:v>9797.2499693383834</c:v>
                </c:pt>
                <c:pt idx="35">
                  <c:v>10971.365643666708</c:v>
                </c:pt>
                <c:pt idx="36">
                  <c:v>9530.2650386562927</c:v>
                </c:pt>
                <c:pt idx="37">
                  <c:v>14912.228541064365</c:v>
                </c:pt>
                <c:pt idx="38">
                  <c:v>10247.872017706932</c:v>
                </c:pt>
                <c:pt idx="39">
                  <c:v>17250.872844033038</c:v>
                </c:pt>
                <c:pt idx="40">
                  <c:v>9325.986030495802</c:v>
                </c:pt>
                <c:pt idx="41">
                  <c:v>9495.9571660533074</c:v>
                </c:pt>
                <c:pt idx="42">
                  <c:v>10118.999256895628</c:v>
                </c:pt>
                <c:pt idx="43">
                  <c:v>9212.6255885736664</c:v>
                </c:pt>
                <c:pt idx="44">
                  <c:v>10330.138294525033</c:v>
                </c:pt>
                <c:pt idx="45">
                  <c:v>46352.168486313662</c:v>
                </c:pt>
                <c:pt idx="46">
                  <c:v>9331.3550850914071</c:v>
                </c:pt>
                <c:pt idx="47">
                  <c:v>11921.533801920292</c:v>
                </c:pt>
                <c:pt idx="48">
                  <c:v>13577.319338170731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2-4654-9720-5ECA3A79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24-4B1F-B187-595F650242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24-4B1F-B187-595F650242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S2PRP2!$N$1:$O$1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S2PRP2!$N$2:$O$2</c:f>
              <c:numCache>
                <c:formatCode>General</c:formatCode>
                <c:ptCount val="2"/>
                <c:pt idx="0">
                  <c:v>2274.9797778290808</c:v>
                </c:pt>
                <c:pt idx="1">
                  <c:v>16971.334526091508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24-4B1F-B187-595F6502420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S2PRP3!$F$1</c:f>
              <c:strCache>
                <c:ptCount val="1"/>
                <c:pt idx="0">
                  <c:v>E_horizon(J)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S2PRP3!$F$2:$F$50</c:f>
              <c:numCache>
                <c:formatCode>General</c:formatCode>
                <c:ptCount val="49"/>
                <c:pt idx="0">
                  <c:v>1991.6868538125</c:v>
                </c:pt>
                <c:pt idx="1">
                  <c:v>2214.0985314375002</c:v>
                </c:pt>
                <c:pt idx="2">
                  <c:v>1532.4743480624998</c:v>
                </c:pt>
                <c:pt idx="3">
                  <c:v>2207.7398806874999</c:v>
                </c:pt>
                <c:pt idx="4">
                  <c:v>1952.218756125</c:v>
                </c:pt>
                <c:pt idx="5">
                  <c:v>2171.7221534999994</c:v>
                </c:pt>
                <c:pt idx="6">
                  <c:v>1797.822919125</c:v>
                </c:pt>
                <c:pt idx="7">
                  <c:v>2199.5733735000003</c:v>
                </c:pt>
                <c:pt idx="8">
                  <c:v>2302.7605919999996</c:v>
                </c:pt>
                <c:pt idx="9">
                  <c:v>2121.2042394374998</c:v>
                </c:pt>
                <c:pt idx="10">
                  <c:v>1866.7842660000001</c:v>
                </c:pt>
                <c:pt idx="11">
                  <c:v>2290.2166333125001</c:v>
                </c:pt>
                <c:pt idx="12">
                  <c:v>2003.8768537499996</c:v>
                </c:pt>
                <c:pt idx="13">
                  <c:v>2183.5938329999999</c:v>
                </c:pt>
                <c:pt idx="14">
                  <c:v>2192.2328508750002</c:v>
                </c:pt>
                <c:pt idx="15">
                  <c:v>2265.0482266874997</c:v>
                </c:pt>
                <c:pt idx="16">
                  <c:v>1438.2531956249995</c:v>
                </c:pt>
                <c:pt idx="17">
                  <c:v>1346.6729148750001</c:v>
                </c:pt>
                <c:pt idx="18">
                  <c:v>1608.0969076874999</c:v>
                </c:pt>
                <c:pt idx="19">
                  <c:v>1438.3055621249996</c:v>
                </c:pt>
                <c:pt idx="20">
                  <c:v>2538.6988274999999</c:v>
                </c:pt>
                <c:pt idx="21">
                  <c:v>1735.2740441249996</c:v>
                </c:pt>
                <c:pt idx="22">
                  <c:v>1898.1464658749999</c:v>
                </c:pt>
                <c:pt idx="23">
                  <c:v>1550.4285419999999</c:v>
                </c:pt>
                <c:pt idx="24">
                  <c:v>1502.806543875</c:v>
                </c:pt>
                <c:pt idx="25">
                  <c:v>1547.7386979374996</c:v>
                </c:pt>
                <c:pt idx="26">
                  <c:v>1550.8700206874996</c:v>
                </c:pt>
                <c:pt idx="27">
                  <c:v>1633.3188929999997</c:v>
                </c:pt>
                <c:pt idx="28">
                  <c:v>1891.2154201875001</c:v>
                </c:pt>
                <c:pt idx="29">
                  <c:v>446.39071368749995</c:v>
                </c:pt>
                <c:pt idx="30">
                  <c:v>1549.6908046874998</c:v>
                </c:pt>
                <c:pt idx="31">
                  <c:v>1543.7954519999998</c:v>
                </c:pt>
                <c:pt idx="32">
                  <c:v>1512.732904875</c:v>
                </c:pt>
                <c:pt idx="33">
                  <c:v>1992.7293350625002</c:v>
                </c:pt>
                <c:pt idx="34">
                  <c:v>1437.1193154375001</c:v>
                </c:pt>
                <c:pt idx="35">
                  <c:v>1662.0596161875001</c:v>
                </c:pt>
                <c:pt idx="36">
                  <c:v>1672.5564326250001</c:v>
                </c:pt>
                <c:pt idx="37">
                  <c:v>1486.3481893124999</c:v>
                </c:pt>
                <c:pt idx="38">
                  <c:v>1383.694090875</c:v>
                </c:pt>
                <c:pt idx="39">
                  <c:v>1433.7642228750001</c:v>
                </c:pt>
                <c:pt idx="40">
                  <c:v>1551.9685050000001</c:v>
                </c:pt>
                <c:pt idx="41">
                  <c:v>1433.9016849374998</c:v>
                </c:pt>
                <c:pt idx="42">
                  <c:v>1954.6940430000002</c:v>
                </c:pt>
                <c:pt idx="43">
                  <c:v>1557.3309800624997</c:v>
                </c:pt>
                <c:pt idx="44">
                  <c:v>1563.7456338750001</c:v>
                </c:pt>
                <c:pt idx="45">
                  <c:v>1590.9461516250001</c:v>
                </c:pt>
                <c:pt idx="46">
                  <c:v>1478.926935</c:v>
                </c:pt>
                <c:pt idx="47">
                  <c:v>1665.8241856874999</c:v>
                </c:pt>
                <c:pt idx="48">
                  <c:v>1304.8808113124999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A-4897-A1BE-77E01C8901C7}"/>
            </c:ext>
          </c:extLst>
        </c:ser>
        <c:ser>
          <c:idx val="1"/>
          <c:order val="1"/>
          <c:tx>
            <c:strRef>
              <c:f>S2PRP3!$G$1</c:f>
              <c:strCache>
                <c:ptCount val="1"/>
                <c:pt idx="0">
                  <c:v>E_hover(J)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S2PRP3!$G$2:$G$50</c:f>
              <c:numCache>
                <c:formatCode>General</c:formatCode>
                <c:ptCount val="49"/>
                <c:pt idx="0">
                  <c:v>19480.645080216334</c:v>
                </c:pt>
                <c:pt idx="1">
                  <c:v>21129.701916390844</c:v>
                </c:pt>
                <c:pt idx="2">
                  <c:v>15452.200928213848</c:v>
                </c:pt>
                <c:pt idx="3">
                  <c:v>20415.857138186333</c:v>
                </c:pt>
                <c:pt idx="4">
                  <c:v>19108.867019189838</c:v>
                </c:pt>
                <c:pt idx="5">
                  <c:v>20890.612893830657</c:v>
                </c:pt>
                <c:pt idx="6">
                  <c:v>17013.182093245232</c:v>
                </c:pt>
                <c:pt idx="7">
                  <c:v>21606.597568615001</c:v>
                </c:pt>
                <c:pt idx="8">
                  <c:v>21483.40287273574</c:v>
                </c:pt>
                <c:pt idx="9">
                  <c:v>20453.193312086409</c:v>
                </c:pt>
                <c:pt idx="10">
                  <c:v>11919.038543453556</c:v>
                </c:pt>
                <c:pt idx="11">
                  <c:v>14208.295269401089</c:v>
                </c:pt>
                <c:pt idx="12">
                  <c:v>12228.072055666395</c:v>
                </c:pt>
                <c:pt idx="13">
                  <c:v>20960.64236132583</c:v>
                </c:pt>
                <c:pt idx="14">
                  <c:v>13510.341347747881</c:v>
                </c:pt>
                <c:pt idx="15">
                  <c:v>19146.813488504376</c:v>
                </c:pt>
                <c:pt idx="16">
                  <c:v>9768.7901173524806</c:v>
                </c:pt>
                <c:pt idx="17">
                  <c:v>13772.922881135737</c:v>
                </c:pt>
                <c:pt idx="18">
                  <c:v>10739.584715563273</c:v>
                </c:pt>
                <c:pt idx="19">
                  <c:v>9323.3594426360833</c:v>
                </c:pt>
                <c:pt idx="20">
                  <c:v>24740.518598697909</c:v>
                </c:pt>
                <c:pt idx="21">
                  <c:v>16850.356821717847</c:v>
                </c:pt>
                <c:pt idx="22">
                  <c:v>14718.579488477328</c:v>
                </c:pt>
                <c:pt idx="23">
                  <c:v>9532.7448466062033</c:v>
                </c:pt>
                <c:pt idx="24">
                  <c:v>9225.5885721872255</c:v>
                </c:pt>
                <c:pt idx="25">
                  <c:v>9513.8874908251</c:v>
                </c:pt>
                <c:pt idx="26">
                  <c:v>9489.6379046731581</c:v>
                </c:pt>
                <c:pt idx="27">
                  <c:v>10400.067333660863</c:v>
                </c:pt>
                <c:pt idx="28">
                  <c:v>17596.207345518884</c:v>
                </c:pt>
                <c:pt idx="29">
                  <c:v>46351.666344516947</c:v>
                </c:pt>
                <c:pt idx="30">
                  <c:v>9490.9511986030175</c:v>
                </c:pt>
                <c:pt idx="31">
                  <c:v>9499.734817416258</c:v>
                </c:pt>
                <c:pt idx="32">
                  <c:v>15913.568811032013</c:v>
                </c:pt>
                <c:pt idx="33">
                  <c:v>13510.519028691333</c:v>
                </c:pt>
                <c:pt idx="34">
                  <c:v>9315.703711550841</c:v>
                </c:pt>
                <c:pt idx="35">
                  <c:v>9853.8374871985197</c:v>
                </c:pt>
                <c:pt idx="36">
                  <c:v>10348.292651790744</c:v>
                </c:pt>
                <c:pt idx="37">
                  <c:v>15693.375770544986</c:v>
                </c:pt>
                <c:pt idx="38">
                  <c:v>14441.984336332027</c:v>
                </c:pt>
                <c:pt idx="39">
                  <c:v>9320.3852181478724</c:v>
                </c:pt>
                <c:pt idx="40">
                  <c:v>9526.757771337725</c:v>
                </c:pt>
                <c:pt idx="41">
                  <c:v>9325.8083495523515</c:v>
                </c:pt>
                <c:pt idx="42">
                  <c:v>13237.871483594025</c:v>
                </c:pt>
                <c:pt idx="43">
                  <c:v>9490.6885398170471</c:v>
                </c:pt>
                <c:pt idx="44">
                  <c:v>9248.9111273298531</c:v>
                </c:pt>
                <c:pt idx="45">
                  <c:v>10322.72204645053</c:v>
                </c:pt>
                <c:pt idx="46">
                  <c:v>16362.35997315717</c:v>
                </c:pt>
                <c:pt idx="47">
                  <c:v>10363.302828883201</c:v>
                </c:pt>
                <c:pt idx="48">
                  <c:v>13971.24571506139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BA-4897-A1BE-77E01C8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65648"/>
        <c:axId val="105303248"/>
      </c:barChart>
      <c:catAx>
        <c:axId val="1333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Nr.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3248"/>
        <c:crosses val="autoZero"/>
        <c:auto val="1"/>
        <c:lblAlgn val="ctr"/>
        <c:lblOffset val="100"/>
        <c:noMultiLvlLbl val="0"/>
      </c:catAx>
      <c:valAx>
        <c:axId val="1053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FF-4EB1-A6AC-74AB588200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FF-4EB1-A6AC-74AB588200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S2PRP3!$N$1:$O$1</c:f>
              <c:strCache>
                <c:ptCount val="2"/>
                <c:pt idx="0">
                  <c:v>E_hor avg</c:v>
                </c:pt>
                <c:pt idx="1">
                  <c:v>E_hov avg</c:v>
                </c:pt>
              </c:strCache>
            </c:strRef>
          </c:cat>
          <c:val>
            <c:numRef>
              <c:f>S2PRP3!$N$2:$O$2</c:f>
              <c:numCache>
                <c:formatCode>General</c:formatCode>
                <c:ptCount val="2"/>
                <c:pt idx="0">
                  <c:v>1738.6934766313771</c:v>
                </c:pt>
                <c:pt idx="1">
                  <c:v>14699.375442017741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FF-4EB1-A6AC-74AB588200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  <a:r>
              <a:rPr lang="en-US" baseline="0"/>
              <a:t> of 'Time'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Overall!$B$2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Overall!$A$3:$A$11</c:f>
              <c:strCache>
                <c:ptCount val="9"/>
                <c:pt idx="0">
                  <c:v>S0PRP1</c:v>
                </c:pt>
                <c:pt idx="1">
                  <c:v>S0PRP2</c:v>
                </c:pt>
                <c:pt idx="2">
                  <c:v>S0PRP3</c:v>
                </c:pt>
                <c:pt idx="3">
                  <c:v>S1PRP1</c:v>
                </c:pt>
                <c:pt idx="4">
                  <c:v>S1PRP2</c:v>
                </c:pt>
                <c:pt idx="5">
                  <c:v>S1PRP3</c:v>
                </c:pt>
                <c:pt idx="6">
                  <c:v>S2PRP1</c:v>
                </c:pt>
                <c:pt idx="7">
                  <c:v>S2PRP2</c:v>
                </c:pt>
                <c:pt idx="8">
                  <c:v>S2PRP3</c:v>
                </c:pt>
              </c:strCache>
            </c:strRef>
          </c:cat>
          <c:val>
            <c:numRef>
              <c:f>Overall!$B$3:$B$11</c:f>
              <c:numCache>
                <c:formatCode>General</c:formatCode>
                <c:ptCount val="9"/>
                <c:pt idx="0">
                  <c:v>68.493149710596015</c:v>
                </c:pt>
                <c:pt idx="1">
                  <c:v>49.485446070545642</c:v>
                </c:pt>
                <c:pt idx="2">
                  <c:v>39.224506434285708</c:v>
                </c:pt>
                <c:pt idx="3">
                  <c:v>506.9012363576644</c:v>
                </c:pt>
                <c:pt idx="4">
                  <c:v>2910.4561210106876</c:v>
                </c:pt>
                <c:pt idx="5">
                  <c:v>392.75046263074501</c:v>
                </c:pt>
                <c:pt idx="6">
                  <c:v>30128.299476876855</c:v>
                </c:pt>
                <c:pt idx="7">
                  <c:v>11476.908538751277</c:v>
                </c:pt>
                <c:pt idx="8">
                  <c:v>6807.8572893565843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8-4FA7-92D0-62E5FDBAC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290464"/>
        <c:axId val="1597643631"/>
      </c:barChart>
      <c:catAx>
        <c:axId val="20582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43631"/>
        <c:crosses val="autoZero"/>
        <c:auto val="1"/>
        <c:lblAlgn val="ctr"/>
        <c:lblOffset val="100"/>
        <c:noMultiLvlLbl val="0"/>
      </c:catAx>
      <c:valAx>
        <c:axId val="1597643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Overall!$D$2</c:f>
              <c:strCache>
                <c:ptCount val="1"/>
                <c:pt idx="0">
                  <c:v>P(Nodeloss)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Overall!$A$3:$A$11</c:f>
              <c:strCache>
                <c:ptCount val="9"/>
                <c:pt idx="0">
                  <c:v>S0PRP1</c:v>
                </c:pt>
                <c:pt idx="1">
                  <c:v>S0PRP2</c:v>
                </c:pt>
                <c:pt idx="2">
                  <c:v>S0PRP3</c:v>
                </c:pt>
                <c:pt idx="3">
                  <c:v>S1PRP1</c:v>
                </c:pt>
                <c:pt idx="4">
                  <c:v>S1PRP2</c:v>
                </c:pt>
                <c:pt idx="5">
                  <c:v>S1PRP3</c:v>
                </c:pt>
                <c:pt idx="6">
                  <c:v>S2PRP1</c:v>
                </c:pt>
                <c:pt idx="7">
                  <c:v>S2PRP2</c:v>
                </c:pt>
                <c:pt idx="8">
                  <c:v>S2PRP3</c:v>
                </c:pt>
              </c:strCache>
            </c:strRef>
          </c:cat>
          <c:val>
            <c:numRef>
              <c:f>Overall!$D$3:$D$11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0.23300970873786409</c:v>
                </c:pt>
                <c:pt idx="4">
                  <c:v>2.564102564102564E-2</c:v>
                </c:pt>
                <c:pt idx="5">
                  <c:v>2.5000000000000001E-2</c:v>
                </c:pt>
                <c:pt idx="6">
                  <c:v>0.52</c:v>
                </c:pt>
                <c:pt idx="7">
                  <c:v>0.30612244897959184</c:v>
                </c:pt>
                <c:pt idx="8">
                  <c:v>0.44897959183673469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4-46AA-B01C-AFDFE566A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6143807"/>
        <c:axId val="2056191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Overall!$B$2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Overall!$A$3:$A$11</c15:sqref>
                        </c15:formulaRef>
                      </c:ext>
                    </c:extLst>
                    <c:strCache>
                      <c:ptCount val="9"/>
                      <c:pt idx="0">
                        <c:v>S0PRP1</c:v>
                      </c:pt>
                      <c:pt idx="1">
                        <c:v>S0PRP2</c:v>
                      </c:pt>
                      <c:pt idx="2">
                        <c:v>S0PRP3</c:v>
                      </c:pt>
                      <c:pt idx="3">
                        <c:v>S1PRP1</c:v>
                      </c:pt>
                      <c:pt idx="4">
                        <c:v>S1PRP2</c:v>
                      </c:pt>
                      <c:pt idx="5">
                        <c:v>S1PRP3</c:v>
                      </c:pt>
                      <c:pt idx="6">
                        <c:v>S2PRP1</c:v>
                      </c:pt>
                      <c:pt idx="7">
                        <c:v>S2PRP2</c:v>
                      </c:pt>
                      <c:pt idx="8">
                        <c:v>S2PRP3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Overall!$B$3:$B$11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68.493149710596015</c:v>
                      </c:pt>
                      <c:pt idx="1">
                        <c:v>49.485446070545642</c:v>
                      </c:pt>
                      <c:pt idx="2">
                        <c:v>39.224506434285708</c:v>
                      </c:pt>
                      <c:pt idx="3">
                        <c:v>506.9012363576644</c:v>
                      </c:pt>
                      <c:pt idx="4">
                        <c:v>2910.4561210106876</c:v>
                      </c:pt>
                      <c:pt idx="5">
                        <c:v>392.75046263074501</c:v>
                      </c:pt>
                      <c:pt idx="6">
                        <c:v>30128.299476876855</c:v>
                      </c:pt>
                      <c:pt idx="7">
                        <c:v>11476.908538751277</c:v>
                      </c:pt>
                      <c:pt idx="8">
                        <c:v>6807.8572893565843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04-46AA-B01C-AFDFE566AE4B}"/>
                  </c:ext>
                </c:extLst>
              </c15:ser>
            </c15:filteredBarSeries>
          </c:ext>
        </c:extLst>
      </c:barChart>
      <c:catAx>
        <c:axId val="8661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91264"/>
        <c:crosses val="autoZero"/>
        <c:auto val="1"/>
        <c:lblAlgn val="ctr"/>
        <c:lblOffset val="100"/>
        <c:noMultiLvlLbl val="0"/>
      </c:catAx>
      <c:valAx>
        <c:axId val="2056191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Node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(Overall!$D$3,Overall!$D$6,Overall!$D$9)</c:f>
              <c:numCache>
                <c:formatCode>General</c:formatCode>
                <c:ptCount val="3"/>
                <c:pt idx="0">
                  <c:v>0</c:v>
                </c:pt>
                <c:pt idx="1">
                  <c:v>0.23300970873786409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31-4C6D-AF0D-51A81E946F0C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(Overall!$D$4,Overall!$D$7,Overall!$D$10)</c:f>
              <c:numCache>
                <c:formatCode>General</c:formatCode>
                <c:ptCount val="3"/>
                <c:pt idx="0">
                  <c:v>0</c:v>
                </c:pt>
                <c:pt idx="1">
                  <c:v>2.564102564102564E-2</c:v>
                </c:pt>
                <c:pt idx="2">
                  <c:v>0.30612244897959184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31-4C6D-AF0D-51A81E946F0C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(Overall!$D$5,Overall!$D$8,Overall!$D$11)</c:f>
              <c:numCache>
                <c:formatCode>General</c:formatCode>
                <c:ptCount val="3"/>
                <c:pt idx="0">
                  <c:v>0</c:v>
                </c:pt>
                <c:pt idx="1">
                  <c:v>2.5000000000000001E-2</c:v>
                </c:pt>
                <c:pt idx="2">
                  <c:v>0.44897959183673469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631-4C6D-AF0D-51A81E94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405872"/>
        <c:axId val="2056189280"/>
      </c:barChart>
      <c:catAx>
        <c:axId val="14444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89280"/>
        <c:crosses val="autoZero"/>
        <c:auto val="1"/>
        <c:lblAlgn val="ctr"/>
        <c:lblOffset val="100"/>
        <c:noMultiLvlLbl val="0"/>
      </c:catAx>
      <c:valAx>
        <c:axId val="205618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P(Node_loss)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n</a:t>
            </a:r>
            <a:r>
              <a:rPr lang="en-US"/>
              <a:t>umber of nodes lost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(Overall!$C$3,Overall!$C$6,Overall!$C$9)</c:f>
              <c:numCache>
                <c:formatCode>General</c:formatCode>
                <c:ptCount val="3"/>
                <c:pt idx="0">
                  <c:v>0</c:v>
                </c:pt>
                <c:pt idx="1">
                  <c:v>0.27184466019417475</c:v>
                </c:pt>
                <c:pt idx="2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8-4EE0-80A2-8D701FC34AC5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(Overall!$C$4,Overall!$C$7,Overall!$C$10)</c:f>
              <c:numCache>
                <c:formatCode>General</c:formatCode>
                <c:ptCount val="3"/>
                <c:pt idx="0">
                  <c:v>0</c:v>
                </c:pt>
                <c:pt idx="1">
                  <c:v>2.564102564102564E-2</c:v>
                </c:pt>
                <c:pt idx="2">
                  <c:v>0.40816326530612246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8-4EE0-80A2-8D701FC34AC5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(Overall!$C$5,Overall!$C$8,Overall!$C$11)</c:f>
              <c:numCache>
                <c:formatCode>General</c:formatCode>
                <c:ptCount val="3"/>
                <c:pt idx="0">
                  <c:v>0</c:v>
                </c:pt>
                <c:pt idx="1">
                  <c:v>2.5000000000000001E-2</c:v>
                </c:pt>
                <c:pt idx="2">
                  <c:v>0.55102040816326525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8-4EE0-80A2-8D701FC34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405872"/>
        <c:axId val="2056189280"/>
      </c:barChart>
      <c:catAx>
        <c:axId val="14444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89280"/>
        <c:crosses val="autoZero"/>
        <c:auto val="1"/>
        <c:lblAlgn val="ctr"/>
        <c:lblOffset val="100"/>
        <c:noMultiLvlLbl val="0"/>
      </c:catAx>
      <c:valAx>
        <c:axId val="20561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  <a:r>
                  <a:rPr lang="en-US" baseline="0"/>
                  <a:t> lost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4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Scenario0!$A$2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Scenario0!$B$2:$K$2</c15:sqref>
                  </c15:fullRef>
                </c:ext>
              </c:extLst>
              <c:f>(Scenario0!$B$2,Scenario0!$F$2:$G$2)</c:f>
              <c:numCache>
                <c:formatCode>General</c:formatCode>
                <c:ptCount val="3"/>
                <c:pt idx="0">
                  <c:v>141.618898</c:v>
                </c:pt>
                <c:pt idx="1">
                  <c:v>121.761</c:v>
                </c:pt>
                <c:pt idx="2">
                  <c:v>162.5889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7-441E-BD32-9282F0CFF3B1}"/>
            </c:ext>
          </c:extLst>
        </c:ser>
        <c:ser>
          <c:idx val="1"/>
          <c:order val="1"/>
          <c:tx>
            <c:strRef>
              <c:f>Scenario0!$A$3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Scenario0!$B$3:$K$3</c15:sqref>
                  </c15:fullRef>
                </c:ext>
              </c:extLst>
              <c:f>(Scenario0!$B$3,Scenario0!$F$3:$G$3)</c:f>
              <c:numCache>
                <c:formatCode>General</c:formatCode>
                <c:ptCount val="3"/>
                <c:pt idx="0">
                  <c:v>141.35919183673465</c:v>
                </c:pt>
                <c:pt idx="1">
                  <c:v>122.92019999999999</c:v>
                </c:pt>
                <c:pt idx="2">
                  <c:v>157.55369999999999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7-441E-BD32-9282F0CFF3B1}"/>
            </c:ext>
          </c:extLst>
        </c:ser>
        <c:ser>
          <c:idx val="2"/>
          <c:order val="2"/>
          <c:tx>
            <c:strRef>
              <c:f>Scenario0!$A$4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Scenario0!$B$1:$K$1</c15:sqref>
                  </c15:fullRef>
                </c:ext>
              </c:extLst>
              <c:f>(Scenario0!$B$1,Scenario0!$F$1:$G$1)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Scenario0!$B$4:$K$4</c15:sqref>
                  </c15:fullRef>
                </c:ext>
              </c:extLst>
              <c:f>(Scenario0!$B$4,Scenario0!$F$4:$G$4)</c:f>
              <c:numCache>
                <c:formatCode>General</c:formatCode>
                <c:ptCount val="3"/>
                <c:pt idx="0">
                  <c:v>143.29598571428568</c:v>
                </c:pt>
                <c:pt idx="1">
                  <c:v>128.15369999999999</c:v>
                </c:pt>
                <c:pt idx="2">
                  <c:v>164.8871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7-441E-BD32-9282F0CFF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Average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Scenario0!$A$2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Scenario0!$B$2:$G$2</c15:sqref>
                  </c15:fullRef>
                </c:ext>
              </c:extLst>
              <c:f>Scenario0!$D$2</c:f>
              <c:numCache>
                <c:formatCode>General</c:formatCode>
                <c:ptCount val="1"/>
                <c:pt idx="0">
                  <c:v>760.79919800000005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D-4CE0-8DDB-F9302F1B7671}"/>
            </c:ext>
          </c:extLst>
        </c:ser>
        <c:ser>
          <c:idx val="1"/>
          <c:order val="1"/>
          <c:tx>
            <c:strRef>
              <c:f>Scenario0!$A$3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Scenario0!$B$3:$G$3</c15:sqref>
                  </c15:fullRef>
                </c:ext>
              </c:extLst>
              <c:f>Scenario0!$D$3</c:f>
              <c:numCache>
                <c:formatCode>General</c:formatCode>
                <c:ptCount val="1"/>
                <c:pt idx="0">
                  <c:v>762.78361020408136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D-4CE0-8DDB-F9302F1B7671}"/>
            </c:ext>
          </c:extLst>
        </c:ser>
        <c:ser>
          <c:idx val="2"/>
          <c:order val="2"/>
          <c:tx>
            <c:strRef>
              <c:f>Scenario0!$A$4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Scenario0!$B$1:$G$1</c15:sqref>
                  </c15:fullRef>
                </c:ext>
              </c:extLst>
              <c:f>Scenario0!$D$1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Scenario0!$B$4:$G$4</c15:sqref>
                  </c15:fullRef>
                </c:ext>
              </c:extLst>
              <c:f>Scenario0!$D$4</c:f>
              <c:numCache>
                <c:formatCode>General</c:formatCode>
                <c:ptCount val="1"/>
                <c:pt idx="0">
                  <c:v>769.51740612244896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D-4CE0-8DDB-F9302F1B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>
            <c:manualLayout>
              <c:xMode val="edge"/>
              <c:yMode val="edge"/>
              <c:x val="2.6455026455026454E-2"/>
              <c:y val="0.37443959210980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Scenario0!$H$2:$K$2</c15:sqref>
                  </c15:fullRef>
                </c:ext>
              </c:extLst>
              <c:f>Scenario0!$I$2:$K$2</c:f>
              <c:numCache>
                <c:formatCode>General</c:formatCode>
                <c:ptCount val="3"/>
                <c:pt idx="0">
                  <c:v>1844.4625556512501</c:v>
                </c:pt>
                <c:pt idx="1">
                  <c:v>10940.425829225722</c:v>
                </c:pt>
                <c:pt idx="2">
                  <c:v>12784.888384876973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B-4B2F-A63E-BA94E68A6CD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Scenario0!$H$3:$K$3</c15:sqref>
                  </c15:fullRef>
                </c:ext>
              </c:extLst>
              <c:f>Scenario0!$I$3:$K$3</c:f>
              <c:numCache>
                <c:formatCode>General</c:formatCode>
                <c:ptCount val="3"/>
                <c:pt idx="0">
                  <c:v>1849.2735149885209</c:v>
                </c:pt>
                <c:pt idx="1">
                  <c:v>10920.362857004346</c:v>
                </c:pt>
                <c:pt idx="2">
                  <c:v>12769.636371992867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B-4B2F-A63E-BA94E68A6CD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Scenario0!$H$1:$K$1</c15:sqref>
                  </c15:fullRef>
                </c:ext>
              </c:extLst>
              <c:f>Scenario0!$I$1:$K$1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Scenario0!$H$4:$K$4</c15:sqref>
                  </c15:fullRef>
                </c:ext>
              </c:extLst>
              <c:f>Scenario0!$I$4:$K$4</c:f>
              <c:numCache>
                <c:formatCode>General</c:formatCode>
                <c:ptCount val="3"/>
                <c:pt idx="0">
                  <c:v>1865.5987614681117</c:v>
                </c:pt>
                <c:pt idx="1">
                  <c:v>11069.985188932427</c:v>
                </c:pt>
                <c:pt idx="2">
                  <c:v>12935.583950400538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B-4B2F-A63E-BA94E68A6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476927"/>
        <c:axId val="1540615263"/>
      </c:barChart>
      <c:catAx>
        <c:axId val="13664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15263"/>
        <c:crosses val="autoZero"/>
        <c:auto val="1"/>
        <c:lblAlgn val="ctr"/>
        <c:lblOffset val="100"/>
        <c:noMultiLvlLbl val="0"/>
      </c:catAx>
      <c:valAx>
        <c:axId val="15406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0 -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D00-4B90-8293-A16DFA6F8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00-4B90-8293-A16DFA6F8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00-4B90-8293-A16DFA6F81D3}"/>
              </c:ext>
            </c:extLst>
          </c:dPt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Scenario0!$G$32:$I$32</c:f>
              <c:numCache>
                <c:formatCode>General</c:formatCode>
                <c:ptCount val="3"/>
                <c:pt idx="0">
                  <c:v>121.761</c:v>
                </c:pt>
                <c:pt idx="1">
                  <c:v>122.92019999999999</c:v>
                </c:pt>
                <c:pt idx="2">
                  <c:v>128.15369999999999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0-4B90-8293-A16DFA6F81D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Scenario0!$G$33:$I$33</c:f>
              <c:numCache>
                <c:formatCode>General</c:formatCode>
                <c:ptCount val="3"/>
                <c:pt idx="0">
                  <c:v>13.167049999999989</c:v>
                </c:pt>
                <c:pt idx="1">
                  <c:v>15.200800000000015</c:v>
                </c:pt>
                <c:pt idx="2">
                  <c:v>12.934400000000011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0-4B90-8293-A16DFA6F81D3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Scenario0!$G$34:$I$34</c:f>
              <c:numCache>
                <c:formatCode>General</c:formatCode>
                <c:ptCount val="3"/>
                <c:pt idx="0">
                  <c:v>8.129950000000008</c:v>
                </c:pt>
                <c:pt idx="1">
                  <c:v>4.6308999999999969</c:v>
                </c:pt>
                <c:pt idx="2">
                  <c:v>1.6983999999999924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0-4B90-8293-A16DFA6F81D3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Scenario0!$G$35:$I$35</c:f>
              <c:numCache>
                <c:formatCode>General</c:formatCode>
                <c:ptCount val="3"/>
                <c:pt idx="0">
                  <c:v>3.8486000000000047</c:v>
                </c:pt>
                <c:pt idx="1">
                  <c:v>2.6347999999999843</c:v>
                </c:pt>
                <c:pt idx="2">
                  <c:v>2.8671999999999969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00-4B90-8293-A16DFA6F81D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Scenario0!$G$31:$I$31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Scenario0!$G$36:$I$36</c:f>
              <c:numCache>
                <c:formatCode>General</c:formatCode>
                <c:ptCount val="3"/>
                <c:pt idx="0">
                  <c:v>15.682299999999998</c:v>
                </c:pt>
                <c:pt idx="1">
                  <c:v>12.167000000000002</c:v>
                </c:pt>
                <c:pt idx="2">
                  <c:v>19.233400000000017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00-4B90-8293-A16DFA6F8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4492399"/>
        <c:axId val="1672295903"/>
      </c:barChart>
      <c:catAx>
        <c:axId val="36449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95903"/>
        <c:crosses val="autoZero"/>
        <c:auto val="1"/>
        <c:lblAlgn val="ctr"/>
        <c:lblOffset val="100"/>
        <c:noMultiLvlLbl val="0"/>
      </c:catAx>
      <c:valAx>
        <c:axId val="16722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9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Scenario0!$B$50</c:f>
              <c:strCache>
                <c:ptCount val="1"/>
                <c:pt idx="0">
                  <c:v>Z-min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Scenario0!$C$50:$E$50</c:f>
              <c:numCache>
                <c:formatCode>General</c:formatCode>
                <c:ptCount val="3"/>
                <c:pt idx="0">
                  <c:v>11084.495056119813</c:v>
                </c:pt>
                <c:pt idx="1">
                  <c:v>11164.730348244429</c:v>
                </c:pt>
                <c:pt idx="2">
                  <c:v>11636.169964055982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B8-4508-A58D-96ACA98D057C}"/>
            </c:ext>
          </c:extLst>
        </c:ser>
        <c:ser>
          <c:idx val="1"/>
          <c:order val="1"/>
          <c:tx>
            <c:strRef>
              <c:f>Scenario0!$B$51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Scenario0!$C$51:$E$51</c:f>
              <c:numCache>
                <c:formatCode>General</c:formatCode>
                <c:ptCount val="3"/>
                <c:pt idx="0">
                  <c:v>1127.3218116914413</c:v>
                </c:pt>
                <c:pt idx="1">
                  <c:v>1263.6603140527677</c:v>
                </c:pt>
                <c:pt idx="2">
                  <c:v>1121.0651538421425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B8-4508-A58D-96ACA98D057C}"/>
            </c:ext>
          </c:extLst>
        </c:ser>
        <c:ser>
          <c:idx val="2"/>
          <c:order val="2"/>
          <c:tx>
            <c:strRef>
              <c:f>Scenario0!$B$52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Scenario0!$C$52:$E$52</c:f>
              <c:numCache>
                <c:formatCode>General</c:formatCode>
                <c:ptCount val="3"/>
                <c:pt idx="0">
                  <c:v>680.94553323374384</c:v>
                </c:pt>
                <c:pt idx="1">
                  <c:v>466.84547218321495</c:v>
                </c:pt>
                <c:pt idx="2">
                  <c:v>146.65148197640519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B8-4508-A58D-96ACA98D057C}"/>
            </c:ext>
          </c:extLst>
        </c:ser>
        <c:ser>
          <c:idx val="3"/>
          <c:order val="3"/>
          <c:tx>
            <c:strRef>
              <c:f>Scenario0!$B$53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Scenario0!$C$53:$E$53</c:f>
              <c:numCache>
                <c:formatCode>General</c:formatCode>
                <c:ptCount val="3"/>
                <c:pt idx="0">
                  <c:v>309.5856683053189</c:v>
                </c:pt>
                <c:pt idx="1">
                  <c:v>231.64457182569095</c:v>
                </c:pt>
                <c:pt idx="2">
                  <c:v>240.30957722097446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B8-4508-A58D-96ACA98D057C}"/>
            </c:ext>
          </c:extLst>
        </c:ser>
        <c:ser>
          <c:idx val="4"/>
          <c:order val="4"/>
          <c:tx>
            <c:strRef>
              <c:f>Scenario0!$B$54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Scenario0!$C$49:$E$49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Scenario0!$C$54:$E$54</c:f>
              <c:numCache>
                <c:formatCode>General</c:formatCode>
                <c:ptCount val="3"/>
                <c:pt idx="0">
                  <c:v>1387.5426144672219</c:v>
                </c:pt>
                <c:pt idx="1">
                  <c:v>1078.6122591287785</c:v>
                </c:pt>
                <c:pt idx="2">
                  <c:v>1736.2728798972603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B8-4508-A58D-96ACA98D0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6807103"/>
        <c:axId val="1441894112"/>
      </c:barChart>
      <c:catAx>
        <c:axId val="15968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94112"/>
        <c:crosses val="autoZero"/>
        <c:auto val="1"/>
        <c:lblAlgn val="ctr"/>
        <c:lblOffset val="100"/>
        <c:noMultiLvlLbl val="0"/>
      </c:catAx>
      <c:valAx>
        <c:axId val="1441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0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(Scenario1!$B$2,Scenario1!$F$2:$G$2)</c:f>
              <c:numCache>
                <c:formatCode>General</c:formatCode>
                <c:ptCount val="3"/>
                <c:pt idx="0">
                  <c:v>213.41102621359227</c:v>
                </c:pt>
                <c:pt idx="1">
                  <c:v>152.12010000000001</c:v>
                </c:pt>
                <c:pt idx="2">
                  <c:v>282.6857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3FB-8C1B-6E23F1BBA282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(Scenario1!$B$3,Scenario1!$F$3:$G$3)</c:f>
              <c:numCache>
                <c:formatCode>General</c:formatCode>
                <c:ptCount val="3"/>
                <c:pt idx="0">
                  <c:v>233.21554615384616</c:v>
                </c:pt>
                <c:pt idx="1">
                  <c:v>160.35429999999999</c:v>
                </c:pt>
                <c:pt idx="2">
                  <c:v>432.43700000000001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F-43FB-8C1B-6E23F1BBA282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(Scenario1!$B$4,Scenario1!$F$4:$G$4)</c:f>
              <c:numCache>
                <c:formatCode>General</c:formatCode>
                <c:ptCount val="3"/>
                <c:pt idx="0">
                  <c:v>187.22927749999999</c:v>
                </c:pt>
                <c:pt idx="1">
                  <c:v>163.45359999999999</c:v>
                </c:pt>
                <c:pt idx="2">
                  <c:v>271.34019999999998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F-43FB-8C1B-6E23F1BB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Average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Scenario1!$A$2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Scenario1!$D$2</c:f>
              <c:numCache>
                <c:formatCode>General</c:formatCode>
                <c:ptCount val="1"/>
                <c:pt idx="0">
                  <c:v>20803.586174757271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655-ADF9-D368DFDD95AB}"/>
            </c:ext>
          </c:extLst>
        </c:ser>
        <c:ser>
          <c:idx val="1"/>
          <c:order val="1"/>
          <c:tx>
            <c:strRef>
              <c:f>Scenario1!$A$3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Scenario1!$D$3</c:f>
              <c:numCache>
                <c:formatCode>General</c:formatCode>
                <c:ptCount val="1"/>
                <c:pt idx="0">
                  <c:v>23359.78589743589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6-4655-ADF9-D368DFDD95AB}"/>
            </c:ext>
          </c:extLst>
        </c:ser>
        <c:ser>
          <c:idx val="2"/>
          <c:order val="2"/>
          <c:tx>
            <c:strRef>
              <c:f>Scenario1!$A$4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avg(m)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Scenario1!$D$4</c:f>
              <c:numCache>
                <c:formatCode>General</c:formatCode>
                <c:ptCount val="1"/>
                <c:pt idx="0">
                  <c:v>19201.811249999995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6-4655-ADF9-D368DFDD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Distance(m)</a:t>
                </a:r>
              </a:p>
            </c:rich>
          </c:tx>
          <c:layout>
            <c:manualLayout>
              <c:xMode val="edge"/>
              <c:yMode val="edge"/>
              <c:x val="2.6455026455026454E-2"/>
              <c:y val="0.37443959210980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Scenario1!$H$2:$K$2</c15:sqref>
                  </c15:fullRef>
                </c:ext>
              </c:extLst>
              <c:f>Scenario1!$I$2:$K$2</c:f>
              <c:numCache>
                <c:formatCode>General</c:formatCode>
                <c:ptCount val="3"/>
                <c:pt idx="0">
                  <c:v>2521.7847116213579</c:v>
                </c:pt>
                <c:pt idx="1">
                  <c:v>16486.553252439182</c:v>
                </c:pt>
                <c:pt idx="2">
                  <c:v>19008.337964060542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5-43F6-9C7E-4D60BE9815E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Scenario1!$H$3:$K$3</c15:sqref>
                  </c15:fullRef>
                </c:ext>
              </c:extLst>
              <c:f>Scenario1!$I$3:$K$3</c:f>
              <c:numCache>
                <c:formatCode>General</c:formatCode>
                <c:ptCount val="3"/>
                <c:pt idx="0">
                  <c:v>2831.6440467548077</c:v>
                </c:pt>
                <c:pt idx="1">
                  <c:v>18016.503594869966</c:v>
                </c:pt>
                <c:pt idx="2">
                  <c:v>20848.147641624775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5-43F6-9C7E-4D60BE9815E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Scenario1!$H$1:$K$1</c15:sqref>
                  </c15:fullRef>
                </c:ext>
              </c:extLst>
              <c:f>Scenario1!$I$1:$K$1</c:f>
              <c:strCache>
                <c:ptCount val="3"/>
                <c:pt idx="0">
                  <c:v>E_hor avg</c:v>
                </c:pt>
                <c:pt idx="1">
                  <c:v>E_hov avg</c:v>
                </c:pt>
                <c:pt idx="2">
                  <c:v>E_tot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Scenario1!$H$4:$K$4</c15:sqref>
                  </c15:fullRef>
                </c:ext>
              </c:extLst>
              <c:f>Scenario1!$I$4:$K$4</c:f>
              <c:numCache>
                <c:formatCode>General</c:formatCode>
                <c:ptCount val="3"/>
                <c:pt idx="0">
                  <c:v>2327.6195574609374</c:v>
                </c:pt>
                <c:pt idx="1">
                  <c:v>14463.94550781119</c:v>
                </c:pt>
                <c:pt idx="2">
                  <c:v>16791.565065272127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5-43F6-9C7E-4D60BE98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476927"/>
        <c:axId val="1540615263"/>
      </c:barChart>
      <c:catAx>
        <c:axId val="13664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15263"/>
        <c:crosses val="autoZero"/>
        <c:auto val="1"/>
        <c:lblAlgn val="ctr"/>
        <c:lblOffset val="100"/>
        <c:noMultiLvlLbl val="0"/>
      </c:catAx>
      <c:valAx>
        <c:axId val="15406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Boxplot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Scenario1!$C$32:$E$32</c:f>
              <c:numCache>
                <c:formatCode>General</c:formatCode>
                <c:ptCount val="3"/>
                <c:pt idx="0">
                  <c:v>152.12010000000001</c:v>
                </c:pt>
                <c:pt idx="1">
                  <c:v>160.35429999999999</c:v>
                </c:pt>
                <c:pt idx="2">
                  <c:v>163.45359999999999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EAF-4707-91CA-A2E578FD3B1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Scenario1!$C$33:$E$33</c:f>
              <c:numCache>
                <c:formatCode>General</c:formatCode>
                <c:ptCount val="3"/>
                <c:pt idx="0">
                  <c:v>45.666650000000004</c:v>
                </c:pt>
                <c:pt idx="1">
                  <c:v>49.424200000000013</c:v>
                </c:pt>
                <c:pt idx="2">
                  <c:v>9.9723250000000121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EAF-4707-91CA-A2E578FD3B11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Scenario1!$C$34:$E$34</c:f>
              <c:numCache>
                <c:formatCode>General</c:formatCode>
                <c:ptCount val="3"/>
                <c:pt idx="0">
                  <c:v>15.299449999999979</c:v>
                </c:pt>
                <c:pt idx="1">
                  <c:v>13.8767</c:v>
                </c:pt>
                <c:pt idx="2">
                  <c:v>10.527274999999975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EAF-4707-91CA-A2E578FD3B11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Scenario1!$C$35:$E$35</c:f>
              <c:numCache>
                <c:formatCode>General</c:formatCode>
                <c:ptCount val="3"/>
                <c:pt idx="0">
                  <c:v>11.266449999999992</c:v>
                </c:pt>
                <c:pt idx="1">
                  <c:v>12.254850000000005</c:v>
                </c:pt>
                <c:pt idx="2">
                  <c:v>13.603025000000002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EAF-4707-91CA-A2E578FD3B11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Scenario1!$C$31:$E$31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Scenario1!$C$36:$E$36</c:f>
              <c:numCache>
                <c:formatCode>General</c:formatCode>
                <c:ptCount val="3"/>
                <c:pt idx="0">
                  <c:v>58.333050000000014</c:v>
                </c:pt>
                <c:pt idx="1">
                  <c:v>196.52695</c:v>
                </c:pt>
                <c:pt idx="2">
                  <c:v>73.783974999999998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EAF-4707-91CA-A2E578FD3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4492399"/>
        <c:axId val="1672295903"/>
      </c:barChart>
      <c:catAx>
        <c:axId val="36449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95903"/>
        <c:crosses val="autoZero"/>
        <c:auto val="1"/>
        <c:lblAlgn val="ctr"/>
        <c:lblOffset val="100"/>
        <c:noMultiLvlLbl val="0"/>
      </c:catAx>
      <c:valAx>
        <c:axId val="16722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9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Scenario1!$B$48</c:f>
              <c:strCache>
                <c:ptCount val="1"/>
                <c:pt idx="0">
                  <c:v>Z-min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8A-48B7-9925-E886C3A14F36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8A-48B7-9925-E886C3A14F36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8A-48B7-9925-E886C3A14F36}"/>
              </c:ext>
            </c:extLst>
          </c:dPt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Scenario1!$C$48:$E$48</c:f>
              <c:numCache>
                <c:formatCode>General</c:formatCode>
                <c:ptCount val="3"/>
                <c:pt idx="0">
                  <c:v>13659.59624485554</c:v>
                </c:pt>
                <c:pt idx="1">
                  <c:v>14425.322863804171</c:v>
                </c:pt>
                <c:pt idx="2">
                  <c:v>14651.063309059959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A-48B7-9925-E886C3A14F36}"/>
            </c:ext>
          </c:extLst>
        </c:ser>
        <c:ser>
          <c:idx val="1"/>
          <c:order val="1"/>
          <c:tx>
            <c:strRef>
              <c:f>Scenario1!$B$49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Scenario1!$C$49:$E$49</c:f>
              <c:numCache>
                <c:formatCode>General</c:formatCode>
                <c:ptCount val="3"/>
                <c:pt idx="0">
                  <c:v>4071.9089688117456</c:v>
                </c:pt>
                <c:pt idx="1">
                  <c:v>4443.6216381886825</c:v>
                </c:pt>
                <c:pt idx="2">
                  <c:v>965.9800483653562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A-48B7-9925-E886C3A14F36}"/>
            </c:ext>
          </c:extLst>
        </c:ser>
        <c:ser>
          <c:idx val="2"/>
          <c:order val="2"/>
          <c:tx>
            <c:strRef>
              <c:f>Scenario1!$B$50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Scenario1!$C$50:$E$50</c:f>
              <c:numCache>
                <c:formatCode>General</c:formatCode>
                <c:ptCount val="3"/>
                <c:pt idx="0">
                  <c:v>1218.9441921341422</c:v>
                </c:pt>
                <c:pt idx="1">
                  <c:v>1149.7681312621207</c:v>
                </c:pt>
                <c:pt idx="2">
                  <c:v>910.99856323695349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8A-48B7-9925-E886C3A14F36}"/>
            </c:ext>
          </c:extLst>
        </c:ser>
        <c:ser>
          <c:idx val="3"/>
          <c:order val="3"/>
          <c:tx>
            <c:strRef>
              <c:f>Scenario1!$B$51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Scenario1!$C$51:$E$51</c:f>
              <c:numCache>
                <c:formatCode>General</c:formatCode>
                <c:ptCount val="3"/>
                <c:pt idx="0">
                  <c:v>1009.8823718771564</c:v>
                </c:pt>
                <c:pt idx="1">
                  <c:v>947.69484981122514</c:v>
                </c:pt>
                <c:pt idx="2">
                  <c:v>1151.0148988899964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A-48B7-9925-E886C3A14F36}"/>
            </c:ext>
          </c:extLst>
        </c:ser>
        <c:ser>
          <c:idx val="4"/>
          <c:order val="4"/>
          <c:tx>
            <c:strRef>
              <c:f>Scenario1!$B$52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Scenario1!$C$47:$E$47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Scenario1!$C$52:$E$52</c:f>
              <c:numCache>
                <c:formatCode>General</c:formatCode>
                <c:ptCount val="3"/>
                <c:pt idx="0">
                  <c:v>5186.1857093464023</c:v>
                </c:pt>
                <c:pt idx="1">
                  <c:v>18819.554038325979</c:v>
                </c:pt>
                <c:pt idx="2">
                  <c:v>5544.7315935845108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8A-48B7-9925-E886C3A1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6807103"/>
        <c:axId val="1441894112"/>
      </c:barChart>
      <c:catAx>
        <c:axId val="15968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94112"/>
        <c:crosses val="autoZero"/>
        <c:auto val="1"/>
        <c:lblAlgn val="ctr"/>
        <c:lblOffset val="100"/>
        <c:noMultiLvlLbl val="0"/>
      </c:catAx>
      <c:valAx>
        <c:axId val="1441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0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(Scenario2!$B$2,Scenario2!$F$2:$G$2)</c:f>
              <c:numCache>
                <c:formatCode>General</c:formatCode>
                <c:ptCount val="3"/>
                <c:pt idx="0">
                  <c:v>275.95175600000005</c:v>
                </c:pt>
                <c:pt idx="1">
                  <c:v>120.6048</c:v>
                </c:pt>
                <c:pt idx="2">
                  <c:v>600.03399999999999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3-454D-B211-52E06230A7FE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(Scenario2!$B$3,Scenario2!$F$3:$G$3)</c:f>
              <c:numCache>
                <c:formatCode>General</c:formatCode>
                <c:ptCount val="3"/>
                <c:pt idx="0">
                  <c:v>219.68630204081626</c:v>
                </c:pt>
                <c:pt idx="1">
                  <c:v>119.2533</c:v>
                </c:pt>
                <c:pt idx="2">
                  <c:v>600.00800000000004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3-454D-B211-52E06230A7FE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(Scenario2!$B$4,Scenario2!$F$4:$G$4)</c:f>
              <c:numCache>
                <c:formatCode>General</c:formatCode>
                <c:ptCount val="3"/>
                <c:pt idx="0">
                  <c:v>190.27681224489797</c:v>
                </c:pt>
                <c:pt idx="1">
                  <c:v>119.4211</c:v>
                </c:pt>
                <c:pt idx="2">
                  <c:v>600.00149999999996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3-454D-B211-52E06230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Average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Scenario2!$D$2</c:f>
              <c:numCache>
                <c:formatCode>General</c:formatCode>
                <c:ptCount val="1"/>
                <c:pt idx="0">
                  <c:v>1190.7172739999999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F71-B4B6-BD381B51F4A0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Scenario2!$D$3</c:f>
              <c:numCache>
                <c:formatCode>General</c:formatCode>
                <c:ptCount val="1"/>
                <c:pt idx="0">
                  <c:v>938.37784081632662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F71-B4B6-BD381B51F4A0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Scenario2!$D$4</c:f>
              <c:numCache>
                <c:formatCode>General</c:formatCode>
                <c:ptCount val="1"/>
                <c:pt idx="0">
                  <c:v>717.17183877551031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F71-B4B6-BD381B5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</a:t>
            </a:r>
            <a:r>
              <a:rPr lang="en-US" baseline="0"/>
              <a:t> -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Scenario2!$I$2:$K$2</c:f>
              <c:numCache>
                <c:formatCode>General</c:formatCode>
                <c:ptCount val="3"/>
                <c:pt idx="0">
                  <c:v>2886.7451911537501</c:v>
                </c:pt>
                <c:pt idx="1">
                  <c:v>21317.986240526989</c:v>
                </c:pt>
                <c:pt idx="2">
                  <c:v>24204.731431680739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6-41C9-84E8-8F02F11C5369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Scenario2!$I$3:$K$3</c:f>
              <c:numCache>
                <c:formatCode>General</c:formatCode>
                <c:ptCount val="3"/>
                <c:pt idx="0">
                  <c:v>2274.9797778290808</c:v>
                </c:pt>
                <c:pt idx="1">
                  <c:v>16971.334526091508</c:v>
                </c:pt>
                <c:pt idx="2">
                  <c:v>19246.31430392059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76-41C9-84E8-8F02F11C5369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Scenario2!$I$1:$K$1</c:f>
              <c:strCache>
                <c:ptCount val="3"/>
                <c:pt idx="0">
                  <c:v>E_horizon</c:v>
                </c:pt>
                <c:pt idx="1">
                  <c:v>E_hover</c:v>
                </c:pt>
                <c:pt idx="2">
                  <c:v>E_tot avg</c:v>
                </c:pt>
              </c:strCache>
            </c:strRef>
          </c:cat>
          <c:val>
            <c:numRef>
              <c:f>Scenario2!$I$4:$K$4</c:f>
              <c:numCache>
                <c:formatCode>General</c:formatCode>
                <c:ptCount val="3"/>
                <c:pt idx="0">
                  <c:v>1738.6934766313771</c:v>
                </c:pt>
                <c:pt idx="1">
                  <c:v>14699.375442017741</c:v>
                </c:pt>
                <c:pt idx="2">
                  <c:v>16438.068918649118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76-41C9-84E8-8F02F11C5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907279"/>
        <c:axId val="1963576703"/>
      </c:barChart>
      <c:catAx>
        <c:axId val="154590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76703"/>
        <c:crosses val="autoZero"/>
        <c:auto val="1"/>
        <c:lblAlgn val="ctr"/>
        <c:lblOffset val="100"/>
        <c:noMultiLvlLbl val="0"/>
      </c:catAx>
      <c:valAx>
        <c:axId val="19635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Boxdiagram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Scenario2!$D$31:$F$31</c:f>
              <c:numCache>
                <c:formatCode>General</c:formatCode>
                <c:ptCount val="3"/>
                <c:pt idx="0">
                  <c:v>120.6048</c:v>
                </c:pt>
                <c:pt idx="1">
                  <c:v>119.2533</c:v>
                </c:pt>
                <c:pt idx="2">
                  <c:v>119.4211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0D-4043-849A-59BA0AF2E4A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Scenario2!$D$32:$F$32</c:f>
              <c:numCache>
                <c:formatCode>General</c:formatCode>
                <c:ptCount val="3"/>
                <c:pt idx="0">
                  <c:v>16.391300000000015</c:v>
                </c:pt>
                <c:pt idx="1">
                  <c:v>11.701999999999998</c:v>
                </c:pt>
                <c:pt idx="2">
                  <c:v>3.9759999999999991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00D-4043-849A-59BA0AF2E4AD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Scenario2!$D$33:$F$33</c:f>
              <c:numCache>
                <c:formatCode>General</c:formatCode>
                <c:ptCount val="3"/>
                <c:pt idx="0">
                  <c:v>65.711099999999988</c:v>
                </c:pt>
                <c:pt idx="1">
                  <c:v>58.104399999999998</c:v>
                </c:pt>
                <c:pt idx="2">
                  <c:v>51.490499999999997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00D-4043-849A-59BA0AF2E4AD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Scenario2!$D$34:$F$34</c:f>
              <c:numCache>
                <c:formatCode>General</c:formatCode>
                <c:ptCount val="3"/>
                <c:pt idx="0">
                  <c:v>118.30495000000002</c:v>
                </c:pt>
                <c:pt idx="1">
                  <c:v>83.583200000000005</c:v>
                </c:pt>
                <c:pt idx="2">
                  <c:v>52.887400000000014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00D-4043-849A-59BA0AF2E4A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Scenario2!$D$30:$F$30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Scenario2!$D$35:$F$35</c:f>
              <c:numCache>
                <c:formatCode>General</c:formatCode>
                <c:ptCount val="3"/>
                <c:pt idx="0">
                  <c:v>279.02184999999997</c:v>
                </c:pt>
                <c:pt idx="1">
                  <c:v>327.36510000000004</c:v>
                </c:pt>
                <c:pt idx="2">
                  <c:v>372.22649999999999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B00D-4043-849A-59BA0AF2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5912079"/>
        <c:axId val="1403607183"/>
      </c:barChart>
      <c:catAx>
        <c:axId val="15459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07183"/>
        <c:crosses val="autoZero"/>
        <c:auto val="1"/>
        <c:lblAlgn val="ctr"/>
        <c:lblOffset val="100"/>
        <c:noMultiLvlLbl val="0"/>
      </c:catAx>
      <c:valAx>
        <c:axId val="1403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1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Scenario2!$B$2:$L$2</c15:sqref>
                  </c15:fullRef>
                </c:ext>
              </c:extLst>
              <c:f>Scenario2!$L$2</c:f>
              <c:numCache>
                <c:formatCode>General</c:formatCode>
                <c:ptCount val="1"/>
                <c:pt idx="0">
                  <c:v>30128.299476876855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6-43FC-AFA0-2B0475AF4D9B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Scenario2!$B$3:$L$3</c15:sqref>
                  </c15:fullRef>
                </c:ext>
              </c:extLst>
              <c:f>Scenario2!$L$3</c:f>
              <c:numCache>
                <c:formatCode>General</c:formatCode>
                <c:ptCount val="1"/>
                <c:pt idx="0">
                  <c:v>11476.908538751277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6-43FC-AFA0-2B0475AF4D9B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Scenario2!$B$1:$L$1</c15:sqref>
                  </c15:fullRef>
                </c:ext>
              </c:extLst>
              <c:f>Scenario2!$L$1</c:f>
              <c:strCache>
                <c:ptCount val="1"/>
                <c:pt idx="0">
                  <c:v>Varians(Time)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Scenario2!$B$4:$L$4</c15:sqref>
                  </c15:fullRef>
                </c:ext>
              </c:extLst>
              <c:f>Scenario2!$L$4</c:f>
              <c:numCache>
                <c:formatCode>General</c:formatCode>
                <c:ptCount val="1"/>
                <c:pt idx="0">
                  <c:v>6807.8572893565843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6-43FC-AFA0-2B0475AF4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6044464"/>
        <c:axId val="1726912783"/>
      </c:barChart>
      <c:catAx>
        <c:axId val="173604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12783"/>
        <c:crosses val="autoZero"/>
        <c:auto val="1"/>
        <c:lblAlgn val="ctr"/>
        <c:lblOffset val="100"/>
        <c:noMultiLvlLbl val="0"/>
      </c:catAx>
      <c:valAx>
        <c:axId val="17269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4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2 - Total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Scenario2!$C$47</c:f>
              <c:strCache>
                <c:ptCount val="1"/>
                <c:pt idx="0">
                  <c:v>Z-min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Scenario2!$D$47:$F$47</c:f>
              <c:numCache>
                <c:formatCode>General</c:formatCode>
                <c:ptCount val="3"/>
                <c:pt idx="0">
                  <c:v>10749.533064875754</c:v>
                </c:pt>
                <c:pt idx="1">
                  <c:v>10707.922630886167</c:v>
                </c:pt>
                <c:pt idx="2">
                  <c:v>10728.395116062225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4-4592-8E2D-97325A7CC42A}"/>
            </c:ext>
          </c:extLst>
        </c:ser>
        <c:ser>
          <c:idx val="1"/>
          <c:order val="1"/>
          <c:tx>
            <c:strRef>
              <c:f>Scenario2!$C$48</c:f>
              <c:strCache>
                <c:ptCount val="1"/>
                <c:pt idx="0">
                  <c:v>Min-1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Scenario2!$D$48:$F$48</c:f>
              <c:numCache>
                <c:formatCode>General</c:formatCode>
                <c:ptCount val="3"/>
                <c:pt idx="0">
                  <c:v>1359.0861145185754</c:v>
                </c:pt>
                <c:pt idx="1">
                  <c:v>1075.1558255607142</c:v>
                </c:pt>
                <c:pt idx="2">
                  <c:v>354.77827254397744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4-4592-8E2D-97325A7CC42A}"/>
            </c:ext>
          </c:extLst>
        </c:ser>
        <c:ser>
          <c:idx val="2"/>
          <c:order val="2"/>
          <c:tx>
            <c:strRef>
              <c:f>Scenario2!$C$49</c:f>
              <c:strCache>
                <c:ptCount val="1"/>
                <c:pt idx="0">
                  <c:v>1th-2th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Scenario2!$D$49:$F$49</c:f>
              <c:numCache>
                <c:formatCode>General</c:formatCode>
                <c:ptCount val="3"/>
                <c:pt idx="0">
                  <c:v>5394.3025474567366</c:v>
                </c:pt>
                <c:pt idx="1">
                  <c:v>4489.4425548336931</c:v>
                </c:pt>
                <c:pt idx="2">
                  <c:v>4192.9531377676867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4-4592-8E2D-97325A7CC42A}"/>
            </c:ext>
          </c:extLst>
        </c:ser>
        <c:ser>
          <c:idx val="3"/>
          <c:order val="3"/>
          <c:tx>
            <c:strRef>
              <c:f>Scenario2!$C$50</c:f>
              <c:strCache>
                <c:ptCount val="1"/>
                <c:pt idx="0">
                  <c:v>2th-3th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Scenario2!$D$50:$F$50</c:f>
              <c:numCache>
                <c:formatCode>General</c:formatCode>
                <c:ptCount val="3"/>
                <c:pt idx="0">
                  <c:v>9914.70365407801</c:v>
                </c:pt>
                <c:pt idx="1">
                  <c:v>7364.5968365505159</c:v>
                </c:pt>
                <c:pt idx="2">
                  <c:v>4211.2962393324924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A4-4592-8E2D-97325A7CC42A}"/>
            </c:ext>
          </c:extLst>
        </c:ser>
        <c:ser>
          <c:idx val="4"/>
          <c:order val="4"/>
          <c:tx>
            <c:strRef>
              <c:f>Scenario2!$C$51</c:f>
              <c:strCache>
                <c:ptCount val="1"/>
                <c:pt idx="0">
                  <c:v>4th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Scenario2!$D$46:$F$46</c:f>
              <c:strCache>
                <c:ptCount val="3"/>
                <c:pt idx="0">
                  <c:v>PRP1</c:v>
                </c:pt>
                <c:pt idx="1">
                  <c:v>PRP2</c:v>
                </c:pt>
                <c:pt idx="2">
                  <c:v>PRP3</c:v>
                </c:pt>
              </c:strCache>
            </c:strRef>
          </c:cat>
          <c:val>
            <c:numRef>
              <c:f>Scenario2!$D$51:$F$51</c:f>
              <c:numCache>
                <c:formatCode>General</c:formatCode>
                <c:ptCount val="3"/>
                <c:pt idx="0">
                  <c:v>26358.488567607925</c:v>
                </c:pt>
                <c:pt idx="1">
                  <c:v>26441.099244107572</c:v>
                </c:pt>
                <c:pt idx="2">
                  <c:v>27310.634292498064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A4-4592-8E2D-97325A7CC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868464"/>
        <c:axId val="1952906896"/>
      </c:barChart>
      <c:catAx>
        <c:axId val="18618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06896"/>
        <c:crosses val="autoZero"/>
        <c:auto val="1"/>
        <c:lblAlgn val="ctr"/>
        <c:lblOffset val="100"/>
        <c:noMultiLvlLbl val="0"/>
      </c:catAx>
      <c:valAx>
        <c:axId val="19529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Energy consumption(J)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Scenario 0 -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Distance</a:t>
          </a:r>
        </a:p>
      </cx:txPr>
    </cx:title>
    <cx:plotArea>
      <cx:plotAreaRegion>
        <cx:series layoutId="clusteredColumn" uniqueId="{6207A64D-2FDA-40C1-84B2-3189CAD39A63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Scenario 0 - PRP2 Histrogram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PRP2 Histrogram of Distance</a:t>
          </a:r>
        </a:p>
      </cx:txPr>
    </cx:title>
    <cx:plotArea>
      <cx:plotAreaRegion>
        <cx:series layoutId="clusteredColumn" uniqueId="{00000001-ACF3-4F8A-AE19-24FF9501518B}" formatIdx="1">
          <cx:tx>
            <cx:txData>
              <cx:f/>
              <cx:v>PRP2</cx:v>
            </cx:txData>
          </cx:tx>
          <cx:spPr>
            <a:solidFill>
              <a:schemeClr val="accent1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</a:t>
              </a:r>
            </a:p>
          </cx:txPr>
        </cx:title>
        <cx:tickLabels/>
        <cx:numFmt formatCode="#.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Scenario 0 -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Histogram of Time</a:t>
          </a:r>
        </a:p>
      </cx:txPr>
    </cx:title>
    <cx:plotArea>
      <cx:plotAreaRegion>
        <cx:series layoutId="clusteredColumn" uniqueId="{5615F637-7FE7-46C1-9383-0B1E7E11C38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Scenario 0 - PRP1 Histrogram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0 - PRP1 Histrogram of Distance</a:t>
          </a:r>
        </a:p>
      </cx:txPr>
    </cx:title>
    <cx:plotArea>
      <cx:plotAreaRegion>
        <cx:series layoutId="clusteredColumn" uniqueId="{5B3EE465-E34B-4B03-A376-B9604E89073B}" formatIdx="0">
          <cx:tx>
            <cx:txData>
              <cx:f/>
              <cx:v>PRP1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Distance</a:t>
              </a:r>
            </a:p>
          </cx:txPr>
        </cx:title>
        <cx:tickLabels/>
        <cx:numFmt formatCode="#.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Scenario 1 -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Time</a:t>
          </a:r>
        </a:p>
      </cx:txPr>
    </cx:title>
    <cx:plotArea>
      <cx:plotAreaRegion>
        <cx:series layoutId="clusteredColumn" uniqueId="{753EBF91-D1DE-49BF-A366-3FF28505D828}">
          <cx:tx>
            <cx:txData>
              <cx:f>_xlchart.v1.7</cx:f>
              <cx:v>Time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Scenario 1 -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Distance</a:t>
          </a:r>
        </a:p>
      </cx:txPr>
    </cx:title>
    <cx:plotArea>
      <cx:plotAreaRegion>
        <cx:series layoutId="clusteredColumn" uniqueId="{00000000-E0A4-4121-95B6-FED515C809F4}">
          <cx:tx>
            <cx:txData>
              <cx:f/>
              <cx:v>Distance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Scenario 1 - PRP1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PRP1 Histogram of Total Energy (J)</a:t>
          </a:r>
        </a:p>
      </cx:txPr>
    </cx:title>
    <cx:plotArea>
      <cx:plotAreaRegion>
        <cx:series layoutId="clusteredColumn" uniqueId="{57ECC612-3A13-4DD3-9923-9A02F6330DE2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Scenario 1 - PRP2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Time</a:t>
          </a:r>
        </a:p>
      </cx:txPr>
    </cx:title>
    <cx:plotArea>
      <cx:plotAreaRegion>
        <cx:series layoutId="clusteredColumn" uniqueId="{E30D8D90-4BE6-42C4-8A4E-E98EBF847BE0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Scenario 1 - PRP2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Distance</a:t>
          </a:r>
        </a:p>
      </cx:txPr>
    </cx:title>
    <cx:plotArea>
      <cx:plotAreaRegion>
        <cx:series layoutId="clusteredColumn" uniqueId="{92179D6F-8191-4D29-85A8-0ADF6F3B3A4E}">
          <cx:tx>
            <cx:txData>
              <cx:f>_xlchart.v1.10</cx:f>
              <cx:v> Distance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Scenario 1 - PRP2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PRP2 Histogram of Total Energy (J)</a:t>
          </a:r>
        </a:p>
      </cx:txPr>
    </cx:title>
    <cx:plotArea>
      <cx:plotAreaRegion>
        <cx:series layoutId="clusteredColumn" uniqueId="{8F8E17F0-469A-4BA3-92E0-9D9789F06E3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Scenario 1 - PRP3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Time</a:t>
          </a:r>
        </a:p>
      </cx:txPr>
    </cx:title>
    <cx:plotArea>
      <cx:plotAreaRegion>
        <cx:series layoutId="clusteredColumn" uniqueId="{ADAFC86C-7FB1-4C55-B665-26FDEC42F298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Scenario 1 - PRP3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Distance</a:t>
          </a:r>
        </a:p>
      </cx:txPr>
    </cx:title>
    <cx:plotArea>
      <cx:plotAreaRegion>
        <cx:series layoutId="clusteredColumn" uniqueId="{C90746E4-0377-4B25-A44F-3FF3EF36BB7C}">
          <cx:tx>
            <cx:txData>
              <cx:f>_xlchart.v1.16</cx:f>
              <cx:v> Distance</cx:v>
            </cx:txData>
          </cx:tx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Scenario 1 - PRP3 Histogram of Total Energy (J)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1 - PRP3 Histogram of Total Energy (J)</a:t>
          </a:r>
        </a:p>
      </cx:txPr>
    </cx:title>
    <cx:plotArea>
      <cx:plotAreaRegion>
        <cx:series layoutId="clusteredColumn" uniqueId="{22A873E6-D669-4B34-98C9-D33ABD21D731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Scenario 2 - PRP1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PRP1 Histogram of Distance</a:t>
          </a:r>
        </a:p>
      </cx:txPr>
    </cx:title>
    <cx:plotArea>
      <cx:plotAreaRegion>
        <cx:series layoutId="clusteredColumn" uniqueId="{8638B4D4-295F-4A70-A4D3-18D5A6AAE9E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Scenario 2 - PRP2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PRP2 Histogram of Distance</a:t>
          </a:r>
        </a:p>
      </cx:txPr>
    </cx:title>
    <cx:plotArea>
      <cx:plotAreaRegion>
        <cx:series layoutId="clusteredColumn" uniqueId="{E2A9E6ED-4A55-43B1-BBCF-E90799E44E5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Scenario 2 - PRP3 Histogram of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PRP3 Histogram of Distance</a:t>
          </a:r>
        </a:p>
      </cx:txPr>
    </cx:title>
    <cx:plotArea>
      <cx:plotAreaRegion>
        <cx:series layoutId="clusteredColumn" uniqueId="{8E7B8010-6EC0-411B-A719-66EFA662323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da-DK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Scenario 2 - PRP1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PRP1 Histogram of Time</a:t>
          </a:r>
        </a:p>
      </cx:txPr>
    </cx:title>
    <cx:plotArea>
      <cx:plotAreaRegion>
        <cx:series layoutId="clusteredColumn" uniqueId="{3E9B1078-693A-46AF-8629-9438D3A0259D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Scenario 2 - PRP2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PRP2 Histogram of Time</a:t>
          </a:r>
        </a:p>
      </cx:txPr>
    </cx:title>
    <cx:plotArea>
      <cx:plotAreaRegion>
        <cx:series layoutId="clusteredColumn" uniqueId="{3E9B1078-693A-46AF-8629-9438D3A0259D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Scenario 2 - PRP3 Histogram of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Scenario 2 - PRP3 Histogram of Time</a:t>
          </a:r>
        </a:p>
      </cx:txPr>
    </cx:title>
    <cx:plotArea>
      <cx:plotAreaRegion>
        <cx:series layoutId="clusteredColumn" uniqueId="{3E9B1078-693A-46AF-8629-9438D3A0259D}">
          <cx:tx>
            <cx:txData>
              <cx:f/>
              <cx:v>PRP3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14/relationships/chartEx" Target="../charts/chartEx4.xml"/><Relationship Id="rId5" Type="http://schemas.openxmlformats.org/officeDocument/2006/relationships/chart" Target="../charts/chart7.xml"/><Relationship Id="rId4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microsoft.com/office/2014/relationships/chartEx" Target="../charts/chartEx9.xml"/><Relationship Id="rId5" Type="http://schemas.microsoft.com/office/2014/relationships/chartEx" Target="../charts/chartEx8.xml"/><Relationship Id="rId4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microsoft.com/office/2014/relationships/chartEx" Target="../charts/chartEx15.xml"/><Relationship Id="rId4" Type="http://schemas.microsoft.com/office/2014/relationships/chartEx" Target="../charts/chartEx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microsoft.com/office/2014/relationships/chartEx" Target="../charts/chartEx16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17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8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21.xml"/><Relationship Id="rId2" Type="http://schemas.microsoft.com/office/2014/relationships/chartEx" Target="../charts/chartEx20.xml"/><Relationship Id="rId1" Type="http://schemas.microsoft.com/office/2014/relationships/chartEx" Target="../charts/chartEx1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34FF741-846E-49BC-82C1-9D20586E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1BF22A0-B5C1-444D-B86B-3283E71F7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8B7438C-EE11-4EF1-99F7-55257714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89F8D8AD-FB8E-4425-9D3E-200AE63C21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7</xdr:col>
      <xdr:colOff>374650</xdr:colOff>
      <xdr:row>36</xdr:row>
      <xdr:rowOff>114300</xdr:rowOff>
    </xdr:from>
    <xdr:to>
      <xdr:col>14</xdr:col>
      <xdr:colOff>203200</xdr:colOff>
      <xdr:row>51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6374CECE-BEB3-4B9E-A10B-F982491BB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0950" y="674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094855-8466-484F-B021-413FADD26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F424479-2FE3-41FC-8321-AC8D5C778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E8172A2-EAB2-45E7-8B02-91A2ECF63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C684250E-24E9-45E3-862C-49BB5B6B47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15</xdr:col>
      <xdr:colOff>38100</xdr:colOff>
      <xdr:row>37</xdr:row>
      <xdr:rowOff>107950</xdr:rowOff>
    </xdr:from>
    <xdr:to>
      <xdr:col>22</xdr:col>
      <xdr:colOff>209550</xdr:colOff>
      <xdr:row>52</xdr:row>
      <xdr:rowOff>88900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D403557-0042-FD4C-DC62-8DFE3F6A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774700</xdr:colOff>
      <xdr:row>37</xdr:row>
      <xdr:rowOff>82550</xdr:rowOff>
    </xdr:from>
    <xdr:to>
      <xdr:col>15</xdr:col>
      <xdr:colOff>127000</xdr:colOff>
      <xdr:row>52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 7">
              <a:extLst>
                <a:ext uri="{FF2B5EF4-FFF2-40B4-BE49-F238E27FC236}">
                  <a16:creationId xmlns:a16="http://schemas.microsoft.com/office/drawing/2014/main" id="{B089B1F9-5A23-47F3-A647-4311E730AE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1000" y="689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168275</xdr:rowOff>
    </xdr:from>
    <xdr:to>
      <xdr:col>14</xdr:col>
      <xdr:colOff>314325</xdr:colOff>
      <xdr:row>19</xdr:row>
      <xdr:rowOff>149225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94ED23C-3120-CB15-01D7-D988EBE9E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21</xdr:row>
      <xdr:rowOff>38100</xdr:rowOff>
    </xdr:from>
    <xdr:to>
      <xdr:col>22</xdr:col>
      <xdr:colOff>514350</xdr:colOff>
      <xdr:row>36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57B919C-76A3-462E-98CF-3F984807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593725</xdr:colOff>
      <xdr:row>4</xdr:row>
      <xdr:rowOff>139700</xdr:rowOff>
    </xdr:from>
    <xdr:to>
      <xdr:col>22</xdr:col>
      <xdr:colOff>288925</xdr:colOff>
      <xdr:row>19</xdr:row>
      <xdr:rowOff>120650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32B832-1E9C-19CF-A7EF-ED6697161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20</xdr:row>
      <xdr:rowOff>139700</xdr:rowOff>
    </xdr:from>
    <xdr:to>
      <xdr:col>14</xdr:col>
      <xdr:colOff>190500</xdr:colOff>
      <xdr:row>35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B5682E8F-0C34-697E-F836-01D88A3CC6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825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114300</xdr:colOff>
      <xdr:row>37</xdr:row>
      <xdr:rowOff>57150</xdr:rowOff>
    </xdr:from>
    <xdr:to>
      <xdr:col>15</xdr:col>
      <xdr:colOff>114300</xdr:colOff>
      <xdr:row>52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BFB2CEE9-21EE-4A1C-B971-2D3F1804F9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1650" y="687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0</xdr:colOff>
      <xdr:row>18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7F087B9-88DB-4F0F-B5A6-EE454F349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292100</xdr:colOff>
      <xdr:row>20</xdr:row>
      <xdr:rowOff>0</xdr:rowOff>
    </xdr:from>
    <xdr:to>
      <xdr:col>15</xdr:col>
      <xdr:colOff>304800</xdr:colOff>
      <xdr:row>34</xdr:row>
      <xdr:rowOff>162560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DAC4E41-DFA8-4575-BCE7-28AC8FA24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</xdr:colOff>
      <xdr:row>36</xdr:row>
      <xdr:rowOff>79692</xdr:rowOff>
    </xdr:from>
    <xdr:to>
      <xdr:col>15</xdr:col>
      <xdr:colOff>40957</xdr:colOff>
      <xdr:row>51</xdr:row>
      <xdr:rowOff>102552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E931934-F176-3ACE-3873-5022DF927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31750</xdr:colOff>
      <xdr:row>51</xdr:row>
      <xdr:rowOff>73025</xdr:rowOff>
    </xdr:from>
    <xdr:to>
      <xdr:col>15</xdr:col>
      <xdr:colOff>31750</xdr:colOff>
      <xdr:row>66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EA822CAA-C861-1C9D-2D32-59672012F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6250" y="9471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66</xdr:row>
      <xdr:rowOff>130175</xdr:rowOff>
    </xdr:from>
    <xdr:to>
      <xdr:col>15</xdr:col>
      <xdr:colOff>6350</xdr:colOff>
      <xdr:row>81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43102054-E8A8-4933-9C94-B77E89E28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0850" y="12290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83</xdr:row>
      <xdr:rowOff>0</xdr:rowOff>
    </xdr:from>
    <xdr:to>
      <xdr:col>15</xdr:col>
      <xdr:colOff>0</xdr:colOff>
      <xdr:row>97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158EC09B-B208-4C1E-BCB4-12F31A972A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0" y="1529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22</xdr:row>
      <xdr:rowOff>161925</xdr:rowOff>
    </xdr:from>
    <xdr:to>
      <xdr:col>16</xdr:col>
      <xdr:colOff>28575</xdr:colOff>
      <xdr:row>37</xdr:row>
      <xdr:rowOff>149860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F0B21E2-5966-40E1-A595-E543E3DDF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160020</xdr:colOff>
      <xdr:row>5</xdr:row>
      <xdr:rowOff>111442</xdr:rowOff>
    </xdr:from>
    <xdr:to>
      <xdr:col>15</xdr:col>
      <xdr:colOff>180975</xdr:colOff>
      <xdr:row>20</xdr:row>
      <xdr:rowOff>140017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9AFB8F2-EB98-34CC-9683-EF76338D4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294957</xdr:colOff>
      <xdr:row>43</xdr:row>
      <xdr:rowOff>114617</xdr:rowOff>
    </xdr:from>
    <xdr:to>
      <xdr:col>21</xdr:col>
      <xdr:colOff>101917</xdr:colOff>
      <xdr:row>58</xdr:row>
      <xdr:rowOff>135572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6B9937D8-1B98-6ECC-E13F-1A110C345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749300</xdr:colOff>
      <xdr:row>39</xdr:row>
      <xdr:rowOff>79375</xdr:rowOff>
    </xdr:from>
    <xdr:to>
      <xdr:col>16</xdr:col>
      <xdr:colOff>133350</xdr:colOff>
      <xdr:row>54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A453A560-1B43-C2D0-87D8-DE1F5BE4C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7261225"/>
              <a:ext cx="4794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508000</xdr:colOff>
      <xdr:row>53</xdr:row>
      <xdr:rowOff>152400</xdr:rowOff>
    </xdr:from>
    <xdr:to>
      <xdr:col>15</xdr:col>
      <xdr:colOff>730250</xdr:colOff>
      <xdr:row>68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39C06784-BE90-4E74-8F75-0AC152862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500" y="9912350"/>
              <a:ext cx="4794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641350</xdr:colOff>
      <xdr:row>69</xdr:row>
      <xdr:rowOff>114300</xdr:rowOff>
    </xdr:from>
    <xdr:to>
      <xdr:col>15</xdr:col>
      <xdr:colOff>641350</xdr:colOff>
      <xdr:row>84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5F872C51-164F-4E21-8621-DAD6A5655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1282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15</xdr:col>
      <xdr:colOff>0</xdr:colOff>
      <xdr:row>19</xdr:row>
      <xdr:rowOff>165100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4806321-F29A-41D5-918A-84AB43785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120650</xdr:colOff>
      <xdr:row>20</xdr:row>
      <xdr:rowOff>177800</xdr:rowOff>
    </xdr:from>
    <xdr:to>
      <xdr:col>15</xdr:col>
      <xdr:colOff>133350</xdr:colOff>
      <xdr:row>35</xdr:row>
      <xdr:rowOff>156210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A16FDFE4-8AAD-4F73-9762-48957D9C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168275</xdr:colOff>
      <xdr:row>36</xdr:row>
      <xdr:rowOff>28575</xdr:rowOff>
    </xdr:from>
    <xdr:to>
      <xdr:col>15</xdr:col>
      <xdr:colOff>168275</xdr:colOff>
      <xdr:row>51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6FD7EF87-498A-51ED-442D-E50F2366E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2775" y="6657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51</xdr:row>
      <xdr:rowOff>0</xdr:rowOff>
    </xdr:from>
    <xdr:to>
      <xdr:col>15</xdr:col>
      <xdr:colOff>0</xdr:colOff>
      <xdr:row>65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7D493B4D-4A1D-4562-83CF-FA53667F5A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0" y="9391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65</xdr:row>
      <xdr:rowOff>133350</xdr:rowOff>
    </xdr:from>
    <xdr:to>
      <xdr:col>15</xdr:col>
      <xdr:colOff>12700</xdr:colOff>
      <xdr:row>80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E1360C62-8F8C-4FD1-A53E-77F832CAEB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7200" y="12103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2</xdr:row>
      <xdr:rowOff>0</xdr:rowOff>
    </xdr:from>
    <xdr:to>
      <xdr:col>15</xdr:col>
      <xdr:colOff>190499</xdr:colOff>
      <xdr:row>19</xdr:row>
      <xdr:rowOff>158750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8432D9F-993E-F480-6FB5-33AA58F26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15</xdr:col>
      <xdr:colOff>304800</xdr:colOff>
      <xdr:row>25</xdr:row>
      <xdr:rowOff>165100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22DA665-1DB3-4B96-A1DD-04CA3DE54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981075</xdr:colOff>
      <xdr:row>52</xdr:row>
      <xdr:rowOff>174625</xdr:rowOff>
    </xdr:from>
    <xdr:to>
      <xdr:col>7</xdr:col>
      <xdr:colOff>473075</xdr:colOff>
      <xdr:row>67</xdr:row>
      <xdr:rowOff>155575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D62F464-8ADD-7434-65FA-A72C9F760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11</xdr:row>
      <xdr:rowOff>0</xdr:rowOff>
    </xdr:from>
    <xdr:to>
      <xdr:col>23</xdr:col>
      <xdr:colOff>304800</xdr:colOff>
      <xdr:row>25</xdr:row>
      <xdr:rowOff>165100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D92A01F-3168-4D2A-A092-9047A398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16</xdr:col>
      <xdr:colOff>317500</xdr:colOff>
      <xdr:row>44</xdr:row>
      <xdr:rowOff>21772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81B4B99F-3BBE-4D75-9A04-C39F88B2BD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0" y="5340350"/>
              <a:ext cx="4584700" cy="2784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831850</xdr:colOff>
      <xdr:row>6</xdr:row>
      <xdr:rowOff>19050</xdr:rowOff>
    </xdr:from>
    <xdr:to>
      <xdr:col>15</xdr:col>
      <xdr:colOff>298450</xdr:colOff>
      <xdr:row>21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2AE9C2-ECD8-4AC3-931F-3B0EF2587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304800</xdr:colOff>
      <xdr:row>20</xdr:row>
      <xdr:rowOff>165100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932BC98-7A65-4D9A-94EC-EA2ACD990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16</xdr:col>
      <xdr:colOff>304800</xdr:colOff>
      <xdr:row>38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385C3661-93BF-4325-8384-C48470052E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441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43E0450-0E9C-4D38-A89B-118D18BED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444500</xdr:colOff>
      <xdr:row>7</xdr:row>
      <xdr:rowOff>31750</xdr:rowOff>
    </xdr:from>
    <xdr:to>
      <xdr:col>24</xdr:col>
      <xdr:colOff>139700</xdr:colOff>
      <xdr:row>22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1BB5E9-19D8-4C95-9CD5-CA2BF6C61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15</xdr:col>
      <xdr:colOff>304800</xdr:colOff>
      <xdr:row>34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91E6C0E4-FED3-43B2-A863-09B2560AFD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368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358775</xdr:colOff>
      <xdr:row>3</xdr:row>
      <xdr:rowOff>180975</xdr:rowOff>
    </xdr:from>
    <xdr:to>
      <xdr:col>14</xdr:col>
      <xdr:colOff>53975</xdr:colOff>
      <xdr:row>18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CF847157-1920-C8DC-4AFC-0482E1FE39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6375" y="733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6</xdr:col>
      <xdr:colOff>368300</xdr:colOff>
      <xdr:row>20</xdr:row>
      <xdr:rowOff>0</xdr:rowOff>
    </xdr:from>
    <xdr:to>
      <xdr:col>14</xdr:col>
      <xdr:colOff>63500</xdr:colOff>
      <xdr:row>34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A4AFD35E-372C-496F-8F9B-0FA640FF92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5900" y="368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4</xdr:row>
      <xdr:rowOff>0</xdr:rowOff>
    </xdr:from>
    <xdr:to>
      <xdr:col>22</xdr:col>
      <xdr:colOff>304800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EE4DA596-FE48-45A2-ADE8-AA92259E4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736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117475</xdr:colOff>
      <xdr:row>0</xdr:row>
      <xdr:rowOff>12700</xdr:rowOff>
    </xdr:from>
    <xdr:to>
      <xdr:col>15</xdr:col>
      <xdr:colOff>422275</xdr:colOff>
      <xdr:row>14</xdr:row>
      <xdr:rowOff>177800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745965A-3DE8-4E95-B5A5-4317D07D5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196850</xdr:colOff>
      <xdr:row>15</xdr:row>
      <xdr:rowOff>19050</xdr:rowOff>
    </xdr:from>
    <xdr:to>
      <xdr:col>15</xdr:col>
      <xdr:colOff>501650</xdr:colOff>
      <xdr:row>30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CD232AD-9965-9D9A-6ACE-4186AFD3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15</xdr:row>
      <xdr:rowOff>19050</xdr:rowOff>
    </xdr:from>
    <xdr:to>
      <xdr:col>8</xdr:col>
      <xdr:colOff>184150</xdr:colOff>
      <xdr:row>30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212FDCD-C16C-5557-19FD-2C159D57A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8</xdr:col>
      <xdr:colOff>88900</xdr:colOff>
      <xdr:row>45</xdr:row>
      <xdr:rowOff>165100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2A75549-7882-446A-A400-31A1B5B03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E903755-9842-4DB7-915D-97B9DD0A8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F363C4-1CCB-44B8-BC18-3A4C90F59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556895</xdr:colOff>
      <xdr:row>8</xdr:row>
      <xdr:rowOff>81280</xdr:rowOff>
    </xdr:from>
    <xdr:to>
      <xdr:col>21</xdr:col>
      <xdr:colOff>393065</xdr:colOff>
      <xdr:row>23</xdr:row>
      <xdr:rowOff>66040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34FA376C-2054-4059-8D4A-784103CD2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542925</xdr:colOff>
      <xdr:row>31</xdr:row>
      <xdr:rowOff>128270</xdr:rowOff>
    </xdr:from>
    <xdr:to>
      <xdr:col>16</xdr:col>
      <xdr:colOff>575945</xdr:colOff>
      <xdr:row>46</xdr:row>
      <xdr:rowOff>105410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C82FE54-1B46-402D-BE7E-88EE42C9C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292929</xdr:colOff>
      <xdr:row>49</xdr:row>
      <xdr:rowOff>5799</xdr:rowOff>
    </xdr:from>
    <xdr:to>
      <xdr:col>16</xdr:col>
      <xdr:colOff>419929</xdr:colOff>
      <xdr:row>63</xdr:row>
      <xdr:rowOff>168965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6EB44F7-722B-4396-AD3A-3E13CFAD3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D8A631-BB98-52F2-3FD2-D1B6BDB8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6119D4F-DFF9-4230-B7A4-C11916C3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556895</xdr:colOff>
      <xdr:row>8</xdr:row>
      <xdr:rowOff>81280</xdr:rowOff>
    </xdr:from>
    <xdr:to>
      <xdr:col>21</xdr:col>
      <xdr:colOff>393065</xdr:colOff>
      <xdr:row>23</xdr:row>
      <xdr:rowOff>66040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3ECBFCB-FA59-3402-8CA9-DD3DFB8DD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581025</xdr:colOff>
      <xdr:row>31</xdr:row>
      <xdr:rowOff>128270</xdr:rowOff>
    </xdr:from>
    <xdr:to>
      <xdr:col>12</xdr:col>
      <xdr:colOff>537845</xdr:colOff>
      <xdr:row>46</xdr:row>
      <xdr:rowOff>105410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14A7EE44-E817-0BA3-6EED-59A1D222A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44450</xdr:colOff>
      <xdr:row>48</xdr:row>
      <xdr:rowOff>44450</xdr:rowOff>
    </xdr:from>
    <xdr:to>
      <xdr:col>12</xdr:col>
      <xdr:colOff>171450</xdr:colOff>
      <xdr:row>63</xdr:row>
      <xdr:rowOff>25400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C1064E41-5FEF-56B6-C3A2-634E321EA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</xdr:row>
      <xdr:rowOff>95250</xdr:rowOff>
    </xdr:from>
    <xdr:to>
      <xdr:col>7</xdr:col>
      <xdr:colOff>449580</xdr:colOff>
      <xdr:row>20</xdr:row>
      <xdr:rowOff>95250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B39234C-4F6A-2764-086A-055CF46E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304800</xdr:colOff>
      <xdr:row>21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FCDE5E0-B559-4213-BC0C-4B3B05BCB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15546</xdr:colOff>
      <xdr:row>6</xdr:row>
      <xdr:rowOff>22095</xdr:rowOff>
    </xdr:from>
    <xdr:to>
      <xdr:col>22</xdr:col>
      <xdr:colOff>299399</xdr:colOff>
      <xdr:row>21</xdr:row>
      <xdr:rowOff>12348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62909E-6D76-A315-EFD3-C238A2ABB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543438</xdr:colOff>
      <xdr:row>32</xdr:row>
      <xdr:rowOff>102411</xdr:rowOff>
    </xdr:from>
    <xdr:to>
      <xdr:col>13</xdr:col>
      <xdr:colOff>620724</xdr:colOff>
      <xdr:row>47</xdr:row>
      <xdr:rowOff>92664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8785171-604D-B1EE-C849-449A7D77C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39783</xdr:colOff>
      <xdr:row>21</xdr:row>
      <xdr:rowOff>131743</xdr:rowOff>
    </xdr:from>
    <xdr:to>
      <xdr:col>21</xdr:col>
      <xdr:colOff>151482</xdr:colOff>
      <xdr:row>36</xdr:row>
      <xdr:rowOff>120727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273734C-42EF-F34E-D9FF-8D02E94D0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575325</xdr:colOff>
      <xdr:row>47</xdr:row>
      <xdr:rowOff>32285</xdr:rowOff>
    </xdr:from>
    <xdr:to>
      <xdr:col>13</xdr:col>
      <xdr:colOff>511060</xdr:colOff>
      <xdr:row>62</xdr:row>
      <xdr:rowOff>21269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D284605C-B291-0D75-22F9-0DEEC9477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2CAADB2A-C35F-46D2-8D5C-9607D64B166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6CE57642-AC87-4AE3-8445-8763C573978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974FC2C-6873-4AFF-8A65-DB659168622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C464D9E1-07C6-4A2C-8ED3-C970CCA2E9E9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5" xr16:uid="{21776FB4-92BB-4B16-A453-A31DE3C6658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6" xr16:uid="{03DF1DDC-44A8-40C4-AD79-5E752C065F43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7" xr16:uid="{A9A4D4F0-7DA5-4ADD-A529-192D4DD87AAE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8" xr16:uid="{59208980-E1DB-4D94-AC79-76BB4B8DCBB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9" xr16:uid="{EE0B4649-7CFB-44C1-9D40-34BA27D1CE1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BAAC24-F39C-45E1-A4FE-CC78C590FD49}" name="S0PRP3" displayName="S0PRP3" ref="A1:H50" tableType="queryTable" totalsRowShown="0">
  <autoFilter ref="A1:H50" xr:uid="{1DF09F04-FD50-4043-9A63-926740A1E2B5}"/>
  <tableColumns count="8">
    <tableColumn id="1" xr3:uid="{5120795B-38B8-459D-8084-D9EF131126E9}" uniqueName="1" name="Time" queryTableFieldId="1"/>
    <tableColumn id="2" xr3:uid="{82E7DC0F-8DD5-4F19-82F8-CA58FBC2F257}" uniqueName="2" name=" NumMsgSent" queryTableFieldId="2"/>
    <tableColumn id="3" xr3:uid="{38C69814-ECD5-4AFF-9D6F-3693B2164F4A}" uniqueName="3" name=" Distance" queryTableFieldId="3"/>
    <tableColumn id="4" xr3:uid="{74B7B2D5-2783-42C6-A1A6-55D44557BB21}" uniqueName="4" name=" NodesLost" queryTableFieldId="4"/>
    <tableColumn id="5" xr3:uid="{81FC5316-1320-47A4-A174-21BA41E50687}" uniqueName="5" name="Distance(m)" queryTableFieldId="5" dataDxfId="49">
      <calculatedColumnFormula>S0PRP3[[#This Row],[ Distance]]*20</calculatedColumnFormula>
    </tableColumn>
    <tableColumn id="6" xr3:uid="{5E397AEE-E3F4-41A7-9609-C245BFBC1EEC}" uniqueName="6" name="E_horizon(J)" queryTableFieldId="6" dataDxfId="48">
      <calculatedColumnFormula array="1">E2*Drag_Constant*Area*Density/2</calculatedColumnFormula>
    </tableColumn>
    <tableColumn id="7" xr3:uid="{370187D1-0CE0-4EA9-A564-F3893CA7E3B4}" uniqueName="7" name="E_hover(J)" queryTableFieldId="7" dataDxfId="47">
      <calculatedColumnFormula>SQRT(((Mass*g)^3)/(2*PI()*Density*Radius^2))*S0PRP3[[#This Row],[Time]]</calculatedColumnFormula>
    </tableColumn>
    <tableColumn id="8" xr3:uid="{8BBEB15A-6B27-4E38-B552-A14DAC014259}" uniqueName="8" name="E_total(J)" queryTableFieldId="8" dataDxfId="46">
      <calculatedColumnFormula>S0PRP3[[#This Row],[E_horizon(J)]]+S0PRP3[[#This Row],[E_hover(J)]]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EF0F5F-A6BD-47EA-8867-D0B22DA75A6B}" name="S0PRP2" displayName="S0PRP2" ref="A1:H50" tableType="queryTable" totalsRowShown="0">
  <autoFilter ref="A1:H50" xr:uid="{1DF09F04-FD50-4043-9A63-926740A1E2B5}"/>
  <tableColumns count="8">
    <tableColumn id="1" xr3:uid="{72C57CEA-364F-454A-AF14-BAF96F63E473}" uniqueName="1" name="Time" queryTableFieldId="1"/>
    <tableColumn id="2" xr3:uid="{4E472BFA-5953-447D-8D0A-B1C921A356E7}" uniqueName="2" name=" NumMsgSent" queryTableFieldId="2"/>
    <tableColumn id="3" xr3:uid="{FACC5693-5759-4380-85F0-F34CA736B0C1}" uniqueName="3" name=" Distance" queryTableFieldId="3"/>
    <tableColumn id="4" xr3:uid="{1051D2CA-AD2C-4CE2-8FB4-6E1669D68693}" uniqueName="4" name=" NodesLost" queryTableFieldId="4"/>
    <tableColumn id="5" xr3:uid="{D19A300C-A4F3-4D72-A981-9CDA9D14BCD9}" uniqueName="5" name="Distance(m)" queryTableFieldId="5" dataDxfId="45">
      <calculatedColumnFormula>S0PRP2[[#This Row],[ Distance]]*20</calculatedColumnFormula>
    </tableColumn>
    <tableColumn id="6" xr3:uid="{56B3FE9B-46D8-4876-9642-62A96FD9E818}" uniqueName="6" name="E_horizon(J)" queryTableFieldId="6" dataDxfId="44">
      <calculatedColumnFormula array="1">E2*Drag_Constant*Area*Density/2</calculatedColumnFormula>
    </tableColumn>
    <tableColumn id="7" xr3:uid="{0E73B237-6AFE-4B51-A275-BBA8D4669B40}" uniqueName="7" name="E_hover(J)" queryTableFieldId="7" dataDxfId="43">
      <calculatedColumnFormula>SQRT(((Mass*g)^3)/(2*PI()*Density*Radius^2))*S0PRP2[[#This Row],[Time]]</calculatedColumnFormula>
    </tableColumn>
    <tableColumn id="8" xr3:uid="{A6D3670A-7EE8-4B63-84EC-3CCCC07AB1B8}" uniqueName="8" name="E_total(J)" queryTableFieldId="8" dataDxfId="42">
      <calculatedColumnFormula>S0PRP2[[#This Row],[E_horizon(J)]]+S0PRP2[[#This Row],[E_hover(J)]]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09F04-FD50-4043-9A63-926740A1E2B5}" name="S0PRP1" displayName="S0PRP1" ref="A1:H51" tableType="queryTable" totalsRowShown="0">
  <autoFilter ref="A1:H51" xr:uid="{1DF09F04-FD50-4043-9A63-926740A1E2B5}"/>
  <tableColumns count="8">
    <tableColumn id="1" xr3:uid="{3CDB7EA0-7EDC-4770-BD43-8CC8A43E5965}" uniqueName="1" name="Time" queryTableFieldId="1"/>
    <tableColumn id="2" xr3:uid="{067A8EB3-0BEC-405E-B235-051A32108036}" uniqueName="2" name=" NumMsgSent" queryTableFieldId="2"/>
    <tableColumn id="3" xr3:uid="{C56F173D-2817-4122-904C-2AF4D692290F}" uniqueName="3" name=" Distance" queryTableFieldId="3"/>
    <tableColumn id="4" xr3:uid="{8F27C9C0-A7B5-47ED-B67C-75B0100049DE}" uniqueName="4" name=" NodesLost" queryTableFieldId="4"/>
    <tableColumn id="5" xr3:uid="{745A389E-03D8-4276-929A-3C3BE0573752}" uniqueName="5" name="Distance(m)" queryTableFieldId="5" dataDxfId="41">
      <calculatedColumnFormula>S0PRP1[[#This Row],[ Distance]]*20</calculatedColumnFormula>
    </tableColumn>
    <tableColumn id="6" xr3:uid="{1C974CBE-DA75-48EA-86E2-1FE572D4AD8B}" uniqueName="6" name="E_horizon(J)" queryTableFieldId="6" dataDxfId="40">
      <calculatedColumnFormula array="1">E2*Drag_Constant*Area*Density/2</calculatedColumnFormula>
    </tableColumn>
    <tableColumn id="7" xr3:uid="{4AB79D07-FF60-4E87-A469-3D94260A0727}" uniqueName="7" name="E_hover(J)" queryTableFieldId="7" dataDxfId="39">
      <calculatedColumnFormula>SQRT(((Mass*g)^3)/(2*PI()*Density*Radius^2))*S0PRP1[[#This Row],[Time]]</calculatedColumnFormula>
    </tableColumn>
    <tableColumn id="8" xr3:uid="{D948B43A-560E-4000-AC17-A250A4D09960}" uniqueName="8" name="E_total(J)" queryTableFieldId="8" dataDxfId="38">
      <calculatedColumnFormula>S0PRP1[[#This Row],[E_horizon(J)]]+S0PRP1[[#This Row],[E_hover(J)]]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850FC-A8C7-43E8-84DC-1ED114472C8E}" name="S1PRP1" displayName="S1PRP1" ref="A1:H104" tableType="queryTable" totalsRowShown="0">
  <autoFilter ref="A1:H104" xr:uid="{073850FC-A8C7-43E8-84DC-1ED114472C8E}"/>
  <tableColumns count="8">
    <tableColumn id="1" xr3:uid="{BA67331D-26AD-424B-99C2-C5A7F6D318F7}" uniqueName="1" name="Time" queryTableFieldId="1"/>
    <tableColumn id="2" xr3:uid="{05B0626C-A80F-4F28-9ECC-1A87F6A5E79B}" uniqueName="2" name=" NumMsgSent" queryTableFieldId="2"/>
    <tableColumn id="3" xr3:uid="{8CABEFCE-BBCF-478B-B568-B97C4FC8C238}" uniqueName="3" name=" Distance" queryTableFieldId="3"/>
    <tableColumn id="4" xr3:uid="{1D681522-B5FE-4B0A-B787-D76ACBFC6F78}" uniqueName="4" name=" NodesLost" queryTableFieldId="4"/>
    <tableColumn id="5" xr3:uid="{48DEB4B7-426E-4CF4-B90D-EF04309859E8}" uniqueName="5" name="Distance(m)" queryTableFieldId="5" dataDxfId="37">
      <calculatedColumnFormula>S1PRP1[[#This Row],[ Distance]]*20</calculatedColumnFormula>
    </tableColumn>
    <tableColumn id="6" xr3:uid="{3F58D4BA-5117-44DB-B678-0F1E1E6DFC30}" uniqueName="6" name="E_horizon(J)" queryTableFieldId="6" dataDxfId="36">
      <calculatedColumnFormula array="1">E2*Drag_Constant*Area*Density/2</calculatedColumnFormula>
    </tableColumn>
    <tableColumn id="7" xr3:uid="{C62974AC-E4D5-4CE3-821A-7F9E33997034}" uniqueName="7" name="E_hover(J)" queryTableFieldId="7" dataDxfId="35">
      <calculatedColumnFormula>SQRT(((Mass*g)^3)/(2*PI()*Density*Radius^2))*S1PRP1[[#This Row],[Time]]</calculatedColumnFormula>
    </tableColumn>
    <tableColumn id="8" xr3:uid="{A89D7E9D-DEA4-48D7-885C-702393832B8A}" uniqueName="8" name="E_total(J)" queryTableFieldId="8" dataDxfId="34">
      <calculatedColumnFormula>S1PRP1[[#This Row],[E_horizon(J)]]+S1PRP1[[#This Row],[E_hover(J)]]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0C5460-F426-47B9-8802-9A038A7E82FB}" name="Tabel10" displayName="Tabel10" ref="R1:U104" totalsRowShown="0" headerRowDxfId="33" headerRowBorderDxfId="32" tableBorderDxfId="31" totalsRowBorderDxfId="30">
  <autoFilter ref="R1:U104" xr:uid="{5E0C5460-F426-47B9-8802-9A038A7E82FB}"/>
  <sortState xmlns:xlrd2="http://schemas.microsoft.com/office/spreadsheetml/2017/richdata2" ref="R2:U104">
    <sortCondition ref="S1:S104"/>
  </sortState>
  <tableColumns count="4">
    <tableColumn id="1" xr3:uid="{86A68EC9-8E27-43F2-A92C-59B49AC67956}" name="Rank" dataDxfId="29"/>
    <tableColumn id="2" xr3:uid="{2F2639AC-FF81-4AA3-B454-80C1673EBD79}" name="TimeSorted" dataDxfId="28">
      <calculatedColumnFormula>A2</calculatedColumnFormula>
    </tableColumn>
    <tableColumn id="3" xr3:uid="{2E3E85E8-903F-4390-8033-B7A04BE11E9B}" name="P" dataDxfId="27">
      <calculatedColumnFormula>Tabel10[[#This Row],[Rank]]/(1+COUNTA(Tabel10[TimeSorted]))</calculatedColumnFormula>
    </tableColumn>
    <tableColumn id="4" xr3:uid="{C9507015-76A7-4B8C-88ED-F2AD7D3A2C53}" name="Kolonne1" dataDxfId="26">
      <calculatedColumnFormula>_xlfn.NORM.INV(Tabel10[[#This Row],[P]],0,1)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07739-1817-4976-AE29-9194F1DACBDD}" name="S1PRP2" displayName="S1PRP2" ref="A1:H40" tableType="queryTable" totalsRowShown="0">
  <autoFilter ref="A1:H40" xr:uid="{2C107739-1817-4976-AE29-9194F1DACBDD}"/>
  <tableColumns count="8">
    <tableColumn id="1" xr3:uid="{2B764529-6C4F-49CB-829E-339CFFC9EB86}" uniqueName="1" name="Time" queryTableFieldId="1"/>
    <tableColumn id="2" xr3:uid="{FF7F50F6-D966-481F-961D-06BCD1BABF08}" uniqueName="2" name=" NumMsgSent" queryTableFieldId="2"/>
    <tableColumn id="3" xr3:uid="{A5BF7626-155C-44B2-B2A5-838CF49238C0}" uniqueName="3" name=" Distance" queryTableFieldId="3"/>
    <tableColumn id="4" xr3:uid="{E3B76603-9F62-48F7-8671-81DB96AFB0E3}" uniqueName="4" name=" NodesLost" queryTableFieldId="4"/>
    <tableColumn id="5" xr3:uid="{D17623AD-10F0-4283-831D-E0BDB91942E1}" uniqueName="5" name="Distance(m)" queryTableFieldId="5" dataDxfId="25">
      <calculatedColumnFormula>S1PRP2[[#This Row],[ Distance]]*20</calculatedColumnFormula>
    </tableColumn>
    <tableColumn id="6" xr3:uid="{1D411BB7-753E-419B-9FE2-9A956E97B7A2}" uniqueName="6" name="E_horizon(J)" queryTableFieldId="6" dataDxfId="24">
      <calculatedColumnFormula>E2*Drag_Constant*Area*Density/2</calculatedColumnFormula>
    </tableColumn>
    <tableColumn id="7" xr3:uid="{FF4ABBEB-204D-4F4F-9489-DB0B23A85E4C}" uniqueName="7" name="E_hover(J)" queryTableFieldId="7" dataDxfId="23">
      <calculatedColumnFormula>SQRT(((Mass*g)^3)/(2*PI()*Density*Radius^2))*S1PRP2[[#This Row],[Time]]</calculatedColumnFormula>
    </tableColumn>
    <tableColumn id="8" xr3:uid="{FB896542-ABAC-4834-96E7-AD206BF2784F}" uniqueName="8" name="E_total(J)" queryTableFieldId="8" dataDxfId="22">
      <calculatedColumnFormula>S1PRP2[[#This Row],[E_horizon(J)]]+S1PRP2[[#This Row],[E_hover(J)]]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4E12D8-5534-43A6-972C-CC97BB2B749D}" name="Tabel9" displayName="Tabel9" ref="Q1:T40" totalsRowShown="0" headerRowCellStyle="Normal" dataCellStyle="Normal">
  <autoFilter ref="Q1:T40" xr:uid="{024E12D8-5534-43A6-972C-CC97BB2B749D}"/>
  <tableColumns count="4">
    <tableColumn id="1" xr3:uid="{E7A2AA91-75AD-44ED-90FE-5616E9493380}" name="Rank" dataCellStyle="Normal"/>
    <tableColumn id="2" xr3:uid="{726C06A4-973A-4571-B02E-E13EF1C7BB3B}" name="TimeSorted" dataCellStyle="Normal"/>
    <tableColumn id="3" xr3:uid="{3BACBA11-72BE-413A-BB21-96799A497653}" name="P" dataDxfId="21" dataCellStyle="Normal">
      <calculatedColumnFormula>Tabel9[[#This Row],[Rank]]/(1+COUNTA(Tabel9[TimeSorted]))</calculatedColumnFormula>
    </tableColumn>
    <tableColumn id="4" xr3:uid="{03DFE50C-378C-4D67-A6D0-AF70D337D1DD}" name="Kolonne1" dataDxfId="20" dataCellStyle="Normal">
      <calculatedColumnFormula>_xlfn.NORM.INV(Tabel9[[#This Row],[P]],0,1)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6EF14-9D98-4392-BB23-62E7AB8681A4}" name="S1PRP3" displayName="S1PRP3" ref="A1:H41" tableType="queryTable" totalsRowShown="0">
  <autoFilter ref="A1:H41" xr:uid="{23C6EF14-9D98-4392-BB23-62E7AB8681A4}"/>
  <tableColumns count="8">
    <tableColumn id="1" xr3:uid="{8C22B841-D6B9-4FEA-AF41-C58A8BE9F213}" uniqueName="1" name="Time" queryTableFieldId="1"/>
    <tableColumn id="2" xr3:uid="{39A3BC78-076A-47B5-A5C6-B2DFB3029953}" uniqueName="2" name=" NumMsgSent" queryTableFieldId="2"/>
    <tableColumn id="3" xr3:uid="{9DB95A37-0F7F-4B7C-9C00-0A768B515D72}" uniqueName="3" name=" Distance" queryTableFieldId="3"/>
    <tableColumn id="4" xr3:uid="{88E5038E-18C0-4719-BA59-B453675B5F0A}" uniqueName="4" name=" NodesLost" queryTableFieldId="4"/>
    <tableColumn id="5" xr3:uid="{04268A1D-D2FD-4324-AB2D-F24120BEA0B9}" uniqueName="5" name="Distance(m)" queryTableFieldId="5" dataDxfId="19">
      <calculatedColumnFormula>S1PRP3[[#This Row],[ Distance]]*20</calculatedColumnFormula>
    </tableColumn>
    <tableColumn id="6" xr3:uid="{DC7B72E9-7760-452C-B311-591FD8774634}" uniqueName="6" name="E_horizon(J)" queryTableFieldId="6" dataDxfId="18">
      <calculatedColumnFormula array="1">E2*Drag_Constant*Area*Density/2</calculatedColumnFormula>
    </tableColumn>
    <tableColumn id="7" xr3:uid="{CA8EC89E-1DA7-4EEB-BEA3-E244450FC33E}" uniqueName="7" name="E_hover(J)" queryTableFieldId="7" dataDxfId="17">
      <calculatedColumnFormula>SQRT(((Mass*g)^3)/(2*PI()*Density*Radius^2))*S1PRP3[[#This Row],[Time]]</calculatedColumnFormula>
    </tableColumn>
    <tableColumn id="8" xr3:uid="{608202AC-7BF6-4729-B9CB-198C935E8D3E}" uniqueName="8" name="E_Total(J)" queryTableFieldId="8" dataDxfId="16">
      <calculatedColumnFormula>S1PRP3[[#This Row],[E_horizon(J)]]+S1PRP3[[#This Row],[E_hover(J)]]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CDAA24-A9A9-4436-873D-8E43913183AC}" name="Tabel11" displayName="Tabel11" ref="R1:U41" totalsRowShown="0" headerRowBorderDxfId="15" tableBorderDxfId="14" totalsRowBorderDxfId="13">
  <autoFilter ref="R1:U41" xr:uid="{93CDAA24-A9A9-4436-873D-8E43913183AC}"/>
  <sortState xmlns:xlrd2="http://schemas.microsoft.com/office/spreadsheetml/2017/richdata2" ref="R2:U41">
    <sortCondition ref="S1:S41"/>
  </sortState>
  <tableColumns count="4">
    <tableColumn id="1" xr3:uid="{3C78AD64-911D-4EE7-9D24-FEE1026B1062}" name="R+R1:U41ank" dataDxfId="12"/>
    <tableColumn id="2" xr3:uid="{BD7EF2B0-AD90-4665-BE43-9CF1600549D2}" name="TimeSorted" dataDxfId="11"/>
    <tableColumn id="3" xr3:uid="{2860374C-53D8-437E-B11A-258354147019}" name="P" dataDxfId="10">
      <calculatedColumnFormula>Tabel11[[#This Row],[R+R1:U41ank]]/(1+COUNTA(Tabel11[TimeSorted]))</calculatedColumnFormula>
    </tableColumn>
    <tableColumn id="4" xr3:uid="{B281ECDC-D19A-479D-AD30-AC47B50909D8}" name="Kolonne1" dataDxfId="9">
      <calculatedColumnFormula>_xlfn.NORM.INV(Tabel11[[#This Row],[P]],0,1)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B8B6F-95C0-4B19-8064-36B0640FAE92}" name="S2PRP1" displayName="S2PRP1" ref="A1:H51" tableType="queryTable" totalsRowShown="0">
  <autoFilter ref="A1:H51" xr:uid="{3A7B8B6F-95C0-4B19-8064-36B0640FAE92}"/>
  <tableColumns count="8">
    <tableColumn id="1" xr3:uid="{C785372F-696F-48F1-BD3F-E19323ED7266}" uniqueName="1" name="Time" queryTableFieldId="1"/>
    <tableColumn id="2" xr3:uid="{7CA44F21-C13D-422C-975B-B833DF92D9B9}" uniqueName="2" name=" NumMsgSent" queryTableFieldId="2"/>
    <tableColumn id="3" xr3:uid="{244039DA-522E-496B-A473-EB6B96005C90}" uniqueName="3" name=" Distance" queryTableFieldId="3"/>
    <tableColumn id="4" xr3:uid="{74926385-C9D5-4A66-9336-66346C5B39D3}" uniqueName="4" name=" NodesLost" queryTableFieldId="4"/>
    <tableColumn id="5" xr3:uid="{01658E58-DBBF-4C3F-9C87-023EA8E49105}" uniqueName="5" name="Distance(m)" queryTableFieldId="5" dataDxfId="8">
      <calculatedColumnFormula>S2PRP1[[#This Row],[ Distance]]*20</calculatedColumnFormula>
    </tableColumn>
    <tableColumn id="6" xr3:uid="{BD1A1BD1-74D5-4D90-8D22-8A7D28E11248}" uniqueName="6" name="E_horizon(J)" queryTableFieldId="6" dataDxfId="7">
      <calculatedColumnFormula array="1">E2*Drag_Constant*Area*Density/2</calculatedColumnFormula>
    </tableColumn>
    <tableColumn id="7" xr3:uid="{8990A102-58AB-4B02-8039-B3005AAF14A0}" uniqueName="7" name="E_hover(J)" queryTableFieldId="7" dataDxfId="6">
      <calculatedColumnFormula>SQRT(((Mass*g)^3)/(2*PI()*Density*Radius^2))*S2PRP1[[#This Row],[Time]]</calculatedColumnFormula>
    </tableColumn>
    <tableColumn id="8" xr3:uid="{6E4EA4E8-EEB5-401F-8CC4-2E31A6437526}" uniqueName="8" name="E_total(J)" queryTableFieldId="8" dataDxfId="5">
      <calculatedColumnFormula>S2PRP1[[#This Row],[E_horizon(J)]]+S2PRP1[[#This Row],[E_hover(J)]]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8791B-468E-4B25-833B-574D6C7FF0B7}" name="S2PRP2" displayName="S2PRP2" ref="A1:H50" tableType="queryTable" totalsRowShown="0">
  <autoFilter ref="A1:H50" xr:uid="{4FD8791B-468E-4B25-833B-574D6C7FF0B7}"/>
  <tableColumns count="8">
    <tableColumn id="1" xr3:uid="{7D39CC84-73DF-4D7F-97AE-68FD9754D443}" uniqueName="1" name="Time" queryTableFieldId="1"/>
    <tableColumn id="2" xr3:uid="{A80D5602-9A3E-4162-996B-88E5D49DA967}" uniqueName="2" name=" NumMsgSent" queryTableFieldId="2"/>
    <tableColumn id="3" xr3:uid="{088F5F85-D0DB-4F58-94CE-8E211BB2D0FE}" uniqueName="3" name=" Distance" queryTableFieldId="3"/>
    <tableColumn id="4" xr3:uid="{69632E81-45E8-4BF0-B55D-AD67DD53D693}" uniqueName="4" name=" NodesLost" queryTableFieldId="4"/>
    <tableColumn id="5" xr3:uid="{708A242E-92CD-4E21-AAB6-769E73791DBC}" uniqueName="5" name="Distance(m)" queryTableFieldId="5">
      <calculatedColumnFormula>S2PRP2[[#This Row],[ Distance]]*20</calculatedColumnFormula>
    </tableColumn>
    <tableColumn id="6" xr3:uid="{3D13E7A1-8A83-4B5D-8D30-727324118FB0}" uniqueName="6" name="E_horizon(J)" queryTableFieldId="6">
      <calculatedColumnFormula array="1">E2*Drag_Constant*Area*Density/2</calculatedColumnFormula>
    </tableColumn>
    <tableColumn id="7" xr3:uid="{2B144830-DB2D-46E9-A419-5DC2603E19BC}" uniqueName="7" name="E_hover(J)" queryTableFieldId="7">
      <calculatedColumnFormula>SQRT(((Mass*g)^3)/(2*PI()*Density*Radius^2))*S2PRP2[[#This Row],[Time]]</calculatedColumnFormula>
    </tableColumn>
    <tableColumn id="8" xr3:uid="{10CA287F-3C43-4134-B619-A39F9D55575C}" uniqueName="8" name="E_total(J)" queryTableFieldId="8" dataDxfId="4">
      <calculatedColumnFormula>S2PRP2[[#This Row],[E_horizon(J)]]+S2PRP2[[#This Row],[E_hover(J)]]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55016-B72B-4273-A15F-C4C5528A1199}" name="S2PRP3" displayName="S2PRP3" ref="A1:H50" tableType="queryTable" totalsRowShown="0">
  <autoFilter ref="A1:H50" xr:uid="{83055016-B72B-4273-A15F-C4C5528A1199}"/>
  <tableColumns count="8">
    <tableColumn id="1" xr3:uid="{E9F3B983-96A5-435F-A30A-28B93DDB1D01}" uniqueName="1" name="Time" queryTableFieldId="1"/>
    <tableColumn id="2" xr3:uid="{B91ECEAD-6E45-464A-89E0-E4444D281547}" uniqueName="2" name=" NumMsgSent" queryTableFieldId="2"/>
    <tableColumn id="3" xr3:uid="{8E0C28B3-2AC4-49DF-93E6-AAC20FCF52AD}" uniqueName="3" name=" Distance" queryTableFieldId="3"/>
    <tableColumn id="4" xr3:uid="{7E8050B0-3225-4399-8C38-554BF0F64789}" uniqueName="4" name=" NodesLost" queryTableFieldId="4"/>
    <tableColumn id="5" xr3:uid="{69AA4BB8-21A0-44E9-B814-4AB2D7266778}" uniqueName="5" name="Distance(m)" queryTableFieldId="5" dataDxfId="3">
      <calculatedColumnFormula>S2PRP3[[#This Row],[ Distance]]*20</calculatedColumnFormula>
    </tableColumn>
    <tableColumn id="6" xr3:uid="{9BE4CF1A-2DF0-444F-83A6-21FBE43FB07B}" uniqueName="6" name="E_horizon(J)" queryTableFieldId="6" dataDxfId="2">
      <calculatedColumnFormula array="1">E2*Drag_Constant*Area*Density/2</calculatedColumnFormula>
    </tableColumn>
    <tableColumn id="7" xr3:uid="{AA42A844-148D-4D59-AA32-8077FEBF050E}" uniqueName="7" name="E_hover(J)" queryTableFieldId="7" dataDxfId="1">
      <calculatedColumnFormula>SQRT(((Mass*g)^3)/(2*PI()*Density*Radius^2))*S2PRP3[[#This Row],[Time]]</calculatedColumnFormula>
    </tableColumn>
    <tableColumn id="8" xr3:uid="{F7ECA9E3-C899-42C3-9E89-990BB7CD1541}" uniqueName="8" name="E_total(J)" queryTableFieldId="8" dataDxfId="0">
      <calculatedColumnFormula>S2PRP3[[#This Row],[E_horizon(J)]]+S2PRP3[[#This Row],[E_hover(J)]]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46B3-F7EA-4C7E-974B-6278DFC9B36B}">
  <dimension ref="A1:O50"/>
  <sheetViews>
    <sheetView topLeftCell="C1"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133.78550000000001</v>
      </c>
      <c r="B2">
        <v>3970</v>
      </c>
      <c r="C2">
        <v>717.27440000000001</v>
      </c>
      <c r="D2">
        <v>0</v>
      </c>
      <c r="E2">
        <f>S0PRP3[[#This Row],[ Distance]]*20</f>
        <v>14345.488000000001</v>
      </c>
      <c r="F2" cm="1">
        <f t="array" ref="F2">E2*Drag_Constant*Area*Density/2</f>
        <v>1738.9421235000002</v>
      </c>
      <c r="G2">
        <f>SQRT(((Mass*g)^3)/(2*PI()*Density*Radius^2))*S0PRP3[[#This Row],[Time]]</f>
        <v>10335.27559136831</v>
      </c>
      <c r="H2">
        <f>S0PRP3[[#This Row],[E_horizon(J)]]+S0PRP3[[#This Row],[E_hover(J)]]</f>
        <v>12074.217714868311</v>
      </c>
      <c r="I2">
        <f>AVERAGE(S0PRP3[Time])</f>
        <v>143.29598571428568</v>
      </c>
      <c r="J2">
        <f>AVERAGE(S0PRP3[[ NumMsgSent]])</f>
        <v>4013.3673469387754</v>
      </c>
      <c r="K2">
        <f>AVERAGE(S0PRP3[[ Distance]])</f>
        <v>769.51740612244896</v>
      </c>
      <c r="L2">
        <f>AVERAGE(S0PRP3[[ NodesLost]])</f>
        <v>0</v>
      </c>
      <c r="M2">
        <f>COUNTIF(S0PRP3[[ NodesLost]],"&gt;0")/COUNT(S0PRP3[[ NodesLost]])</f>
        <v>0</v>
      </c>
      <c r="N2">
        <f>AVERAGE(S0PRP3[E_horizon(J)])</f>
        <v>1865.5987614681117</v>
      </c>
      <c r="O2">
        <f>AVERAGE(S0PRP3[E_hover(J)])</f>
        <v>11069.985188932427</v>
      </c>
    </row>
    <row r="3" spans="1:15" x14ac:dyDescent="0.35">
      <c r="A3">
        <v>146.35570000000001</v>
      </c>
      <c r="B3">
        <v>4069</v>
      </c>
      <c r="C3">
        <v>829.77430000000004</v>
      </c>
      <c r="D3">
        <v>0</v>
      </c>
      <c r="E3">
        <f>S0PRP3[[#This Row],[ Distance]]*20</f>
        <v>16595.486000000001</v>
      </c>
      <c r="F3" cm="1">
        <f t="array" ref="F3">E3*Drag_Constant*Area*Density/2</f>
        <v>2011.6840685624998</v>
      </c>
      <c r="G3">
        <f>SQRT(((Mass*g)^3)/(2*PI()*Density*Radius^2))*S0PRP3[[#This Row],[Time]]</f>
        <v>11306.356024140307</v>
      </c>
      <c r="H3">
        <f>S0PRP3[[#This Row],[E_horizon(J)]]+S0PRP3[[#This Row],[E_hover(J)]]</f>
        <v>13318.040092702806</v>
      </c>
    </row>
    <row r="4" spans="1:15" x14ac:dyDescent="0.35">
      <c r="A4">
        <v>141.98750000000001</v>
      </c>
      <c r="B4">
        <v>4048</v>
      </c>
      <c r="C4">
        <v>767.97490000000005</v>
      </c>
      <c r="D4">
        <v>0</v>
      </c>
      <c r="E4">
        <f>S0PRP3[[#This Row],[ Distance]]*20</f>
        <v>15359.498000000001</v>
      </c>
      <c r="F4" cm="1">
        <f t="array" ref="F4">E4*Drag_Constant*Area*Density/2</f>
        <v>1861.8591481875001</v>
      </c>
      <c r="G4">
        <f>SQRT(((Mass*g)^3)/(2*PI()*Density*Radius^2))*S0PRP3[[#This Row],[Time]]</f>
        <v>10968.90128623362</v>
      </c>
      <c r="H4">
        <f>S0PRP3[[#This Row],[E_horizon(J)]]+S0PRP3[[#This Row],[E_hover(J)]]</f>
        <v>12830.760434421121</v>
      </c>
    </row>
    <row r="5" spans="1:15" x14ac:dyDescent="0.35">
      <c r="A5">
        <v>148.55449999999999</v>
      </c>
      <c r="B5">
        <v>4160</v>
      </c>
      <c r="C5">
        <v>791.548</v>
      </c>
      <c r="D5">
        <v>0</v>
      </c>
      <c r="E5">
        <f>S0PRP3[[#This Row],[ Distance]]*20</f>
        <v>15830.96</v>
      </c>
      <c r="F5" cm="1">
        <f t="array" ref="F5">E5*Drag_Constant*Area*Density/2</f>
        <v>1919.0091824999997</v>
      </c>
      <c r="G5">
        <f>SQRT(((Mass*g)^3)/(2*PI()*Density*Radius^2))*S0PRP3[[#This Row],[Time]]</f>
        <v>11476.219006080057</v>
      </c>
      <c r="H5">
        <f>S0PRP3[[#This Row],[E_horizon(J)]]+S0PRP3[[#This Row],[E_hover(J)]]</f>
        <v>13395.228188580057</v>
      </c>
    </row>
    <row r="6" spans="1:15" x14ac:dyDescent="0.35">
      <c r="A6">
        <v>136.8201</v>
      </c>
      <c r="B6">
        <v>3940</v>
      </c>
      <c r="C6">
        <v>716.20320000000004</v>
      </c>
      <c r="D6">
        <v>0</v>
      </c>
      <c r="E6">
        <f>S0PRP3[[#This Row],[ Distance]]*20</f>
        <v>14324.064</v>
      </c>
      <c r="F6" cm="1">
        <f t="array" ref="F6">E6*Drag_Constant*Area*Density/2</f>
        <v>1736.345133</v>
      </c>
      <c r="G6">
        <f>SQRT(((Mass*g)^3)/(2*PI()*Density*Radius^2))*S0PRP3[[#This Row],[Time]]</f>
        <v>10569.706283106698</v>
      </c>
      <c r="H6">
        <f>S0PRP3[[#This Row],[E_horizon(J)]]+S0PRP3[[#This Row],[E_hover(J)]]</f>
        <v>12306.051416106699</v>
      </c>
    </row>
    <row r="7" spans="1:15" x14ac:dyDescent="0.35">
      <c r="A7">
        <v>145.85290000000001</v>
      </c>
      <c r="B7">
        <v>3943</v>
      </c>
      <c r="C7">
        <v>782.30050000000006</v>
      </c>
      <c r="D7">
        <v>0</v>
      </c>
      <c r="E7">
        <f>S0PRP3[[#This Row],[ Distance]]*20</f>
        <v>15646.010000000002</v>
      </c>
      <c r="F7" cm="1">
        <f t="array" ref="F7">E7*Drag_Constant*Area*Density/2</f>
        <v>1896.5897746875</v>
      </c>
      <c r="G7">
        <f>SQRT(((Mass*g)^3)/(2*PI()*Density*Radius^2))*S0PRP3[[#This Row],[Time]]</f>
        <v>11267.513424850098</v>
      </c>
      <c r="H7">
        <f>S0PRP3[[#This Row],[E_horizon(J)]]+S0PRP3[[#This Row],[E_hover(J)]]</f>
        <v>13164.103199537598</v>
      </c>
    </row>
    <row r="8" spans="1:15" x14ac:dyDescent="0.35">
      <c r="A8">
        <v>142.28639999999999</v>
      </c>
      <c r="B8">
        <v>4059</v>
      </c>
      <c r="C8">
        <v>752.49400000000003</v>
      </c>
      <c r="D8">
        <v>0</v>
      </c>
      <c r="E8">
        <f>S0PRP3[[#This Row],[ Distance]]*20</f>
        <v>15049.880000000001</v>
      </c>
      <c r="F8" cm="1">
        <f t="array" ref="F8">E8*Drag_Constant*Area*Density/2</f>
        <v>1824.3276412499999</v>
      </c>
      <c r="G8">
        <f>SQRT(((Mass*g)^3)/(2*PI()*Density*Radius^2))*S0PRP3[[#This Row],[Time]]</f>
        <v>10991.992083623918</v>
      </c>
      <c r="H8">
        <f>S0PRP3[[#This Row],[E_horizon(J)]]+S0PRP3[[#This Row],[E_hover(J)]]</f>
        <v>12816.319724873918</v>
      </c>
    </row>
    <row r="9" spans="1:15" x14ac:dyDescent="0.35">
      <c r="A9">
        <v>145.21940000000001</v>
      </c>
      <c r="B9">
        <v>3954</v>
      </c>
      <c r="C9">
        <v>779.88040000000001</v>
      </c>
      <c r="D9">
        <v>0</v>
      </c>
      <c r="E9">
        <f>S0PRP3[[#This Row],[ Distance]]*20</f>
        <v>15597.608</v>
      </c>
      <c r="F9" cm="1">
        <f t="array" ref="F9">E9*Drag_Constant*Area*Density/2</f>
        <v>1890.72254475</v>
      </c>
      <c r="G9">
        <f>SQRT(((Mass*g)^3)/(2*PI()*Density*Radius^2))*S0PRP3[[#This Row],[Time]]</f>
        <v>11218.573912816793</v>
      </c>
      <c r="H9">
        <f>S0PRP3[[#This Row],[E_horizon(J)]]+S0PRP3[[#This Row],[E_hover(J)]]</f>
        <v>13109.296457566794</v>
      </c>
    </row>
    <row r="10" spans="1:15" x14ac:dyDescent="0.35">
      <c r="A10">
        <v>160.3201</v>
      </c>
      <c r="B10">
        <v>4070</v>
      </c>
      <c r="C10">
        <v>830.60820000000001</v>
      </c>
      <c r="D10">
        <v>0</v>
      </c>
      <c r="E10">
        <f>S0PRP3[[#This Row],[ Distance]]*20</f>
        <v>16612.164000000001</v>
      </c>
      <c r="F10" cm="1">
        <f t="array" ref="F10">E10*Drag_Constant*Area*Density/2</f>
        <v>2013.7057548749999</v>
      </c>
      <c r="G10">
        <f>SQRT(((Mass*g)^3)/(2*PI()*Density*Radius^2))*S0PRP3[[#This Row],[Time]]</f>
        <v>12385.142009677629</v>
      </c>
      <c r="H10">
        <f>S0PRP3[[#This Row],[E_horizon(J)]]+S0PRP3[[#This Row],[E_hover(J)]]</f>
        <v>14398.847764552629</v>
      </c>
    </row>
    <row r="11" spans="1:15" x14ac:dyDescent="0.35">
      <c r="A11">
        <v>134.42240000000001</v>
      </c>
      <c r="B11">
        <v>3963</v>
      </c>
      <c r="C11">
        <v>726.04819999999995</v>
      </c>
      <c r="D11">
        <v>0</v>
      </c>
      <c r="E11">
        <f>S0PRP3[[#This Row],[ Distance]]*20</f>
        <v>14520.964</v>
      </c>
      <c r="F11" cm="1">
        <f t="array" ref="F11">E11*Drag_Constant*Area*Density/2</f>
        <v>1760.213104875</v>
      </c>
      <c r="G11">
        <f>SQRT(((Mass*g)^3)/(2*PI()*Density*Radius^2))*S0PRP3[[#This Row],[Time]]</f>
        <v>10384.477762187587</v>
      </c>
      <c r="H11">
        <f>S0PRP3[[#This Row],[E_horizon(J)]]+S0PRP3[[#This Row],[E_hover(J)]]</f>
        <v>12144.690867062587</v>
      </c>
    </row>
    <row r="12" spans="1:15" x14ac:dyDescent="0.35">
      <c r="A12">
        <v>151.18729999999999</v>
      </c>
      <c r="B12">
        <v>4081</v>
      </c>
      <c r="C12">
        <v>810.6866</v>
      </c>
      <c r="D12">
        <v>0</v>
      </c>
      <c r="E12">
        <f>S0PRP3[[#This Row],[ Distance]]*20</f>
        <v>16213.732</v>
      </c>
      <c r="F12" cm="1">
        <f t="array" ref="F12">E12*Drag_Constant*Area*Density/2</f>
        <v>1965.4083258749997</v>
      </c>
      <c r="G12">
        <f>SQRT(((Mass*g)^3)/(2*PI()*Density*Radius^2))*S0PRP3[[#This Row],[Time]]</f>
        <v>11679.609609523288</v>
      </c>
      <c r="H12">
        <f>S0PRP3[[#This Row],[E_horizon(J)]]+S0PRP3[[#This Row],[E_hover(J)]]</f>
        <v>13645.017935398288</v>
      </c>
    </row>
    <row r="13" spans="1:15" x14ac:dyDescent="0.35">
      <c r="A13">
        <v>133.4221</v>
      </c>
      <c r="B13">
        <v>3963</v>
      </c>
      <c r="C13">
        <v>711.70939999999996</v>
      </c>
      <c r="D13">
        <v>0</v>
      </c>
      <c r="E13">
        <f>S0PRP3[[#This Row],[ Distance]]*20</f>
        <v>14234.187999999998</v>
      </c>
      <c r="F13" cm="1">
        <f t="array" ref="F13">E13*Drag_Constant*Area*Density/2</f>
        <v>1725.4504766249997</v>
      </c>
      <c r="G13">
        <f>SQRT(((Mass*g)^3)/(2*PI()*Density*Radius^2))*S0PRP3[[#This Row],[Time]]</f>
        <v>10307.202002302953</v>
      </c>
      <c r="H13">
        <f>S0PRP3[[#This Row],[E_horizon(J)]]+S0PRP3[[#This Row],[E_hover(J)]]</f>
        <v>12032.652478927952</v>
      </c>
    </row>
    <row r="14" spans="1:15" x14ac:dyDescent="0.35">
      <c r="A14">
        <v>142.5523</v>
      </c>
      <c r="B14">
        <v>3933</v>
      </c>
      <c r="C14">
        <v>769.29269999999997</v>
      </c>
      <c r="D14">
        <v>0</v>
      </c>
      <c r="E14">
        <f>S0PRP3[[#This Row],[ Distance]]*20</f>
        <v>15385.853999999999</v>
      </c>
      <c r="F14" cm="1">
        <f t="array" ref="F14">E14*Drag_Constant*Area*Density/2</f>
        <v>1865.0539895624997</v>
      </c>
      <c r="G14">
        <f>SQRT(((Mass*g)^3)/(2*PI()*Density*Radius^2))*S0PRP3[[#This Row],[Time]]</f>
        <v>11012.533545738608</v>
      </c>
      <c r="H14">
        <f>S0PRP3[[#This Row],[E_horizon(J)]]+S0PRP3[[#This Row],[E_hover(J)]]</f>
        <v>12877.587535301107</v>
      </c>
    </row>
    <row r="15" spans="1:15" x14ac:dyDescent="0.35">
      <c r="A15">
        <v>138.81829999999999</v>
      </c>
      <c r="B15">
        <v>4026</v>
      </c>
      <c r="C15">
        <v>754.94380000000001</v>
      </c>
      <c r="D15">
        <v>0</v>
      </c>
      <c r="E15">
        <f>S0PRP3[[#This Row],[ Distance]]*20</f>
        <v>15098.876</v>
      </c>
      <c r="F15" cm="1">
        <f t="array" ref="F15">E15*Drag_Constant*Area*Density/2</f>
        <v>1830.2668751249998</v>
      </c>
      <c r="G15">
        <f>SQRT(((Mass*g)^3)/(2*PI()*Density*Radius^2))*S0PRP3[[#This Row],[Time]]</f>
        <v>10724.072396674104</v>
      </c>
      <c r="H15">
        <f>S0PRP3[[#This Row],[E_horizon(J)]]+S0PRP3[[#This Row],[E_hover(J)]]</f>
        <v>12554.339271799105</v>
      </c>
    </row>
    <row r="16" spans="1:15" x14ac:dyDescent="0.35">
      <c r="A16">
        <v>142.8201</v>
      </c>
      <c r="B16">
        <v>4049</v>
      </c>
      <c r="C16">
        <v>774.06870000000004</v>
      </c>
      <c r="D16">
        <v>0</v>
      </c>
      <c r="E16">
        <f>S0PRP3[[#This Row],[ Distance]]*20</f>
        <v>15481.374</v>
      </c>
      <c r="F16" cm="1">
        <f t="array" ref="F16">E16*Drag_Constant*Area*Density/2</f>
        <v>1876.6328045625</v>
      </c>
      <c r="G16">
        <f>SQRT(((Mass*g)^3)/(2*PI()*Density*Radius^2))*S0PRP3[[#This Row],[Time]]</f>
        <v>11033.221787763106</v>
      </c>
      <c r="H16">
        <f>S0PRP3[[#This Row],[E_horizon(J)]]+S0PRP3[[#This Row],[E_hover(J)]]</f>
        <v>12909.854592325606</v>
      </c>
    </row>
    <row r="17" spans="1:8" x14ac:dyDescent="0.35">
      <c r="A17">
        <v>128.15369999999999</v>
      </c>
      <c r="B17">
        <v>3769</v>
      </c>
      <c r="C17">
        <v>716.04660000000001</v>
      </c>
      <c r="D17">
        <v>0</v>
      </c>
      <c r="E17">
        <f>S0PRP3[[#This Row],[ Distance]]*20</f>
        <v>14320.932000000001</v>
      </c>
      <c r="F17" cm="1">
        <f t="array" ref="F17">E17*Drag_Constant*Area*Density/2</f>
        <v>1735.965475875</v>
      </c>
      <c r="G17">
        <f>SQRT(((Mass*g)^3)/(2*PI()*Density*Radius^2))*S0PRP3[[#This Row],[Time]]</f>
        <v>9900.2044881809816</v>
      </c>
      <c r="H17">
        <f>S0PRP3[[#This Row],[E_horizon(J)]]+S0PRP3[[#This Row],[E_hover(J)]]</f>
        <v>11636.169964055982</v>
      </c>
    </row>
    <row r="18" spans="1:8" x14ac:dyDescent="0.35">
      <c r="A18">
        <v>142.72030000000001</v>
      </c>
      <c r="B18">
        <v>4049</v>
      </c>
      <c r="C18">
        <v>771.41819999999996</v>
      </c>
      <c r="D18">
        <v>0</v>
      </c>
      <c r="E18">
        <f>S0PRP3[[#This Row],[ Distance]]*20</f>
        <v>15428.364</v>
      </c>
      <c r="F18" cm="1">
        <f t="array" ref="F18">E18*Drag_Constant*Area*Density/2</f>
        <v>1870.2069986249999</v>
      </c>
      <c r="G18">
        <f>SQRT(((Mass*g)^3)/(2*PI()*Density*Radius^2))*S0PRP3[[#This Row],[Time]]</f>
        <v>11025.511979868988</v>
      </c>
      <c r="H18">
        <f>S0PRP3[[#This Row],[E_horizon(J)]]+S0PRP3[[#This Row],[E_hover(J)]]</f>
        <v>12895.718978493987</v>
      </c>
    </row>
    <row r="19" spans="1:8" x14ac:dyDescent="0.35">
      <c r="A19">
        <v>142.5213</v>
      </c>
      <c r="B19">
        <v>3933</v>
      </c>
      <c r="C19">
        <v>772.93110000000001</v>
      </c>
      <c r="D19">
        <v>0</v>
      </c>
      <c r="E19">
        <f>S0PRP3[[#This Row],[ Distance]]*20</f>
        <v>15458.621999999999</v>
      </c>
      <c r="F19" cm="1">
        <f t="array" ref="F19">E19*Drag_Constant*Area*Density/2</f>
        <v>1873.8748355624996</v>
      </c>
      <c r="G19">
        <f>SQRT(((Mass*g)^3)/(2*PI()*Density*Radius^2))*S0PRP3[[#This Row],[Time]]</f>
        <v>11010.138715631218</v>
      </c>
      <c r="H19">
        <f>S0PRP3[[#This Row],[E_horizon(J)]]+S0PRP3[[#This Row],[E_hover(J)]]</f>
        <v>12884.013551193717</v>
      </c>
    </row>
    <row r="20" spans="1:8" x14ac:dyDescent="0.35">
      <c r="A20">
        <v>139.18729999999999</v>
      </c>
      <c r="B20">
        <v>4034</v>
      </c>
      <c r="C20">
        <v>762.1979</v>
      </c>
      <c r="D20">
        <v>0</v>
      </c>
      <c r="E20">
        <f>S0PRP3[[#This Row],[ Distance]]*20</f>
        <v>15243.958000000001</v>
      </c>
      <c r="F20" cm="1">
        <f t="array" ref="F20">E20*Drag_Constant*Area*Density/2</f>
        <v>1847.8535338125</v>
      </c>
      <c r="G20">
        <f>SQRT(((Mass*g)^3)/(2*PI()*Density*Radius^2))*S0PRP3[[#This Row],[Time]]</f>
        <v>10752.578600210472</v>
      </c>
      <c r="H20">
        <f>S0PRP3[[#This Row],[E_horizon(J)]]+S0PRP3[[#This Row],[E_hover(J)]]</f>
        <v>12600.432134022973</v>
      </c>
    </row>
    <row r="21" spans="1:8" x14ac:dyDescent="0.35">
      <c r="A21">
        <v>147.11959999999999</v>
      </c>
      <c r="B21">
        <v>3955</v>
      </c>
      <c r="C21">
        <v>779.54169999999999</v>
      </c>
      <c r="D21">
        <v>0</v>
      </c>
      <c r="E21">
        <f>S0PRP3[[#This Row],[ Distance]]*20</f>
        <v>15590.833999999999</v>
      </c>
      <c r="F21" cm="1">
        <f t="array" ref="F21">E21*Drag_Constant*Area*Density/2</f>
        <v>1889.9014089374996</v>
      </c>
      <c r="G21">
        <f>SQRT(((Mass*g)^3)/(2*PI()*Density*Radius^2))*S0PRP3[[#This Row],[Time]]</f>
        <v>11365.369273141476</v>
      </c>
      <c r="H21">
        <f>S0PRP3[[#This Row],[E_horizon(J)]]+S0PRP3[[#This Row],[E_hover(J)]]</f>
        <v>13255.270682078975</v>
      </c>
    </row>
    <row r="22" spans="1:8" x14ac:dyDescent="0.35">
      <c r="A22">
        <v>145.65369999999999</v>
      </c>
      <c r="B22">
        <v>3945</v>
      </c>
      <c r="C22">
        <v>780.43679999999995</v>
      </c>
      <c r="D22">
        <v>0</v>
      </c>
      <c r="E22">
        <f>S0PRP3[[#This Row],[ Distance]]*20</f>
        <v>15608.735999999999</v>
      </c>
      <c r="F22" cm="1">
        <f t="array" ref="F22">E22*Drag_Constant*Area*Density/2</f>
        <v>1892.0714669999998</v>
      </c>
      <c r="G22">
        <f>SQRT(((Mass*g)^3)/(2*PI()*Density*Radius^2))*S0PRP3[[#This Row],[Time]]</f>
        <v>11252.124710095504</v>
      </c>
      <c r="H22">
        <f>S0PRP3[[#This Row],[E_horizon(J)]]+S0PRP3[[#This Row],[E_hover(J)]]</f>
        <v>13144.196177095504</v>
      </c>
    </row>
    <row r="23" spans="1:8" x14ac:dyDescent="0.35">
      <c r="A23">
        <v>141.88659999999999</v>
      </c>
      <c r="B23">
        <v>4042</v>
      </c>
      <c r="C23">
        <v>755.32899999999995</v>
      </c>
      <c r="D23">
        <v>0</v>
      </c>
      <c r="E23">
        <f>S0PRP3[[#This Row],[ Distance]]*20</f>
        <v>15106.579999999998</v>
      </c>
      <c r="F23" cm="1">
        <f t="array" ref="F23">E23*Drag_Constant*Area*Density/2</f>
        <v>1831.2007443749994</v>
      </c>
      <c r="G23">
        <f>SQRT(((Mass*g)^3)/(2*PI()*Density*Radius^2))*S0PRP3[[#This Row],[Time]]</f>
        <v>10961.106500496979</v>
      </c>
      <c r="H23">
        <f>S0PRP3[[#This Row],[E_horizon(J)]]+S0PRP3[[#This Row],[E_hover(J)]]</f>
        <v>12792.307244871978</v>
      </c>
    </row>
    <row r="24" spans="1:8" x14ac:dyDescent="0.35">
      <c r="A24">
        <v>142.98910000000001</v>
      </c>
      <c r="B24">
        <v>3940</v>
      </c>
      <c r="C24">
        <v>771.34119999999996</v>
      </c>
      <c r="D24">
        <v>0</v>
      </c>
      <c r="E24">
        <f>S0PRP3[[#This Row],[ Distance]]*20</f>
        <v>15426.823999999999</v>
      </c>
      <c r="F24" cm="1">
        <f t="array" ref="F24">E24*Drag_Constant*Area*Density/2</f>
        <v>1870.0203217499998</v>
      </c>
      <c r="G24">
        <f>SQRT(((Mass*g)^3)/(2*PI()*Density*Radius^2))*S0PRP3[[#This Row],[Time]]</f>
        <v>11046.277474477596</v>
      </c>
      <c r="H24">
        <f>S0PRP3[[#This Row],[E_horizon(J)]]+S0PRP3[[#This Row],[E_hover(J)]]</f>
        <v>12916.297796227596</v>
      </c>
    </row>
    <row r="25" spans="1:8" x14ac:dyDescent="0.35">
      <c r="A25">
        <v>133.62020000000001</v>
      </c>
      <c r="B25">
        <v>3961</v>
      </c>
      <c r="C25">
        <v>730.99609999999996</v>
      </c>
      <c r="D25">
        <v>0</v>
      </c>
      <c r="E25">
        <f>S0PRP3[[#This Row],[ Distance]]*20</f>
        <v>14619.921999999999</v>
      </c>
      <c r="F25" cm="1">
        <f t="array" ref="F25">E25*Drag_Constant*Area*Density/2</f>
        <v>1772.2086699374997</v>
      </c>
      <c r="G25">
        <f>SQRT(((Mass*g)^3)/(2*PI()*Density*Radius^2))*S0PRP3[[#This Row],[Time]]</f>
        <v>10322.505739215027</v>
      </c>
      <c r="H25">
        <f>S0PRP3[[#This Row],[E_horizon(J)]]+S0PRP3[[#This Row],[E_hover(J)]]</f>
        <v>12094.714409152526</v>
      </c>
    </row>
    <row r="26" spans="1:8" x14ac:dyDescent="0.35">
      <c r="A26">
        <v>133.7851</v>
      </c>
      <c r="B26">
        <v>3971</v>
      </c>
      <c r="C26">
        <v>722.82730000000004</v>
      </c>
      <c r="D26">
        <v>0</v>
      </c>
      <c r="E26">
        <f>S0PRP3[[#This Row],[ Distance]]*20</f>
        <v>14456.546</v>
      </c>
      <c r="F26" cm="1">
        <f t="array" ref="F26">E26*Drag_Constant*Area*Density/2</f>
        <v>1752.4044354374998</v>
      </c>
      <c r="G26">
        <f>SQRT(((Mass*g)^3)/(2*PI()*Density*Radius^2))*S0PRP3[[#This Row],[Time]]</f>
        <v>10335.244690334666</v>
      </c>
      <c r="H26">
        <f>S0PRP3[[#This Row],[E_horizon(J)]]+S0PRP3[[#This Row],[E_hover(J)]]</f>
        <v>12087.649125772166</v>
      </c>
    </row>
    <row r="27" spans="1:8" x14ac:dyDescent="0.35">
      <c r="A27">
        <v>147.82050000000001</v>
      </c>
      <c r="B27">
        <v>4160</v>
      </c>
      <c r="C27">
        <v>787.90440000000001</v>
      </c>
      <c r="D27">
        <v>0</v>
      </c>
      <c r="E27">
        <f>S0PRP3[[#This Row],[ Distance]]*20</f>
        <v>15758.088</v>
      </c>
      <c r="F27" cm="1">
        <f t="array" ref="F27">E27*Drag_Constant*Area*Density/2</f>
        <v>1910.1757297499996</v>
      </c>
      <c r="G27">
        <f>SQRT(((Mass*g)^3)/(2*PI()*Density*Radius^2))*S0PRP3[[#This Row],[Time]]</f>
        <v>11419.515609343758</v>
      </c>
      <c r="H27">
        <f>S0PRP3[[#This Row],[E_horizon(J)]]+S0PRP3[[#This Row],[E_hover(J)]]</f>
        <v>13329.691339093757</v>
      </c>
    </row>
    <row r="28" spans="1:8" x14ac:dyDescent="0.35">
      <c r="A28">
        <v>137.0864</v>
      </c>
      <c r="B28">
        <v>3867</v>
      </c>
      <c r="C28">
        <v>794.7287</v>
      </c>
      <c r="D28">
        <v>0</v>
      </c>
      <c r="E28">
        <f>S0PRP3[[#This Row],[ Distance]]*20</f>
        <v>15894.574000000001</v>
      </c>
      <c r="F28" cm="1">
        <f t="array" ref="F28">E28*Drag_Constant*Area*Density/2</f>
        <v>1926.7203920625</v>
      </c>
      <c r="G28">
        <f>SQRT(((Mass*g)^3)/(2*PI()*Density*Radius^2))*S0PRP3[[#This Row],[Time]]</f>
        <v>10590.278646255032</v>
      </c>
      <c r="H28">
        <f>S0PRP3[[#This Row],[E_horizon(J)]]+S0PRP3[[#This Row],[E_hover(J)]]</f>
        <v>12516.999038317532</v>
      </c>
    </row>
    <row r="29" spans="1:8" x14ac:dyDescent="0.35">
      <c r="A29">
        <v>145.04320000000001</v>
      </c>
      <c r="B29">
        <v>4121</v>
      </c>
      <c r="C29">
        <v>740.90989999999999</v>
      </c>
      <c r="D29">
        <v>0</v>
      </c>
      <c r="E29">
        <f>S0PRP3[[#This Row],[ Distance]]*20</f>
        <v>14818.198</v>
      </c>
      <c r="F29" cm="1">
        <f t="array" ref="F29">E29*Drag_Constant*Area*Density/2</f>
        <v>1796.2434388124998</v>
      </c>
      <c r="G29">
        <f>SQRT(((Mass*g)^3)/(2*PI()*Density*Radius^2))*S0PRP3[[#This Row],[Time]]</f>
        <v>11204.962007496717</v>
      </c>
      <c r="H29">
        <f>S0PRP3[[#This Row],[E_horizon(J)]]+S0PRP3[[#This Row],[E_hover(J)]]</f>
        <v>13001.205446309217</v>
      </c>
    </row>
    <row r="30" spans="1:8" x14ac:dyDescent="0.35">
      <c r="A30">
        <v>144.72</v>
      </c>
      <c r="B30">
        <v>3935</v>
      </c>
      <c r="C30">
        <v>775.18190000000004</v>
      </c>
      <c r="D30">
        <v>0</v>
      </c>
      <c r="E30">
        <f>S0PRP3[[#This Row],[ Distance]]*20</f>
        <v>15503.638000000001</v>
      </c>
      <c r="F30" cm="1">
        <f t="array" ref="F30">E30*Drag_Constant*Area*Density/2</f>
        <v>1879.3316188125</v>
      </c>
      <c r="G30">
        <f>SQRT(((Mass*g)^3)/(2*PI()*Density*Radius^2))*S0PRP3[[#This Row],[Time]]</f>
        <v>11179.993972312557</v>
      </c>
      <c r="H30">
        <f>S0PRP3[[#This Row],[E_horizon(J)]]+S0PRP3[[#This Row],[E_hover(J)]]</f>
        <v>13059.325591125056</v>
      </c>
    </row>
    <row r="31" spans="1:8" x14ac:dyDescent="0.35">
      <c r="A31">
        <v>140.68709999999999</v>
      </c>
      <c r="B31">
        <v>4001</v>
      </c>
      <c r="C31">
        <v>739.91250000000002</v>
      </c>
      <c r="D31">
        <v>0</v>
      </c>
      <c r="E31">
        <f>S0PRP3[[#This Row],[ Distance]]*20</f>
        <v>14798.25</v>
      </c>
      <c r="F31" cm="1">
        <f t="array" ref="F31">E31*Drag_Constant*Area*Density/2</f>
        <v>1793.8253671875</v>
      </c>
      <c r="G31">
        <f>SQRT(((Mass*g)^3)/(2*PI()*Density*Radius^2))*S0PRP3[[#This Row],[Time]]</f>
        <v>10868.442025857752</v>
      </c>
      <c r="H31">
        <f>S0PRP3[[#This Row],[E_horizon(J)]]+S0PRP3[[#This Row],[E_hover(J)]]</f>
        <v>12662.267393045251</v>
      </c>
    </row>
    <row r="32" spans="1:8" x14ac:dyDescent="0.35">
      <c r="A32">
        <v>142.72559999999999</v>
      </c>
      <c r="B32">
        <v>4049</v>
      </c>
      <c r="C32">
        <v>773.77070000000003</v>
      </c>
      <c r="D32">
        <v>0</v>
      </c>
      <c r="E32">
        <f>S0PRP3[[#This Row],[ Distance]]*20</f>
        <v>15475.414000000001</v>
      </c>
      <c r="F32" cm="1">
        <f t="array" ref="F32">E32*Drag_Constant*Area*Density/2</f>
        <v>1875.9103408124997</v>
      </c>
      <c r="G32">
        <f>SQRT(((Mass*g)^3)/(2*PI()*Density*Radius^2))*S0PRP3[[#This Row],[Time]]</f>
        <v>11025.921418564767</v>
      </c>
      <c r="H32">
        <f>S0PRP3[[#This Row],[E_horizon(J)]]+S0PRP3[[#This Row],[E_hover(J)]]</f>
        <v>12901.831759377266</v>
      </c>
    </row>
    <row r="33" spans="1:8" x14ac:dyDescent="0.35">
      <c r="A33">
        <v>144.4203</v>
      </c>
      <c r="B33">
        <v>3945</v>
      </c>
      <c r="C33">
        <v>785.85900000000004</v>
      </c>
      <c r="D33">
        <v>0</v>
      </c>
      <c r="E33">
        <f>S0PRP3[[#This Row],[ Distance]]*20</f>
        <v>15717.18</v>
      </c>
      <c r="F33" cm="1">
        <f t="array" ref="F33">E33*Drag_Constant*Area*Density/2</f>
        <v>1905.216913125</v>
      </c>
      <c r="G33">
        <f>SQRT(((Mass*g)^3)/(2*PI()*Density*Radius^2))*S0PRP3[[#This Row],[Time]]</f>
        <v>11156.841372854969</v>
      </c>
      <c r="H33">
        <f>S0PRP3[[#This Row],[E_horizon(J)]]+S0PRP3[[#This Row],[E_hover(J)]]</f>
        <v>13062.058285979969</v>
      </c>
    </row>
    <row r="34" spans="1:8" x14ac:dyDescent="0.35">
      <c r="A34">
        <v>146.15260000000001</v>
      </c>
      <c r="B34">
        <v>3940</v>
      </c>
      <c r="C34">
        <v>771.9085</v>
      </c>
      <c r="D34">
        <v>0</v>
      </c>
      <c r="E34">
        <f>S0PRP3[[#This Row],[ Distance]]*20</f>
        <v>15438.17</v>
      </c>
      <c r="F34" cm="1">
        <f t="array" ref="F34">E34*Drag_Constant*Area*Density/2</f>
        <v>1871.3956696875</v>
      </c>
      <c r="G34">
        <f>SQRT(((Mass*g)^3)/(2*PI()*Density*Radius^2))*S0PRP3[[#This Row],[Time]]</f>
        <v>11290.666024307686</v>
      </c>
      <c r="H34">
        <f>S0PRP3[[#This Row],[E_horizon(J)]]+S0PRP3[[#This Row],[E_hover(J)]]</f>
        <v>13162.061693995185</v>
      </c>
    </row>
    <row r="35" spans="1:8" x14ac:dyDescent="0.35">
      <c r="A35">
        <v>145.45910000000001</v>
      </c>
      <c r="B35">
        <v>3945</v>
      </c>
      <c r="C35">
        <v>780.51829999999995</v>
      </c>
      <c r="D35">
        <v>0</v>
      </c>
      <c r="E35">
        <f>S0PRP3[[#This Row],[ Distance]]*20</f>
        <v>15610.365999999998</v>
      </c>
      <c r="F35" cm="1">
        <f t="array" ref="F35">E35*Drag_Constant*Area*Density/2</f>
        <v>1892.2690535624997</v>
      </c>
      <c r="G35">
        <f>SQRT(((Mass*g)^3)/(2*PI()*Density*Radius^2))*S0PRP3[[#This Row],[Time]]</f>
        <v>11237.091357227817</v>
      </c>
      <c r="H35">
        <f>S0PRP3[[#This Row],[E_horizon(J)]]+S0PRP3[[#This Row],[E_hover(J)]]</f>
        <v>13129.360410790316</v>
      </c>
    </row>
    <row r="36" spans="1:8" x14ac:dyDescent="0.35">
      <c r="A36">
        <v>141.0881</v>
      </c>
      <c r="B36">
        <v>3907</v>
      </c>
      <c r="C36">
        <v>766.30669999999998</v>
      </c>
      <c r="D36">
        <v>0</v>
      </c>
      <c r="E36">
        <f>S0PRP3[[#This Row],[ Distance]]*20</f>
        <v>15326.134</v>
      </c>
      <c r="F36" cm="1">
        <f t="array" ref="F36">E36*Drag_Constant*Area*Density/2</f>
        <v>1857.8148058125</v>
      </c>
      <c r="G36">
        <f>SQRT(((Mass*g)^3)/(2*PI()*Density*Radius^2))*S0PRP3[[#This Row],[Time]]</f>
        <v>10899.420312085624</v>
      </c>
      <c r="H36">
        <f>S0PRP3[[#This Row],[E_horizon(J)]]+S0PRP3[[#This Row],[E_hover(J)]]</f>
        <v>12757.235117898124</v>
      </c>
    </row>
    <row r="37" spans="1:8" x14ac:dyDescent="0.35">
      <c r="A37">
        <v>142.0196</v>
      </c>
      <c r="B37">
        <v>4048</v>
      </c>
      <c r="C37">
        <v>767.18029999999999</v>
      </c>
      <c r="D37">
        <v>0</v>
      </c>
      <c r="E37">
        <f>S0PRP3[[#This Row],[ Distance]]*20</f>
        <v>15343.606</v>
      </c>
      <c r="F37" cm="1">
        <f t="array" ref="F37">E37*Drag_Constant*Area*Density/2</f>
        <v>1859.9327398124999</v>
      </c>
      <c r="G37">
        <f>SQRT(((Mass*g)^3)/(2*PI()*Density*Radius^2))*S0PRP3[[#This Row],[Time]]</f>
        <v>10971.381094183531</v>
      </c>
      <c r="H37">
        <f>S0PRP3[[#This Row],[E_horizon(J)]]+S0PRP3[[#This Row],[E_hover(J)]]</f>
        <v>12831.313833996031</v>
      </c>
    </row>
    <row r="38" spans="1:8" x14ac:dyDescent="0.35">
      <c r="A38">
        <v>145.1893</v>
      </c>
      <c r="B38">
        <v>4107</v>
      </c>
      <c r="C38">
        <v>739.95950000000005</v>
      </c>
      <c r="D38">
        <v>0</v>
      </c>
      <c r="E38">
        <f>S0PRP3[[#This Row],[ Distance]]*20</f>
        <v>14799.19</v>
      </c>
      <c r="F38" cm="1">
        <f t="array" ref="F38">E38*Drag_Constant*Area*Density/2</f>
        <v>1793.9393128124998</v>
      </c>
      <c r="G38">
        <f>SQRT(((Mass*g)^3)/(2*PI()*Density*Radius^2))*S0PRP3[[#This Row],[Time]]</f>
        <v>11216.2486100351</v>
      </c>
      <c r="H38">
        <f>S0PRP3[[#This Row],[E_horizon(J)]]+S0PRP3[[#This Row],[E_hover(J)]]</f>
        <v>13010.187922847599</v>
      </c>
    </row>
    <row r="39" spans="1:8" x14ac:dyDescent="0.35">
      <c r="A39">
        <v>152.28710000000001</v>
      </c>
      <c r="B39">
        <v>3999</v>
      </c>
      <c r="C39">
        <v>797.19539999999995</v>
      </c>
      <c r="D39">
        <v>0</v>
      </c>
      <c r="E39">
        <f>S0PRP3[[#This Row],[ Distance]]*20</f>
        <v>15943.907999999999</v>
      </c>
      <c r="F39" cm="1">
        <f t="array" ref="F39">E39*Drag_Constant*Area*Density/2</f>
        <v>1932.7005978749999</v>
      </c>
      <c r="G39">
        <f>SQRT(((Mass*g)^3)/(2*PI()*Density*Radius^2))*S0PRP3[[#This Row],[Time]]</f>
        <v>11764.572001526809</v>
      </c>
      <c r="H39">
        <f>S0PRP3[[#This Row],[E_horizon(J)]]+S0PRP3[[#This Row],[E_hover(J)]]</f>
        <v>13697.272599401809</v>
      </c>
    </row>
    <row r="40" spans="1:8" x14ac:dyDescent="0.35">
      <c r="A40">
        <v>142.71969999999999</v>
      </c>
      <c r="B40">
        <v>4048</v>
      </c>
      <c r="C40">
        <v>767.90390000000002</v>
      </c>
      <c r="D40">
        <v>0</v>
      </c>
      <c r="E40">
        <f>S0PRP3[[#This Row],[ Distance]]*20</f>
        <v>15358.078000000001</v>
      </c>
      <c r="F40" cm="1">
        <f t="array" ref="F40">E40*Drag_Constant*Area*Density/2</f>
        <v>1861.6870175625002</v>
      </c>
      <c r="G40">
        <f>SQRT(((Mass*g)^3)/(2*PI()*Density*Radius^2))*S0PRP3[[#This Row],[Time]]</f>
        <v>11025.465628318521</v>
      </c>
      <c r="H40">
        <f>S0PRP3[[#This Row],[E_horizon(J)]]+S0PRP3[[#This Row],[E_hover(J)]]</f>
        <v>12887.152645881022</v>
      </c>
    </row>
    <row r="41" spans="1:8" x14ac:dyDescent="0.35">
      <c r="A41">
        <v>146.8537</v>
      </c>
      <c r="B41">
        <v>4186</v>
      </c>
      <c r="C41">
        <v>801.9982</v>
      </c>
      <c r="D41">
        <v>0</v>
      </c>
      <c r="E41">
        <f>S0PRP3[[#This Row],[ Distance]]*20</f>
        <v>16039.964</v>
      </c>
      <c r="F41" cm="1">
        <f t="array" ref="F41">E41*Drag_Constant*Area*Density/2</f>
        <v>1944.3443861249998</v>
      </c>
      <c r="G41">
        <f>SQRT(((Mass*g)^3)/(2*PI()*Density*Radius^2))*S0PRP3[[#This Row],[Time]]</f>
        <v>11344.827811026787</v>
      </c>
      <c r="H41">
        <f>S0PRP3[[#This Row],[E_horizon(J)]]+S0PRP3[[#This Row],[E_hover(J)]]</f>
        <v>13289.172197151787</v>
      </c>
    </row>
    <row r="42" spans="1:8" x14ac:dyDescent="0.35">
      <c r="A42">
        <v>141.863</v>
      </c>
      <c r="B42">
        <v>4024</v>
      </c>
      <c r="C42">
        <v>767.18290000000002</v>
      </c>
      <c r="D42">
        <v>0</v>
      </c>
      <c r="E42">
        <f>S0PRP3[[#This Row],[ Distance]]*20</f>
        <v>15343.657999999999</v>
      </c>
      <c r="F42" cm="1">
        <f t="array" ref="F42">E42*Drag_Constant*Area*Density/2</f>
        <v>1859.9390431874999</v>
      </c>
      <c r="G42">
        <f>SQRT(((Mass*g)^3)/(2*PI()*Density*Radius^2))*S0PRP3[[#This Row],[Time]]</f>
        <v>10959.283339511998</v>
      </c>
      <c r="H42">
        <f>S0PRP3[[#This Row],[E_horizon(J)]]+S0PRP3[[#This Row],[E_hover(J)]]</f>
        <v>12819.222382699498</v>
      </c>
    </row>
    <row r="43" spans="1:8" x14ac:dyDescent="0.35">
      <c r="A43">
        <v>145.08770000000001</v>
      </c>
      <c r="B43">
        <v>4121</v>
      </c>
      <c r="C43">
        <v>738.65060000000005</v>
      </c>
      <c r="D43">
        <v>0</v>
      </c>
      <c r="E43">
        <f>S0PRP3[[#This Row],[ Distance]]*20</f>
        <v>14773.012000000001</v>
      </c>
      <c r="F43" cm="1">
        <f t="array" ref="F43">E43*Drag_Constant*Area*Density/2</f>
        <v>1790.7660483749999</v>
      </c>
      <c r="G43">
        <f>SQRT(((Mass*g)^3)/(2*PI()*Density*Radius^2))*S0PRP3[[#This Row],[Time]]</f>
        <v>11208.399747489586</v>
      </c>
      <c r="H43">
        <f>S0PRP3[[#This Row],[E_horizon(J)]]+S0PRP3[[#This Row],[E_hover(J)]]</f>
        <v>12999.165795864586</v>
      </c>
    </row>
    <row r="44" spans="1:8" x14ac:dyDescent="0.35">
      <c r="A44">
        <v>150.65379999999999</v>
      </c>
      <c r="B44">
        <v>4002</v>
      </c>
      <c r="C44">
        <v>815.90509999999995</v>
      </c>
      <c r="D44">
        <v>0</v>
      </c>
      <c r="E44">
        <f>S0PRP3[[#This Row],[ Distance]]*20</f>
        <v>16318.101999999999</v>
      </c>
      <c r="F44" cm="1">
        <f t="array" ref="F44">E44*Drag_Constant*Area*Density/2</f>
        <v>1978.0599268124997</v>
      </c>
      <c r="G44">
        <f>SQRT(((Mass*g)^3)/(2*PI()*Density*Radius^2))*S0PRP3[[#This Row],[Time]]</f>
        <v>11638.395355900922</v>
      </c>
      <c r="H44">
        <f>S0PRP3[[#This Row],[E_horizon(J)]]+S0PRP3[[#This Row],[E_hover(J)]]</f>
        <v>13616.455282713421</v>
      </c>
    </row>
    <row r="45" spans="1:8" x14ac:dyDescent="0.35">
      <c r="A45">
        <v>142.78649999999999</v>
      </c>
      <c r="B45">
        <v>4055</v>
      </c>
      <c r="C45">
        <v>772.67769999999996</v>
      </c>
      <c r="D45">
        <v>0</v>
      </c>
      <c r="E45">
        <f>S0PRP3[[#This Row],[ Distance]]*20</f>
        <v>15453.554</v>
      </c>
      <c r="F45" cm="1">
        <f t="array" ref="F45">E45*Drag_Constant*Area*Density/2</f>
        <v>1873.2604989374997</v>
      </c>
      <c r="G45">
        <f>SQRT(((Mass*g)^3)/(2*PI()*Density*Radius^2))*S0PRP3[[#This Row],[Time]]</f>
        <v>11030.62610093703</v>
      </c>
      <c r="H45">
        <f>S0PRP3[[#This Row],[E_horizon(J)]]+S0PRP3[[#This Row],[E_hover(J)]]</f>
        <v>12903.88659987453</v>
      </c>
    </row>
    <row r="46" spans="1:8" x14ac:dyDescent="0.35">
      <c r="A46">
        <v>145.154</v>
      </c>
      <c r="B46">
        <v>4121</v>
      </c>
      <c r="C46">
        <v>740.63480000000004</v>
      </c>
      <c r="D46">
        <v>0</v>
      </c>
      <c r="E46">
        <f>S0PRP3[[#This Row],[ Distance]]*20</f>
        <v>14812.696</v>
      </c>
      <c r="F46" cm="1">
        <f t="array" ref="F46">E46*Drag_Constant*Area*Density/2</f>
        <v>1795.5764932500001</v>
      </c>
      <c r="G46">
        <f>SQRT(((Mass*g)^3)/(2*PI()*Density*Radius^2))*S0PRP3[[#This Row],[Time]]</f>
        <v>11213.521593816038</v>
      </c>
      <c r="H46">
        <f>S0PRP3[[#This Row],[E_horizon(J)]]+S0PRP3[[#This Row],[E_hover(J)]]</f>
        <v>13009.098087066039</v>
      </c>
    </row>
    <row r="47" spans="1:8" x14ac:dyDescent="0.35">
      <c r="A47">
        <v>143.0513</v>
      </c>
      <c r="B47">
        <v>3939</v>
      </c>
      <c r="C47">
        <v>777.86350000000004</v>
      </c>
      <c r="D47">
        <v>0</v>
      </c>
      <c r="E47">
        <f>S0PRP3[[#This Row],[ Distance]]*20</f>
        <v>15557.27</v>
      </c>
      <c r="F47" cm="1">
        <f t="array" ref="F47">E47*Drag_Constant*Area*Density/2</f>
        <v>1885.8328228124999</v>
      </c>
      <c r="G47">
        <f>SQRT(((Mass*g)^3)/(2*PI()*Density*Radius^2))*S0PRP3[[#This Row],[Time]]</f>
        <v>11051.0825852092</v>
      </c>
      <c r="H47">
        <f>S0PRP3[[#This Row],[E_horizon(J)]]+S0PRP3[[#This Row],[E_hover(J)]]</f>
        <v>12936.915408021699</v>
      </c>
    </row>
    <row r="48" spans="1:8" x14ac:dyDescent="0.35">
      <c r="A48">
        <v>164.8871</v>
      </c>
      <c r="B48">
        <v>4243</v>
      </c>
      <c r="C48">
        <v>883.73889999999994</v>
      </c>
      <c r="D48">
        <v>0</v>
      </c>
      <c r="E48">
        <f>S0PRP3[[#This Row],[ Distance]]*20</f>
        <v>17674.777999999998</v>
      </c>
      <c r="F48" cm="1">
        <f t="array" ref="F48">E48*Drag_Constant*Area*Density/2</f>
        <v>2142.5144956874997</v>
      </c>
      <c r="G48">
        <f>SQRT(((Mass*g)^3)/(2*PI()*Density*Radius^2))*S0PRP3[[#This Row],[Time]]</f>
        <v>12737.954561305265</v>
      </c>
      <c r="H48">
        <f>S0PRP3[[#This Row],[E_horizon(J)]]+S0PRP3[[#This Row],[E_hover(J)]]</f>
        <v>14880.469056992764</v>
      </c>
    </row>
    <row r="49" spans="1:8" x14ac:dyDescent="0.35">
      <c r="A49">
        <v>139.05199999999999</v>
      </c>
      <c r="B49">
        <v>4010</v>
      </c>
      <c r="C49">
        <v>769.31320000000005</v>
      </c>
      <c r="D49">
        <v>0</v>
      </c>
      <c r="E49">
        <f>S0PRP3[[#This Row],[ Distance]]*20</f>
        <v>15386.264000000001</v>
      </c>
      <c r="F49" cm="1">
        <f t="array" ref="F49">E49*Drag_Constant*Area*Density/2</f>
        <v>1865.1036892499999</v>
      </c>
      <c r="G49">
        <f>SQRT(((Mass*g)^3)/(2*PI()*Density*Radius^2))*S0PRP3[[#This Row],[Time]]</f>
        <v>10742.12632558047</v>
      </c>
      <c r="H49">
        <f>S0PRP3[[#This Row],[E_horizon(J)]]+S0PRP3[[#This Row],[E_hover(J)]]</f>
        <v>12607.230014830469</v>
      </c>
    </row>
    <row r="50" spans="1:8" x14ac:dyDescent="0.35">
      <c r="A50">
        <v>142.6541</v>
      </c>
      <c r="B50">
        <v>4055</v>
      </c>
      <c r="C50">
        <v>771.27509999999995</v>
      </c>
      <c r="D50">
        <v>0</v>
      </c>
      <c r="E50">
        <f>S0PRP3[[#This Row],[ Distance]]*20</f>
        <v>15425.501999999999</v>
      </c>
      <c r="F50" cm="1">
        <f t="array" ref="F50">E50*Drag_Constant*Area*Density/2</f>
        <v>1869.8600705624997</v>
      </c>
      <c r="G50">
        <f>SQRT(((Mass*g)^3)/(2*PI()*Density*Radius^2))*S0PRP3[[#This Row],[Time]]</f>
        <v>11020.397858800945</v>
      </c>
      <c r="H50">
        <f>S0PRP3[[#This Row],[E_horizon(J)]]+S0PRP3[[#This Row],[E_hover(J)]]</f>
        <v>12890.257929363444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DDC-97ED-45FC-852F-90BDBC658A71}">
  <dimension ref="A1:O50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  <col min="13" max="13" width="6.81640625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134.8237</v>
      </c>
      <c r="B2">
        <v>3860</v>
      </c>
      <c r="C2">
        <v>737.71389999999997</v>
      </c>
      <c r="D2">
        <v>0</v>
      </c>
      <c r="E2">
        <f>S0PRP2[[#This Row],[ Distance]]*20</f>
        <v>14754.277999999998</v>
      </c>
      <c r="F2" cm="1">
        <f t="array" ref="F2">E2*Drag_Constant*Area*Density/2</f>
        <v>1788.4951363124997</v>
      </c>
      <c r="G2">
        <f>SQRT(((Mass*g)^3)/(2*PI()*Density*Radius^2))*S0PRP2[[#This Row],[Time]]</f>
        <v>10415.479224190689</v>
      </c>
      <c r="H2">
        <f>S0PRP2[[#This Row],[E_horizon(J)]]+S0PRP2[[#This Row],[E_hover(J)]]</f>
        <v>12203.974360503189</v>
      </c>
      <c r="I2">
        <f>AVERAGE(S0PRP2[Time])</f>
        <v>141.35919183673465</v>
      </c>
      <c r="J2">
        <f>AVERAGE(S0PRP2[[ NumMsgSent]])</f>
        <v>3977.3265306122448</v>
      </c>
      <c r="K2">
        <f>AVERAGE(S0PRP2[[ Distance]])</f>
        <v>762.78361020408136</v>
      </c>
      <c r="L2">
        <f>AVERAGE(S0PRP2[[ NodesLost]])</f>
        <v>0</v>
      </c>
      <c r="M2">
        <f>COUNTIF(S0PRP2[[ NodesLost]],"&gt;0")/COUNT(S0PRP2[[ NodesLost]])</f>
        <v>0</v>
      </c>
      <c r="N2">
        <f>AVERAGE(S0PRP2[E_horizon(J)])</f>
        <v>1849.2735149885209</v>
      </c>
      <c r="O2">
        <f>AVERAGE(S0PRP2[E_hover(J)])</f>
        <v>10920.362857004346</v>
      </c>
    </row>
    <row r="3" spans="1:15" x14ac:dyDescent="0.35">
      <c r="A3">
        <v>125.2055</v>
      </c>
      <c r="B3">
        <v>3952</v>
      </c>
      <c r="C3">
        <v>705.74019999999996</v>
      </c>
      <c r="D3">
        <v>0</v>
      </c>
      <c r="E3">
        <f>S0PRP2[[#This Row],[ Distance]]*20</f>
        <v>14114.804</v>
      </c>
      <c r="F3" cm="1">
        <f t="array" ref="F3">E3*Drag_Constant*Area*Density/2</f>
        <v>1710.9788973749999</v>
      </c>
      <c r="G3">
        <f>SQRT(((Mass*g)^3)/(2*PI()*Density*Radius^2))*S0PRP2[[#This Row],[Time]]</f>
        <v>9672.4484197096463</v>
      </c>
      <c r="H3">
        <f>S0PRP2[[#This Row],[E_horizon(J)]]+S0PRP2[[#This Row],[E_hover(J)]]</f>
        <v>11383.427317084646</v>
      </c>
    </row>
    <row r="4" spans="1:15" x14ac:dyDescent="0.35">
      <c r="A4">
        <v>143.28700000000001</v>
      </c>
      <c r="B4">
        <v>3939</v>
      </c>
      <c r="C4">
        <v>770.17700000000002</v>
      </c>
      <c r="D4">
        <v>0</v>
      </c>
      <c r="E4">
        <f>S0PRP2[[#This Row],[ Distance]]*20</f>
        <v>15403.54</v>
      </c>
      <c r="F4" cm="1">
        <f t="array" ref="F4">E4*Drag_Constant*Area*Density/2</f>
        <v>1867.1978643750001</v>
      </c>
      <c r="G4">
        <f>SQRT(((Mass*g)^3)/(2*PI()*Density*Radius^2))*S0PRP2[[#This Row],[Time]]</f>
        <v>11069.291019283786</v>
      </c>
      <c r="H4">
        <f>S0PRP2[[#This Row],[E_horizon(J)]]+S0PRP2[[#This Row],[E_hover(J)]]</f>
        <v>12936.488883658787</v>
      </c>
    </row>
    <row r="5" spans="1:15" x14ac:dyDescent="0.35">
      <c r="A5">
        <v>145.38669999999999</v>
      </c>
      <c r="B5">
        <v>3945</v>
      </c>
      <c r="C5">
        <v>779.52610000000004</v>
      </c>
      <c r="D5">
        <v>0</v>
      </c>
      <c r="E5">
        <f>S0PRP2[[#This Row],[ Distance]]*20</f>
        <v>15590.522000000001</v>
      </c>
      <c r="F5" cm="1">
        <f t="array" ref="F5">E5*Drag_Constant*Area*Density/2</f>
        <v>1889.8635886875002</v>
      </c>
      <c r="G5">
        <f>SQRT(((Mass*g)^3)/(2*PI()*Density*Radius^2))*S0PRP2[[#This Row],[Time]]</f>
        <v>11231.498270138294</v>
      </c>
      <c r="H5">
        <f>S0PRP2[[#This Row],[E_horizon(J)]]+S0PRP2[[#This Row],[E_hover(J)]]</f>
        <v>13121.361858825794</v>
      </c>
    </row>
    <row r="6" spans="1:15" x14ac:dyDescent="0.35">
      <c r="A6">
        <v>142.6867</v>
      </c>
      <c r="B6">
        <v>4055</v>
      </c>
      <c r="C6">
        <v>772.28970000000004</v>
      </c>
      <c r="D6">
        <v>0</v>
      </c>
      <c r="E6">
        <f>S0PRP2[[#This Row],[ Distance]]*20</f>
        <v>15445.794000000002</v>
      </c>
      <c r="F6" cm="1">
        <f t="array" ref="F6">E6*Drag_Constant*Area*Density/2</f>
        <v>1872.3198414375001</v>
      </c>
      <c r="G6">
        <f>SQRT(((Mass*g)^3)/(2*PI()*Density*Radius^2))*S0PRP2[[#This Row],[Time]]</f>
        <v>11022.916293042912</v>
      </c>
      <c r="H6">
        <f>S0PRP2[[#This Row],[E_horizon(J)]]+S0PRP2[[#This Row],[E_hover(J)]]</f>
        <v>12895.236134480412</v>
      </c>
    </row>
    <row r="7" spans="1:15" x14ac:dyDescent="0.35">
      <c r="A7">
        <v>122.92019999999999</v>
      </c>
      <c r="B7">
        <v>3735</v>
      </c>
      <c r="C7">
        <v>688.35360000000003</v>
      </c>
      <c r="D7">
        <v>0</v>
      </c>
      <c r="E7">
        <f>S0PRP2[[#This Row],[ Distance]]*20</f>
        <v>13767.072</v>
      </c>
      <c r="F7" cm="1">
        <f t="array" ref="F7">E7*Drag_Constant*Area*Density/2</f>
        <v>1668.8272589999999</v>
      </c>
      <c r="G7">
        <f>SQRT(((Mass*g)^3)/(2*PI()*Density*Radius^2))*S0PRP2[[#This Row],[Time]]</f>
        <v>9495.9030892444298</v>
      </c>
      <c r="H7">
        <f>S0PRP2[[#This Row],[E_horizon(J)]]+S0PRP2[[#This Row],[E_hover(J)]]</f>
        <v>11164.730348244429</v>
      </c>
    </row>
    <row r="8" spans="1:15" x14ac:dyDescent="0.35">
      <c r="A8">
        <v>142.8194</v>
      </c>
      <c r="B8">
        <v>4055</v>
      </c>
      <c r="C8">
        <v>773.24509999999998</v>
      </c>
      <c r="D8">
        <v>0</v>
      </c>
      <c r="E8">
        <f>S0PRP2[[#This Row],[ Distance]]*20</f>
        <v>15464.902</v>
      </c>
      <c r="F8" cm="1">
        <f t="array" ref="F8">E8*Drag_Constant*Area*Density/2</f>
        <v>1874.6360893124997</v>
      </c>
      <c r="G8">
        <f>SQRT(((Mass*g)^3)/(2*PI()*Density*Radius^2))*S0PRP2[[#This Row],[Time]]</f>
        <v>11033.167710954231</v>
      </c>
      <c r="H8">
        <f>S0PRP2[[#This Row],[E_horizon(J)]]+S0PRP2[[#This Row],[E_hover(J)]]</f>
        <v>12907.803800266731</v>
      </c>
    </row>
    <row r="9" spans="1:15" x14ac:dyDescent="0.35">
      <c r="A9">
        <v>142.75190000000001</v>
      </c>
      <c r="B9">
        <v>4104</v>
      </c>
      <c r="C9">
        <v>763.51559999999995</v>
      </c>
      <c r="D9">
        <v>0</v>
      </c>
      <c r="E9">
        <f>S0PRP2[[#This Row],[ Distance]]*20</f>
        <v>15270.311999999998</v>
      </c>
      <c r="F9" cm="1">
        <f t="array" ref="F9">E9*Drag_Constant*Area*Density/2</f>
        <v>1851.0481327499997</v>
      </c>
      <c r="G9">
        <f>SQRT(((Mass*g)^3)/(2*PI()*Density*Radius^2))*S0PRP2[[#This Row],[Time]]</f>
        <v>11027.953161526846</v>
      </c>
      <c r="H9">
        <f>S0PRP2[[#This Row],[E_horizon(J)]]+S0PRP2[[#This Row],[E_hover(J)]]</f>
        <v>12879.001294276846</v>
      </c>
    </row>
    <row r="10" spans="1:15" x14ac:dyDescent="0.35">
      <c r="A10">
        <v>145.35480000000001</v>
      </c>
      <c r="B10">
        <v>3945</v>
      </c>
      <c r="C10">
        <v>778.92899999999997</v>
      </c>
      <c r="D10">
        <v>0</v>
      </c>
      <c r="E10">
        <f>S0PRP2[[#This Row],[ Distance]]*20</f>
        <v>15578.58</v>
      </c>
      <c r="F10" cm="1">
        <f t="array" ref="F10">E10*Drag_Constant*Area*Density/2</f>
        <v>1888.4159943749999</v>
      </c>
      <c r="G10">
        <f>SQRT(((Mass*g)^3)/(2*PI()*Density*Radius^2))*S0PRP2[[#This Row],[Time]]</f>
        <v>11229.033912705207</v>
      </c>
      <c r="H10">
        <f>S0PRP2[[#This Row],[E_horizon(J)]]+S0PRP2[[#This Row],[E_hover(J)]]</f>
        <v>13117.449907080207</v>
      </c>
    </row>
    <row r="11" spans="1:15" x14ac:dyDescent="0.35">
      <c r="A11">
        <v>145.5856</v>
      </c>
      <c r="B11">
        <v>3943</v>
      </c>
      <c r="C11">
        <v>780.90560000000005</v>
      </c>
      <c r="D11">
        <v>0</v>
      </c>
      <c r="E11">
        <f>S0PRP2[[#This Row],[ Distance]]*20</f>
        <v>15618.112000000001</v>
      </c>
      <c r="F11" cm="1">
        <f t="array" ref="F11">E11*Drag_Constant*Area*Density/2</f>
        <v>1893.208014</v>
      </c>
      <c r="G11">
        <f>SQRT(((Mass*g)^3)/(2*PI()*Density*Radius^2))*S0PRP2[[#This Row],[Time]]</f>
        <v>11246.863809117656</v>
      </c>
      <c r="H11">
        <f>S0PRP2[[#This Row],[E_horizon(J)]]+S0PRP2[[#This Row],[E_hover(J)]]</f>
        <v>13140.071823117656</v>
      </c>
    </row>
    <row r="12" spans="1:15" x14ac:dyDescent="0.35">
      <c r="A12">
        <v>147.35210000000001</v>
      </c>
      <c r="B12">
        <v>3970</v>
      </c>
      <c r="C12">
        <v>774.48500000000001</v>
      </c>
      <c r="D12">
        <v>0</v>
      </c>
      <c r="E12">
        <f>S0PRP2[[#This Row],[ Distance]]*20</f>
        <v>15489.7</v>
      </c>
      <c r="F12" cm="1">
        <f t="array" ref="F12">E12*Drag_Constant*Area*Density/2</f>
        <v>1877.6420718750001</v>
      </c>
      <c r="G12">
        <f>SQRT(((Mass*g)^3)/(2*PI()*Density*Radius^2))*S0PRP2[[#This Row],[Time]]</f>
        <v>11383.330498946914</v>
      </c>
      <c r="H12">
        <f>S0PRP2[[#This Row],[E_horizon(J)]]+S0PRP2[[#This Row],[E_hover(J)]]</f>
        <v>13260.972570821914</v>
      </c>
    </row>
    <row r="13" spans="1:15" x14ac:dyDescent="0.35">
      <c r="A13">
        <v>138.55070000000001</v>
      </c>
      <c r="B13">
        <v>3939</v>
      </c>
      <c r="C13">
        <v>715.14239999999995</v>
      </c>
      <c r="D13">
        <v>0</v>
      </c>
      <c r="E13">
        <f>S0PRP2[[#This Row],[ Distance]]*20</f>
        <v>14302.847999999998</v>
      </c>
      <c r="F13" cm="1">
        <f t="array" ref="F13">E13*Drag_Constant*Area*Density/2</f>
        <v>1733.7733559999997</v>
      </c>
      <c r="G13">
        <f>SQRT(((Mass*g)^3)/(2*PI()*Density*Radius^2))*S0PRP2[[#This Row],[Time]]</f>
        <v>10703.399605166429</v>
      </c>
      <c r="H13">
        <f>S0PRP2[[#This Row],[E_horizon(J)]]+S0PRP2[[#This Row],[E_hover(J)]]</f>
        <v>12437.172961166429</v>
      </c>
    </row>
    <row r="14" spans="1:15" x14ac:dyDescent="0.35">
      <c r="A14">
        <v>134.387</v>
      </c>
      <c r="B14">
        <v>3959</v>
      </c>
      <c r="C14">
        <v>735.96029999999996</v>
      </c>
      <c r="D14">
        <v>0</v>
      </c>
      <c r="E14">
        <f>S0PRP2[[#This Row],[ Distance]]*20</f>
        <v>14719.205999999998</v>
      </c>
      <c r="F14" cm="1">
        <f t="array" ref="F14">E14*Drag_Constant*Area*Density/2</f>
        <v>1784.2437523124997</v>
      </c>
      <c r="G14">
        <f>SQRT(((Mass*g)^3)/(2*PI()*Density*Radius^2))*S0PRP2[[#This Row],[Time]]</f>
        <v>10381.743020710113</v>
      </c>
      <c r="H14">
        <f>S0PRP2[[#This Row],[E_horizon(J)]]+S0PRP2[[#This Row],[E_hover(J)]]</f>
        <v>12165.986773022612</v>
      </c>
    </row>
    <row r="15" spans="1:15" x14ac:dyDescent="0.35">
      <c r="A15">
        <v>138.12100000000001</v>
      </c>
      <c r="B15">
        <v>3881</v>
      </c>
      <c r="C15">
        <v>798.96669999999995</v>
      </c>
      <c r="D15">
        <v>0</v>
      </c>
      <c r="E15">
        <f>S0PRP2[[#This Row],[ Distance]]*20</f>
        <v>15979.333999999999</v>
      </c>
      <c r="F15" cm="1">
        <f t="array" ref="F15">E15*Drag_Constant*Area*Density/2</f>
        <v>1936.9948933124997</v>
      </c>
      <c r="G15">
        <f>SQRT(((Mass*g)^3)/(2*PI()*Density*Radius^2))*S0PRP2[[#This Row],[Time]]</f>
        <v>10670.204169774619</v>
      </c>
      <c r="H15">
        <f>S0PRP2[[#This Row],[E_horizon(J)]]+S0PRP2[[#This Row],[E_hover(J)]]</f>
        <v>12607.199063087119</v>
      </c>
    </row>
    <row r="16" spans="1:15" x14ac:dyDescent="0.35">
      <c r="A16">
        <v>141.9537</v>
      </c>
      <c r="B16">
        <v>4048</v>
      </c>
      <c r="C16">
        <v>766.42859999999996</v>
      </c>
      <c r="D16">
        <v>0</v>
      </c>
      <c r="E16">
        <f>S0PRP2[[#This Row],[ Distance]]*20</f>
        <v>15328.572</v>
      </c>
      <c r="F16" cm="1">
        <f t="array" ref="F16">E16*Drag_Constant*Area*Density/2</f>
        <v>1858.1103371249999</v>
      </c>
      <c r="G16">
        <f>SQRT(((Mass*g)^3)/(2*PI()*Density*Radius^2))*S0PRP2[[#This Row],[Time]]</f>
        <v>10966.290148890721</v>
      </c>
      <c r="H16">
        <f>S0PRP2[[#This Row],[E_horizon(J)]]+S0PRP2[[#This Row],[E_hover(J)]]</f>
        <v>12824.40048601572</v>
      </c>
    </row>
    <row r="17" spans="1:8" x14ac:dyDescent="0.35">
      <c r="A17">
        <v>145.61859999999999</v>
      </c>
      <c r="B17">
        <v>3955</v>
      </c>
      <c r="C17">
        <v>784.60109999999997</v>
      </c>
      <c r="D17">
        <v>0</v>
      </c>
      <c r="E17">
        <f>S0PRP2[[#This Row],[ Distance]]*20</f>
        <v>15692.021999999999</v>
      </c>
      <c r="F17" cm="1">
        <f t="array" ref="F17">E17*Drag_Constant*Area*Density/2</f>
        <v>1902.1672918124998</v>
      </c>
      <c r="G17">
        <f>SQRT(((Mass*g)^3)/(2*PI()*Density*Radius^2))*S0PRP2[[#This Row],[Time]]</f>
        <v>11249.413144393266</v>
      </c>
      <c r="H17">
        <f>S0PRP2[[#This Row],[E_horizon(J)]]+S0PRP2[[#This Row],[E_hover(J)]]</f>
        <v>13151.580436205766</v>
      </c>
    </row>
    <row r="18" spans="1:8" x14ac:dyDescent="0.35">
      <c r="A18">
        <v>130.05279999999999</v>
      </c>
      <c r="B18">
        <v>3833</v>
      </c>
      <c r="C18">
        <v>704.3854</v>
      </c>
      <c r="D18">
        <v>0</v>
      </c>
      <c r="E18">
        <f>S0PRP2[[#This Row],[ Distance]]*20</f>
        <v>14087.708000000001</v>
      </c>
      <c r="F18" cm="1">
        <f t="array" ref="F18">E18*Drag_Constant*Area*Density/2</f>
        <v>1707.694354125</v>
      </c>
      <c r="G18">
        <f>SQRT(((Mass*g)^3)/(2*PI()*Density*Radius^2))*S0PRP2[[#This Row],[Time]]</f>
        <v>10046.914870663146</v>
      </c>
      <c r="H18">
        <f>S0PRP2[[#This Row],[E_horizon(J)]]+S0PRP2[[#This Row],[E_hover(J)]]</f>
        <v>11754.609224788146</v>
      </c>
    </row>
    <row r="19" spans="1:8" x14ac:dyDescent="0.35">
      <c r="A19">
        <v>157.55369999999999</v>
      </c>
      <c r="B19">
        <v>4040</v>
      </c>
      <c r="C19">
        <v>839.00490000000002</v>
      </c>
      <c r="D19">
        <v>0</v>
      </c>
      <c r="E19">
        <f>S0PRP2[[#This Row],[ Distance]]*20</f>
        <v>16780.098000000002</v>
      </c>
      <c r="F19" cm="1">
        <f t="array" ref="F19">E19*Drag_Constant*Area*Density/2</f>
        <v>2034.0625044375001</v>
      </c>
      <c r="G19">
        <f>SQRT(((Mass*g)^3)/(2*PI()*Density*Radius^2))*S0PRP2[[#This Row],[Time]]</f>
        <v>12171.430460997381</v>
      </c>
      <c r="H19">
        <f>S0PRP2[[#This Row],[E_horizon(J)]]+S0PRP2[[#This Row],[E_hover(J)]]</f>
        <v>14205.492965434882</v>
      </c>
    </row>
    <row r="20" spans="1:8" x14ac:dyDescent="0.35">
      <c r="A20">
        <v>146.4186</v>
      </c>
      <c r="B20">
        <v>3940</v>
      </c>
      <c r="C20">
        <v>772.92650000000003</v>
      </c>
      <c r="D20">
        <v>0</v>
      </c>
      <c r="E20">
        <f>S0PRP2[[#This Row],[ Distance]]*20</f>
        <v>15458.53</v>
      </c>
      <c r="F20" cm="1">
        <f t="array" ref="F20">E20*Drag_Constant*Area*Density/2</f>
        <v>1873.8636834375</v>
      </c>
      <c r="G20">
        <f>SQRT(((Mass*g)^3)/(2*PI()*Density*Radius^2))*S0PRP2[[#This Row],[Time]]</f>
        <v>11311.215211680787</v>
      </c>
      <c r="H20">
        <f>S0PRP2[[#This Row],[E_horizon(J)]]+S0PRP2[[#This Row],[E_hover(J)]]</f>
        <v>13185.078895118286</v>
      </c>
    </row>
    <row r="21" spans="1:8" x14ac:dyDescent="0.35">
      <c r="A21">
        <v>141.4196</v>
      </c>
      <c r="B21">
        <v>4033</v>
      </c>
      <c r="C21">
        <v>749.59289999999999</v>
      </c>
      <c r="D21">
        <v>0</v>
      </c>
      <c r="E21">
        <f>S0PRP2[[#This Row],[ Distance]]*20</f>
        <v>14991.858</v>
      </c>
      <c r="F21" cm="1">
        <f t="array" ref="F21">E21*Drag_Constant*Area*Density/2</f>
        <v>1817.2942869374999</v>
      </c>
      <c r="G21">
        <f>SQRT(((Mass*g)^3)/(2*PI()*Density*Radius^2))*S0PRP2[[#This Row],[Time]]</f>
        <v>10925.02954371789</v>
      </c>
      <c r="H21">
        <f>S0PRP2[[#This Row],[E_horizon(J)]]+S0PRP2[[#This Row],[E_hover(J)]]</f>
        <v>12742.32383065539</v>
      </c>
    </row>
    <row r="22" spans="1:8" x14ac:dyDescent="0.35">
      <c r="A22">
        <v>135.3203</v>
      </c>
      <c r="B22">
        <v>4067</v>
      </c>
      <c r="C22">
        <v>725.95860000000005</v>
      </c>
      <c r="D22">
        <v>0</v>
      </c>
      <c r="E22">
        <f>S0PRP2[[#This Row],[ Distance]]*20</f>
        <v>14519.172</v>
      </c>
      <c r="F22" cm="1">
        <f t="array" ref="F22">E22*Drag_Constant*Area*Density/2</f>
        <v>1759.995880875</v>
      </c>
      <c r="G22">
        <f>SQRT(((Mass*g)^3)/(2*PI()*Density*Radius^2))*S0PRP2[[#This Row],[Time]]</f>
        <v>10453.842857459418</v>
      </c>
      <c r="H22">
        <f>S0PRP2[[#This Row],[E_horizon(J)]]+S0PRP2[[#This Row],[E_hover(J)]]</f>
        <v>12213.838738334418</v>
      </c>
    </row>
    <row r="23" spans="1:8" x14ac:dyDescent="0.35">
      <c r="A23">
        <v>143.15430000000001</v>
      </c>
      <c r="B23">
        <v>3940</v>
      </c>
      <c r="C23">
        <v>769.59090000000003</v>
      </c>
      <c r="D23">
        <v>0</v>
      </c>
      <c r="E23">
        <f>S0PRP2[[#This Row],[ Distance]]*20</f>
        <v>15391.818000000001</v>
      </c>
      <c r="F23" cm="1">
        <f t="array" ref="F23">E23*Drag_Constant*Area*Density/2</f>
        <v>1865.7769381875</v>
      </c>
      <c r="G23">
        <f>SQRT(((Mass*g)^3)/(2*PI()*Density*Radius^2))*S0PRP2[[#This Row],[Time]]</f>
        <v>11059.039601372469</v>
      </c>
      <c r="H23">
        <f>S0PRP2[[#This Row],[E_horizon(J)]]+S0PRP2[[#This Row],[E_hover(J)]]</f>
        <v>12924.81653955997</v>
      </c>
    </row>
    <row r="24" spans="1:8" x14ac:dyDescent="0.35">
      <c r="A24">
        <v>133.95310000000001</v>
      </c>
      <c r="B24">
        <v>3962</v>
      </c>
      <c r="C24">
        <v>725.0652</v>
      </c>
      <c r="D24">
        <v>0</v>
      </c>
      <c r="E24">
        <f>S0PRP2[[#This Row],[ Distance]]*20</f>
        <v>14501.304</v>
      </c>
      <c r="F24" cm="1">
        <f t="array" ref="F24">E24*Drag_Constant*Area*Density/2</f>
        <v>1757.8299442499997</v>
      </c>
      <c r="G24">
        <f>SQRT(((Mass*g)^3)/(2*PI()*Density*Radius^2))*S0PRP2[[#This Row],[Time]]</f>
        <v>10348.223124465045</v>
      </c>
      <c r="H24">
        <f>S0PRP2[[#This Row],[E_horizon(J)]]+S0PRP2[[#This Row],[E_hover(J)]]</f>
        <v>12106.053068715044</v>
      </c>
    </row>
    <row r="25" spans="1:8" x14ac:dyDescent="0.35">
      <c r="A25">
        <v>145.45259999999999</v>
      </c>
      <c r="B25">
        <v>3945</v>
      </c>
      <c r="C25">
        <v>779.70259999999996</v>
      </c>
      <c r="D25">
        <v>0</v>
      </c>
      <c r="E25">
        <f>S0PRP2[[#This Row],[ Distance]]*20</f>
        <v>15594.052</v>
      </c>
      <c r="F25" cm="1">
        <f t="array" ref="F25">E25*Drag_Constant*Area*Density/2</f>
        <v>1890.2914908749999</v>
      </c>
      <c r="G25">
        <f>SQRT(((Mass*g)^3)/(2*PI()*Density*Radius^2))*S0PRP2[[#This Row],[Time]]</f>
        <v>11236.589215431104</v>
      </c>
      <c r="H25">
        <f>S0PRP2[[#This Row],[E_horizon(J)]]+S0PRP2[[#This Row],[E_hover(J)]]</f>
        <v>13126.880706306103</v>
      </c>
    </row>
    <row r="26" spans="1:8" x14ac:dyDescent="0.35">
      <c r="A26">
        <v>141.48679999999999</v>
      </c>
      <c r="B26">
        <v>4033</v>
      </c>
      <c r="C26">
        <v>764.5883</v>
      </c>
      <c r="D26">
        <v>0</v>
      </c>
      <c r="E26">
        <f>S0PRP2[[#This Row],[ Distance]]*20</f>
        <v>15291.766</v>
      </c>
      <c r="F26" cm="1">
        <f t="array" ref="F26">E26*Drag_Constant*Area*Density/2</f>
        <v>1853.6487598124997</v>
      </c>
      <c r="G26">
        <f>SQRT(((Mass*g)^3)/(2*PI()*Density*Radius^2))*S0PRP2[[#This Row],[Time]]</f>
        <v>10930.220917370041</v>
      </c>
      <c r="H26">
        <f>S0PRP2[[#This Row],[E_horizon(J)]]+S0PRP2[[#This Row],[E_hover(J)]]</f>
        <v>12783.869677182542</v>
      </c>
    </row>
    <row r="27" spans="1:8" x14ac:dyDescent="0.35">
      <c r="A27">
        <v>143.08770000000001</v>
      </c>
      <c r="B27">
        <v>3952</v>
      </c>
      <c r="C27">
        <v>798.05470000000003</v>
      </c>
      <c r="D27">
        <v>0</v>
      </c>
      <c r="E27">
        <f>S0PRP2[[#This Row],[ Distance]]*20</f>
        <v>15961.094000000001</v>
      </c>
      <c r="F27" cm="1">
        <f t="array" ref="F27">E27*Drag_Constant*Area*Density/2</f>
        <v>1934.7838633125002</v>
      </c>
      <c r="G27">
        <f>SQRT(((Mass*g)^3)/(2*PI()*Density*Radius^2))*S0PRP2[[#This Row],[Time]]</f>
        <v>11053.894579270784</v>
      </c>
      <c r="H27">
        <f>S0PRP2[[#This Row],[E_horizon(J)]]+S0PRP2[[#This Row],[E_hover(J)]]</f>
        <v>12988.678442583285</v>
      </c>
    </row>
    <row r="28" spans="1:8" x14ac:dyDescent="0.35">
      <c r="A28">
        <v>142.9563</v>
      </c>
      <c r="B28">
        <v>3934</v>
      </c>
      <c r="C28">
        <v>764.63120000000004</v>
      </c>
      <c r="D28">
        <v>0</v>
      </c>
      <c r="E28">
        <f>S0PRP2[[#This Row],[ Distance]]*20</f>
        <v>15292.624</v>
      </c>
      <c r="F28" cm="1">
        <f t="array" ref="F28">E28*Drag_Constant*Area*Density/2</f>
        <v>1853.7527655000001</v>
      </c>
      <c r="G28">
        <f>SQRT(((Mass*g)^3)/(2*PI()*Density*Radius^2))*S0PRP2[[#This Row],[Time]]</f>
        <v>11043.743589718806</v>
      </c>
      <c r="H28">
        <f>S0PRP2[[#This Row],[E_horizon(J)]]+S0PRP2[[#This Row],[E_hover(J)]]</f>
        <v>12897.496355218806</v>
      </c>
    </row>
    <row r="29" spans="1:8" x14ac:dyDescent="0.35">
      <c r="A29">
        <v>139.8544</v>
      </c>
      <c r="B29">
        <v>3970</v>
      </c>
      <c r="C29">
        <v>780.93899999999996</v>
      </c>
      <c r="D29">
        <v>0</v>
      </c>
      <c r="E29">
        <f>S0PRP2[[#This Row],[ Distance]]*20</f>
        <v>15618.779999999999</v>
      </c>
      <c r="F29" cm="1">
        <f t="array" ref="F29">E29*Drag_Constant*Area*Density/2</f>
        <v>1893.2889881249998</v>
      </c>
      <c r="G29">
        <f>SQRT(((Mass*g)^3)/(2*PI()*Density*Radius^2))*S0PRP2[[#This Row],[Time]]</f>
        <v>10804.113799069855</v>
      </c>
      <c r="H29">
        <f>S0PRP2[[#This Row],[E_horizon(J)]]+S0PRP2[[#This Row],[E_hover(J)]]</f>
        <v>12697.402787194855</v>
      </c>
    </row>
    <row r="30" spans="1:8" x14ac:dyDescent="0.35">
      <c r="A30">
        <v>141.49700000000001</v>
      </c>
      <c r="B30">
        <v>3917</v>
      </c>
      <c r="C30">
        <v>768.27480000000003</v>
      </c>
      <c r="D30">
        <v>0</v>
      </c>
      <c r="E30">
        <f>S0PRP2[[#This Row],[ Distance]]*20</f>
        <v>15365.496000000001</v>
      </c>
      <c r="F30" cm="1">
        <f t="array" ref="F30">E30*Drag_Constant*Area*Density/2</f>
        <v>1862.58621825</v>
      </c>
      <c r="G30">
        <f>SQRT(((Mass*g)^3)/(2*PI()*Density*Radius^2))*S0PRP2[[#This Row],[Time]]</f>
        <v>10931.008893727958</v>
      </c>
      <c r="H30">
        <f>S0PRP2[[#This Row],[E_horizon(J)]]+S0PRP2[[#This Row],[E_hover(J)]]</f>
        <v>12793.595111977958</v>
      </c>
    </row>
    <row r="31" spans="1:8" x14ac:dyDescent="0.35">
      <c r="A31">
        <v>148.42080000000001</v>
      </c>
      <c r="B31">
        <v>4063</v>
      </c>
      <c r="C31">
        <v>806.48569999999995</v>
      </c>
      <c r="D31">
        <v>0</v>
      </c>
      <c r="E31">
        <f>S0PRP2[[#This Row],[ Distance]]*20</f>
        <v>16129.714</v>
      </c>
      <c r="F31" cm="1">
        <f t="array" ref="F31">E31*Drag_Constant*Area*Density/2</f>
        <v>1955.2237689374999</v>
      </c>
      <c r="G31">
        <f>SQRT(((Mass*g)^3)/(2*PI()*Density*Radius^2))*S0PRP2[[#This Row],[Time]]</f>
        <v>11465.890335584631</v>
      </c>
      <c r="H31">
        <f>S0PRP2[[#This Row],[E_horizon(J)]]+S0PRP2[[#This Row],[E_hover(J)]]</f>
        <v>13421.11410452213</v>
      </c>
    </row>
    <row r="32" spans="1:8" x14ac:dyDescent="0.35">
      <c r="A32">
        <v>154.4059</v>
      </c>
      <c r="B32">
        <v>4048</v>
      </c>
      <c r="C32">
        <v>863.46010000000001</v>
      </c>
      <c r="D32">
        <v>0</v>
      </c>
      <c r="E32">
        <f>S0PRP2[[#This Row],[ Distance]]*20</f>
        <v>17269.202000000001</v>
      </c>
      <c r="F32" cm="1">
        <f t="array" ref="F32">E32*Drag_Constant*Area*Density/2</f>
        <v>2093.3510799374999</v>
      </c>
      <c r="G32">
        <f>SQRT(((Mass*g)^3)/(2*PI()*Density*Radius^2))*S0PRP2[[#This Row],[Time]]</f>
        <v>11928.254776737807</v>
      </c>
      <c r="H32">
        <f>S0PRP2[[#This Row],[E_horizon(J)]]+S0PRP2[[#This Row],[E_hover(J)]]</f>
        <v>14021.605856675307</v>
      </c>
    </row>
    <row r="33" spans="1:8" x14ac:dyDescent="0.35">
      <c r="A33">
        <v>127.05329999999999</v>
      </c>
      <c r="B33">
        <v>3828</v>
      </c>
      <c r="C33">
        <v>693.44579999999996</v>
      </c>
      <c r="D33">
        <v>0</v>
      </c>
      <c r="E33">
        <f>S0PRP2[[#This Row],[ Distance]]*20</f>
        <v>13868.915999999999</v>
      </c>
      <c r="F33" cm="1">
        <f t="array" ref="F33">E33*Drag_Constant*Area*Density/2</f>
        <v>1681.172661375</v>
      </c>
      <c r="G33">
        <f>SQRT(((Mass*g)^3)/(2*PI()*Density*Radius^2))*S0PRP2[[#This Row],[Time]]</f>
        <v>9815.1957446269971</v>
      </c>
      <c r="H33">
        <f>S0PRP2[[#This Row],[E_horizon(J)]]+S0PRP2[[#This Row],[E_hover(J)]]</f>
        <v>11496.368406001997</v>
      </c>
    </row>
    <row r="34" spans="1:8" x14ac:dyDescent="0.35">
      <c r="A34">
        <v>145.28710000000001</v>
      </c>
      <c r="B34">
        <v>3959</v>
      </c>
      <c r="C34">
        <v>810.55880000000002</v>
      </c>
      <c r="D34">
        <v>0</v>
      </c>
      <c r="E34">
        <f>S0PRP2[[#This Row],[ Distance]]*20</f>
        <v>16211.175999999999</v>
      </c>
      <c r="F34" cm="1">
        <f t="array" ref="F34">E34*Drag_Constant*Area*Density/2</f>
        <v>1965.0984907499999</v>
      </c>
      <c r="G34">
        <f>SQRT(((Mass*g)^3)/(2*PI()*Density*Radius^2))*S0PRP2[[#This Row],[Time]]</f>
        <v>11223.803912761001</v>
      </c>
      <c r="H34">
        <f>S0PRP2[[#This Row],[E_horizon(J)]]+S0PRP2[[#This Row],[E_hover(J)]]</f>
        <v>13188.902403511001</v>
      </c>
    </row>
    <row r="35" spans="1:8" x14ac:dyDescent="0.35">
      <c r="A35">
        <v>150.98500000000001</v>
      </c>
      <c r="B35">
        <v>3998</v>
      </c>
      <c r="C35">
        <v>843.9194</v>
      </c>
      <c r="D35">
        <v>0</v>
      </c>
      <c r="E35">
        <f>S0PRP2[[#This Row],[ Distance]]*20</f>
        <v>16878.387999999999</v>
      </c>
      <c r="F35" cm="1">
        <f t="array" ref="F35">E35*Drag_Constant*Area*Density/2</f>
        <v>2045.9770953749999</v>
      </c>
      <c r="G35">
        <f>SQRT(((Mass*g)^3)/(2*PI()*Density*Radius^2))*S0PRP2[[#This Row],[Time]]</f>
        <v>11663.981411757959</v>
      </c>
      <c r="H35">
        <f>S0PRP2[[#This Row],[E_horizon(J)]]+S0PRP2[[#This Row],[E_hover(J)]]</f>
        <v>13709.958507132958</v>
      </c>
    </row>
    <row r="36" spans="1:8" x14ac:dyDescent="0.35">
      <c r="A36">
        <v>133.9194</v>
      </c>
      <c r="B36">
        <v>3969</v>
      </c>
      <c r="C36">
        <v>716.40039999999999</v>
      </c>
      <c r="D36">
        <v>0</v>
      </c>
      <c r="E36">
        <f>S0PRP2[[#This Row],[ Distance]]*20</f>
        <v>14328.008</v>
      </c>
      <c r="F36" cm="1">
        <f t="array" ref="F36">E36*Drag_Constant*Area*Density/2</f>
        <v>1736.8232197499999</v>
      </c>
      <c r="G36">
        <f>SQRT(((Mass*g)^3)/(2*PI()*Density*Radius^2))*S0PRP2[[#This Row],[Time]]</f>
        <v>10345.619712380558</v>
      </c>
      <c r="H36">
        <f>S0PRP2[[#This Row],[E_horizon(J)]]+S0PRP2[[#This Row],[E_hover(J)]]</f>
        <v>12082.442932130558</v>
      </c>
    </row>
    <row r="37" spans="1:8" x14ac:dyDescent="0.35">
      <c r="A37">
        <v>145.119</v>
      </c>
      <c r="B37">
        <v>4121</v>
      </c>
      <c r="C37">
        <v>741.20100000000002</v>
      </c>
      <c r="D37">
        <v>0</v>
      </c>
      <c r="E37">
        <f>S0PRP2[[#This Row],[ Distance]]*20</f>
        <v>14824.02</v>
      </c>
      <c r="F37" cm="1">
        <f t="array" ref="F37">E37*Drag_Constant*Area*Density/2</f>
        <v>1796.9491743749998</v>
      </c>
      <c r="G37">
        <f>SQRT(((Mass*g)^3)/(2*PI()*Density*Radius^2))*S0PRP2[[#This Row],[Time]]</f>
        <v>11210.817753372208</v>
      </c>
      <c r="H37">
        <f>S0PRP2[[#This Row],[E_horizon(J)]]+S0PRP2[[#This Row],[E_hover(J)]]</f>
        <v>13007.766927747209</v>
      </c>
    </row>
    <row r="38" spans="1:8" x14ac:dyDescent="0.35">
      <c r="A38">
        <v>141.17740000000001</v>
      </c>
      <c r="B38">
        <v>3930</v>
      </c>
      <c r="C38">
        <v>750.83249999999998</v>
      </c>
      <c r="D38">
        <v>0</v>
      </c>
      <c r="E38">
        <f>S0PRP2[[#This Row],[ Distance]]*20</f>
        <v>15016.65</v>
      </c>
      <c r="F38" cm="1">
        <f t="array" ref="F38">E38*Drag_Constant*Area*Density/2</f>
        <v>1820.2995421874998</v>
      </c>
      <c r="G38">
        <f>SQRT(((Mass*g)^3)/(2*PI()*Density*Radius^2))*S0PRP2[[#This Row],[Time]]</f>
        <v>10906.318967846593</v>
      </c>
      <c r="H38">
        <f>S0PRP2[[#This Row],[E_horizon(J)]]+S0PRP2[[#This Row],[E_hover(J)]]</f>
        <v>12726.618510034094</v>
      </c>
    </row>
    <row r="39" spans="1:8" x14ac:dyDescent="0.35">
      <c r="A39">
        <v>145.1575</v>
      </c>
      <c r="B39">
        <v>4121</v>
      </c>
      <c r="C39">
        <v>740.76350000000002</v>
      </c>
      <c r="D39">
        <v>0</v>
      </c>
      <c r="E39">
        <f>S0PRP2[[#This Row],[ Distance]]*20</f>
        <v>14815.27</v>
      </c>
      <c r="F39" cm="1">
        <f t="array" ref="F39">E39*Drag_Constant*Area*Density/2</f>
        <v>1795.8885103124999</v>
      </c>
      <c r="G39">
        <f>SQRT(((Mass*g)^3)/(2*PI()*Density*Radius^2))*S0PRP2[[#This Row],[Time]]</f>
        <v>11213.791977860421</v>
      </c>
      <c r="H39">
        <f>S0PRP2[[#This Row],[E_horizon(J)]]+S0PRP2[[#This Row],[E_hover(J)]]</f>
        <v>13009.68048817292</v>
      </c>
    </row>
    <row r="40" spans="1:8" x14ac:dyDescent="0.35">
      <c r="A40">
        <v>135.61840000000001</v>
      </c>
      <c r="B40">
        <v>4077</v>
      </c>
      <c r="C40">
        <v>729.68510000000003</v>
      </c>
      <c r="D40">
        <v>0</v>
      </c>
      <c r="E40">
        <f>S0PRP2[[#This Row],[ Distance]]*20</f>
        <v>14593.702000000001</v>
      </c>
      <c r="F40" cm="1">
        <f t="array" ref="F40">E40*Drag_Constant*Area*Density/2</f>
        <v>1769.0303143125</v>
      </c>
      <c r="G40">
        <f>SQRT(((Mass*g)^3)/(2*PI()*Density*Radius^2))*S0PRP2[[#This Row],[Time]]</f>
        <v>10476.871852782431</v>
      </c>
      <c r="H40">
        <f>S0PRP2[[#This Row],[E_horizon(J)]]+S0PRP2[[#This Row],[E_hover(J)]]</f>
        <v>12245.902167094931</v>
      </c>
    </row>
    <row r="41" spans="1:8" x14ac:dyDescent="0.35">
      <c r="A41">
        <v>148.05279999999999</v>
      </c>
      <c r="B41">
        <v>4088</v>
      </c>
      <c r="C41">
        <v>804.51139999999998</v>
      </c>
      <c r="D41">
        <v>0</v>
      </c>
      <c r="E41">
        <f>S0PRP2[[#This Row],[ Distance]]*20</f>
        <v>16090.227999999999</v>
      </c>
      <c r="F41" cm="1">
        <f t="array" ref="F41">E41*Drag_Constant*Area*Density/2</f>
        <v>1950.4373253749995</v>
      </c>
      <c r="G41">
        <f>SQRT(((Mass*g)^3)/(2*PI()*Density*Radius^2))*S0PRP2[[#This Row],[Time]]</f>
        <v>11437.46138463237</v>
      </c>
      <c r="H41">
        <f>S0PRP2[[#This Row],[E_horizon(J)]]+S0PRP2[[#This Row],[E_hover(J)]]</f>
        <v>13387.89871000737</v>
      </c>
    </row>
    <row r="42" spans="1:8" x14ac:dyDescent="0.35">
      <c r="A42">
        <v>131.18639999999999</v>
      </c>
      <c r="B42">
        <v>3840</v>
      </c>
      <c r="C42">
        <v>718.60889999999995</v>
      </c>
      <c r="D42">
        <v>0</v>
      </c>
      <c r="E42">
        <f>S0PRP2[[#This Row],[ Distance]]*20</f>
        <v>14372.178</v>
      </c>
      <c r="F42" cm="1">
        <f t="array" ref="F42">E42*Drag_Constant*Area*Density/2</f>
        <v>1742.1774519374999</v>
      </c>
      <c r="G42">
        <f>SQRT(((Mass*g)^3)/(2*PI()*Density*Radius^2))*S0PRP2[[#This Row],[Time]]</f>
        <v>10134.488400009564</v>
      </c>
      <c r="H42">
        <f>S0PRP2[[#This Row],[E_horizon(J)]]+S0PRP2[[#This Row],[E_hover(J)]]</f>
        <v>11876.665851947064</v>
      </c>
    </row>
    <row r="43" spans="1:8" x14ac:dyDescent="0.35">
      <c r="A43">
        <v>134.48769999999999</v>
      </c>
      <c r="B43">
        <v>4067</v>
      </c>
      <c r="C43">
        <v>722.00229999999999</v>
      </c>
      <c r="D43">
        <v>0</v>
      </c>
      <c r="E43">
        <f>S0PRP2[[#This Row],[ Distance]]*20</f>
        <v>14440.046</v>
      </c>
      <c r="F43" cm="1">
        <f t="array" ref="F43">E43*Drag_Constant*Area*Density/2</f>
        <v>1750.4043260624999</v>
      </c>
      <c r="G43">
        <f>SQRT(((Mass*g)^3)/(2*PI()*Density*Radius^2))*S0PRP2[[#This Row],[Time]]</f>
        <v>10389.52235592993</v>
      </c>
      <c r="H43">
        <f>S0PRP2[[#This Row],[E_horizon(J)]]+S0PRP2[[#This Row],[E_hover(J)]]</f>
        <v>12139.926681992431</v>
      </c>
    </row>
    <row r="44" spans="1:8" x14ac:dyDescent="0.35">
      <c r="A44">
        <v>143.7534</v>
      </c>
      <c r="B44">
        <v>4133</v>
      </c>
      <c r="C44">
        <v>779.47910000000002</v>
      </c>
      <c r="D44">
        <v>0</v>
      </c>
      <c r="E44">
        <f>S0PRP2[[#This Row],[ Distance]]*20</f>
        <v>15589.582</v>
      </c>
      <c r="F44" cm="1">
        <f t="array" ref="F44">E44*Drag_Constant*Area*Density/2</f>
        <v>1889.7496430624999</v>
      </c>
      <c r="G44">
        <f>SQRT(((Mass*g)^3)/(2*PI()*Density*Radius^2))*S0PRP2[[#This Row],[Time]]</f>
        <v>11105.321624512411</v>
      </c>
      <c r="H44">
        <f>S0PRP2[[#This Row],[E_horizon(J)]]+S0PRP2[[#This Row],[E_hover(J)]]</f>
        <v>12995.071267574911</v>
      </c>
    </row>
    <row r="45" spans="1:8" x14ac:dyDescent="0.35">
      <c r="A45">
        <v>144.262</v>
      </c>
      <c r="B45">
        <v>3929</v>
      </c>
      <c r="C45">
        <v>771.02610000000004</v>
      </c>
      <c r="D45">
        <v>0</v>
      </c>
      <c r="E45">
        <f>S0PRP2[[#This Row],[ Distance]]*20</f>
        <v>15420.522000000001</v>
      </c>
      <c r="F45" cm="1">
        <f t="array" ref="F45">E45*Drag_Constant*Area*Density/2</f>
        <v>1869.2564011875002</v>
      </c>
      <c r="G45">
        <f>SQRT(((Mass*g)^3)/(2*PI()*Density*Radius^2))*S0PRP2[[#This Row],[Time]]</f>
        <v>11144.612288790451</v>
      </c>
      <c r="H45">
        <f>S0PRP2[[#This Row],[E_horizon(J)]]+S0PRP2[[#This Row],[E_hover(J)]]</f>
        <v>13013.868689977951</v>
      </c>
    </row>
    <row r="46" spans="1:8" x14ac:dyDescent="0.35">
      <c r="A46">
        <v>149.62100000000001</v>
      </c>
      <c r="B46">
        <v>3916</v>
      </c>
      <c r="C46">
        <v>767.3904</v>
      </c>
      <c r="D46">
        <v>0</v>
      </c>
      <c r="E46">
        <f>S0PRP2[[#This Row],[ Distance]]*20</f>
        <v>15347.808000000001</v>
      </c>
      <c r="F46" cm="1">
        <f t="array" ref="F46">E46*Drag_Constant*Area*Density/2</f>
        <v>1860.4421009999999</v>
      </c>
      <c r="G46">
        <f>SQRT(((Mass*g)^3)/(2*PI()*Density*Radius^2))*S0PRP2[[#This Row],[Time]]</f>
        <v>11558.608887032735</v>
      </c>
      <c r="H46">
        <f>S0PRP2[[#This Row],[E_horizon(J)]]+S0PRP2[[#This Row],[E_hover(J)]]</f>
        <v>13419.050988032735</v>
      </c>
    </row>
    <row r="47" spans="1:8" x14ac:dyDescent="0.35">
      <c r="A47">
        <v>138.3219</v>
      </c>
      <c r="B47">
        <v>3939</v>
      </c>
      <c r="C47">
        <v>718.81060000000002</v>
      </c>
      <c r="D47">
        <v>0</v>
      </c>
      <c r="E47">
        <f>S0PRP2[[#This Row],[ Distance]]*20</f>
        <v>14376.212</v>
      </c>
      <c r="F47" cm="1">
        <f t="array" ref="F47">E47*Drag_Constant*Area*Density/2</f>
        <v>1742.6664483749998</v>
      </c>
      <c r="G47">
        <f>SQRT(((Mass*g)^3)/(2*PI()*Density*Radius^2))*S0PRP2[[#This Row],[Time]]</f>
        <v>10685.724213922198</v>
      </c>
      <c r="H47">
        <f>S0PRP2[[#This Row],[E_horizon(J)]]+S0PRP2[[#This Row],[E_hover(J)]]</f>
        <v>12428.390662297197</v>
      </c>
    </row>
    <row r="48" spans="1:8" x14ac:dyDescent="0.35">
      <c r="A48">
        <v>152.2868</v>
      </c>
      <c r="B48">
        <v>4000</v>
      </c>
      <c r="C48">
        <v>812.56590000000006</v>
      </c>
      <c r="D48">
        <v>0</v>
      </c>
      <c r="E48">
        <f>S0PRP2[[#This Row],[ Distance]]*20</f>
        <v>16251.318000000001</v>
      </c>
      <c r="F48" cm="1">
        <f t="array" ref="F48">E48*Drag_Constant*Area*Density/2</f>
        <v>1969.9644538125001</v>
      </c>
      <c r="G48">
        <f>SQRT(((Mass*g)^3)/(2*PI()*Density*Radius^2))*S0PRP2[[#This Row],[Time]]</f>
        <v>11764.548825751575</v>
      </c>
      <c r="H48">
        <f>S0PRP2[[#This Row],[E_horizon(J)]]+S0PRP2[[#This Row],[E_hover(J)]]</f>
        <v>13734.513279564075</v>
      </c>
    </row>
    <row r="49" spans="1:8" x14ac:dyDescent="0.35">
      <c r="A49">
        <v>139.1859</v>
      </c>
      <c r="B49">
        <v>3986</v>
      </c>
      <c r="C49">
        <v>752.13319999999999</v>
      </c>
      <c r="D49">
        <v>0</v>
      </c>
      <c r="E49">
        <f>S0PRP2[[#This Row],[ Distance]]*20</f>
        <v>15042.664000000001</v>
      </c>
      <c r="F49" cm="1">
        <f t="array" ref="F49">E49*Drag_Constant*Area*Density/2</f>
        <v>1823.4529267499997</v>
      </c>
      <c r="G49">
        <f>SQRT(((Mass*g)^3)/(2*PI()*Density*Radius^2))*S0PRP2[[#This Row],[Time]]</f>
        <v>10752.470446592721</v>
      </c>
      <c r="H49">
        <f>S0PRP2[[#This Row],[E_horizon(J)]]+S0PRP2[[#This Row],[E_hover(J)]]</f>
        <v>12575.923373342721</v>
      </c>
    </row>
    <row r="50" spans="1:8" x14ac:dyDescent="0.35">
      <c r="A50">
        <v>139.2869</v>
      </c>
      <c r="B50">
        <v>4026</v>
      </c>
      <c r="C50">
        <v>764.42179999999996</v>
      </c>
      <c r="D50">
        <v>0</v>
      </c>
      <c r="E50">
        <f>S0PRP2[[#This Row],[ Distance]]*20</f>
        <v>15288.436</v>
      </c>
      <c r="F50" cm="1">
        <f t="array" ref="F50">E50*Drag_Constant*Area*Density/2</f>
        <v>1853.2451013749999</v>
      </c>
      <c r="G50">
        <f>SQRT(((Mass*g)^3)/(2*PI()*Density*Radius^2))*S0PRP2[[#This Row],[Time]]</f>
        <v>10760.272957587769</v>
      </c>
      <c r="H50">
        <f>S0PRP2[[#This Row],[E_horizon(J)]]+S0PRP2[[#This Row],[E_hover(J)]]</f>
        <v>12613.518058962769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285-EAA3-47A4-A7BC-ADADA851920B}">
  <dimension ref="A1:O51"/>
  <sheetViews>
    <sheetView topLeftCell="G22" workbookViewId="0">
      <selection activeCell="A2" sqref="A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1796875" bestFit="1" customWidth="1"/>
    <col min="9" max="9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0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146.321</v>
      </c>
      <c r="B2">
        <v>4236</v>
      </c>
      <c r="C2">
        <v>772.72059999999999</v>
      </c>
      <c r="D2">
        <v>0</v>
      </c>
      <c r="E2">
        <f>S0PRP1[[#This Row],[ Distance]]*20</f>
        <v>15454.412</v>
      </c>
      <c r="F2" cm="1">
        <f t="array" ref="F2">E2*Drag_Constant*Area*Density/2</f>
        <v>1873.3645046250001</v>
      </c>
      <c r="G2">
        <f>SQRT(((Mass*g)^3)/(2*PI()*Density*Radius^2))*S0PRP1[[#This Row],[Time]]</f>
        <v>11303.675359471708</v>
      </c>
      <c r="H2">
        <f>S0PRP1[[#This Row],[E_horizon(J)]]+S0PRP1[[#This Row],[E_hover(J)]]</f>
        <v>13177.039864096709</v>
      </c>
      <c r="I2">
        <f>AVERAGE(S0PRP1[Time])</f>
        <v>141.618898</v>
      </c>
      <c r="J2">
        <f>AVERAGE(S0PRP1[[ NumMsgSent]])</f>
        <v>4024.3</v>
      </c>
      <c r="K2">
        <f>AVERAGE(S0PRP1[[ Distance]])</f>
        <v>760.79919800000005</v>
      </c>
      <c r="L2">
        <f>AVERAGE(S0PRP1[[ NodesLost]])</f>
        <v>0</v>
      </c>
      <c r="M2">
        <f>COUNTIF(S0PRP1[[ NodesLost]],"&gt;0")/COUNT(S0PRP1[[ NodesLost]])</f>
        <v>0</v>
      </c>
      <c r="N2">
        <f>AVERAGE(S0PRP1[E_horizon(J)])</f>
        <v>1844.4625556512501</v>
      </c>
      <c r="O2">
        <f>AVERAGE(S0PRP1[E_hover(J)])</f>
        <v>10940.425829225722</v>
      </c>
    </row>
    <row r="3" spans="1:15" x14ac:dyDescent="0.35">
      <c r="A3">
        <v>147.78370000000001</v>
      </c>
      <c r="B3">
        <v>4121</v>
      </c>
      <c r="C3">
        <v>739.97080000000005</v>
      </c>
      <c r="D3">
        <v>0</v>
      </c>
      <c r="E3">
        <f>S0PRP1[[#This Row],[ Distance]]*20</f>
        <v>14799.416000000001</v>
      </c>
      <c r="F3" cm="1">
        <f t="array" ref="F3">E3*Drag_Constant*Area*Density/2</f>
        <v>1793.9667082500002</v>
      </c>
      <c r="G3">
        <f>SQRT(((Mass*g)^3)/(2*PI()*Density*Radius^2))*S0PRP1[[#This Row],[Time]]</f>
        <v>11416.672714248531</v>
      </c>
      <c r="H3">
        <f>S0PRP1[[#This Row],[E_horizon(J)]]+S0PRP1[[#This Row],[E_hover(J)]]</f>
        <v>13210.639422498531</v>
      </c>
    </row>
    <row r="4" spans="1:15" x14ac:dyDescent="0.35">
      <c r="A4">
        <v>138.7645</v>
      </c>
      <c r="B4">
        <v>4236</v>
      </c>
      <c r="C4">
        <v>749.13430000000005</v>
      </c>
      <c r="D4">
        <v>0</v>
      </c>
      <c r="E4">
        <f>S0PRP1[[#This Row],[ Distance]]*20</f>
        <v>14982.686000000002</v>
      </c>
      <c r="F4" cm="1">
        <f t="array" ref="F4">E4*Drag_Constant*Area*Density/2</f>
        <v>1816.1824685625002</v>
      </c>
      <c r="G4">
        <f>SQRT(((Mass*g)^3)/(2*PI()*Density*Radius^2))*S0PRP1[[#This Row],[Time]]</f>
        <v>10719.916207649017</v>
      </c>
      <c r="H4">
        <f>S0PRP1[[#This Row],[E_horizon(J)]]+S0PRP1[[#This Row],[E_hover(J)]]</f>
        <v>12536.098676211517</v>
      </c>
    </row>
    <row r="5" spans="1:15" x14ac:dyDescent="0.35">
      <c r="A5">
        <v>134.65690000000001</v>
      </c>
      <c r="B5">
        <v>4203</v>
      </c>
      <c r="C5">
        <v>735.77110000000005</v>
      </c>
      <c r="D5">
        <v>0</v>
      </c>
      <c r="E5">
        <f>S0PRP1[[#This Row],[ Distance]]*20</f>
        <v>14715.422</v>
      </c>
      <c r="F5" cm="1">
        <f t="array" ref="F5">E5*Drag_Constant*Area*Density/2</f>
        <v>1783.7850605625001</v>
      </c>
      <c r="G5">
        <f>SQRT(((Mass*g)^3)/(2*PI()*Density*Radius^2))*S0PRP1[[#This Row],[Time]]</f>
        <v>10402.593493161243</v>
      </c>
      <c r="H5">
        <f>S0PRP1[[#This Row],[E_horizon(J)]]+S0PRP1[[#This Row],[E_hover(J)]]</f>
        <v>12186.378553723744</v>
      </c>
    </row>
    <row r="6" spans="1:15" x14ac:dyDescent="0.35">
      <c r="A6">
        <v>134.76419999999999</v>
      </c>
      <c r="B6">
        <v>4007</v>
      </c>
      <c r="C6">
        <v>737.67600000000004</v>
      </c>
      <c r="D6">
        <v>0</v>
      </c>
      <c r="E6">
        <f>S0PRP1[[#This Row],[ Distance]]*20</f>
        <v>14753.52</v>
      </c>
      <c r="F6" cm="1">
        <f t="array" ref="F6">E6*Drag_Constant*Area*Density/2</f>
        <v>1788.4032524999998</v>
      </c>
      <c r="G6">
        <f>SQRT(((Mass*g)^3)/(2*PI()*Density*Radius^2))*S0PRP1[[#This Row],[Time]]</f>
        <v>10410.882695436179</v>
      </c>
      <c r="H6">
        <f>S0PRP1[[#This Row],[E_horizon(J)]]+S0PRP1[[#This Row],[E_hover(J)]]</f>
        <v>12199.28594793618</v>
      </c>
    </row>
    <row r="7" spans="1:15" x14ac:dyDescent="0.35">
      <c r="A7">
        <v>136.57820000000001</v>
      </c>
      <c r="B7">
        <v>4033</v>
      </c>
      <c r="C7">
        <v>746.81979999999999</v>
      </c>
      <c r="D7">
        <v>0</v>
      </c>
      <c r="E7">
        <f>S0PRP1[[#This Row],[ Distance]]*20</f>
        <v>14936.396000000001</v>
      </c>
      <c r="F7" cm="1">
        <f t="array" ref="F7">E7*Drag_Constant*Area*Density/2</f>
        <v>1810.5712526249999</v>
      </c>
      <c r="G7">
        <f>SQRT(((Mass*g)^3)/(2*PI()*Density*Radius^2))*S0PRP1[[#This Row],[Time]]</f>
        <v>10551.018883010634</v>
      </c>
      <c r="H7">
        <f>S0PRP1[[#This Row],[E_horizon(J)]]+S0PRP1[[#This Row],[E_hover(J)]]</f>
        <v>12361.590135635633</v>
      </c>
    </row>
    <row r="8" spans="1:15" x14ac:dyDescent="0.35">
      <c r="A8">
        <v>133.27189999999999</v>
      </c>
      <c r="B8">
        <v>3984</v>
      </c>
      <c r="C8">
        <v>739.59670000000006</v>
      </c>
      <c r="D8">
        <v>0</v>
      </c>
      <c r="E8">
        <f>S0PRP1[[#This Row],[ Distance]]*20</f>
        <v>14791.934000000001</v>
      </c>
      <c r="F8" cm="1">
        <f t="array" ref="F8">E8*Drag_Constant*Area*Density/2</f>
        <v>1793.0597495625</v>
      </c>
      <c r="G8">
        <f>SQRT(((Mass*g)^3)/(2*PI()*Density*Radius^2))*S0PRP1[[#This Row],[Time]]</f>
        <v>10295.59866416972</v>
      </c>
      <c r="H8">
        <f>S0PRP1[[#This Row],[E_horizon(J)]]+S0PRP1[[#This Row],[E_hover(J)]]</f>
        <v>12088.658413732221</v>
      </c>
    </row>
    <row r="9" spans="1:15" x14ac:dyDescent="0.35">
      <c r="A9">
        <v>134.78649999999999</v>
      </c>
      <c r="B9">
        <v>4007</v>
      </c>
      <c r="C9">
        <v>737.98580000000004</v>
      </c>
      <c r="D9">
        <v>0</v>
      </c>
      <c r="E9">
        <f>S0PRP1[[#This Row],[ Distance]]*20</f>
        <v>14759.716</v>
      </c>
      <c r="F9" cm="1">
        <f t="array" ref="F9">E9*Drag_Constant*Area*Density/2</f>
        <v>1789.154323875</v>
      </c>
      <c r="G9">
        <f>SQRT(((Mass*g)^3)/(2*PI()*Density*Radius^2))*S0PRP1[[#This Row],[Time]]</f>
        <v>10412.605428061819</v>
      </c>
      <c r="H9">
        <f>S0PRP1[[#This Row],[E_horizon(J)]]+S0PRP1[[#This Row],[E_hover(J)]]</f>
        <v>12201.759751936819</v>
      </c>
    </row>
    <row r="10" spans="1:15" x14ac:dyDescent="0.35">
      <c r="A10">
        <v>142.5582</v>
      </c>
      <c r="B10">
        <v>4210</v>
      </c>
      <c r="C10">
        <v>740.69060000000002</v>
      </c>
      <c r="D10">
        <v>0</v>
      </c>
      <c r="E10">
        <f>S0PRP1[[#This Row],[ Distance]]*20</f>
        <v>14813.812</v>
      </c>
      <c r="F10" cm="1">
        <f t="array" ref="F10">E10*Drag_Constant*Area*Density/2</f>
        <v>1795.7117733749999</v>
      </c>
      <c r="G10">
        <f>SQRT(((Mass*g)^3)/(2*PI()*Density*Radius^2))*S0PRP1[[#This Row],[Time]]</f>
        <v>11012.989335984854</v>
      </c>
      <c r="H10">
        <f>S0PRP1[[#This Row],[E_horizon(J)]]+S0PRP1[[#This Row],[E_hover(J)]]</f>
        <v>12808.701109359854</v>
      </c>
    </row>
    <row r="11" spans="1:15" x14ac:dyDescent="0.35">
      <c r="A11">
        <v>121.761</v>
      </c>
      <c r="B11">
        <v>4070</v>
      </c>
      <c r="C11">
        <v>692.19619999999998</v>
      </c>
      <c r="D11">
        <v>0</v>
      </c>
      <c r="E11">
        <f>S0PRP1[[#This Row],[ Distance]]*20</f>
        <v>13843.923999999999</v>
      </c>
      <c r="F11" cm="1">
        <f t="array" ref="F11">E11*Drag_Constant*Area*Density/2</f>
        <v>1678.1431623749997</v>
      </c>
      <c r="G11">
        <f>SQRT(((Mass*g)^3)/(2*PI()*Density*Radius^2))*S0PRP1[[#This Row],[Time]]</f>
        <v>9406.3518937448134</v>
      </c>
      <c r="H11">
        <f>S0PRP1[[#This Row],[E_horizon(J)]]+S0PRP1[[#This Row],[E_hover(J)]]</f>
        <v>11084.495056119813</v>
      </c>
    </row>
    <row r="12" spans="1:15" x14ac:dyDescent="0.35">
      <c r="A12">
        <v>147.12190000000001</v>
      </c>
      <c r="B12">
        <v>3955</v>
      </c>
      <c r="C12">
        <v>776.00350000000003</v>
      </c>
      <c r="D12">
        <v>0</v>
      </c>
      <c r="E12">
        <f>S0PRP1[[#This Row],[ Distance]]*20</f>
        <v>15520.07</v>
      </c>
      <c r="F12" cm="1">
        <f t="array" ref="F12">E12*Drag_Constant*Area*Density/2</f>
        <v>1881.3234853124998</v>
      </c>
      <c r="G12">
        <f>SQRT(((Mass*g)^3)/(2*PI()*Density*Radius^2))*S0PRP1[[#This Row],[Time]]</f>
        <v>11365.54695408493</v>
      </c>
      <c r="H12">
        <f>S0PRP1[[#This Row],[E_horizon(J)]]+S0PRP1[[#This Row],[E_hover(J)]]</f>
        <v>13246.870439397429</v>
      </c>
    </row>
    <row r="13" spans="1:15" x14ac:dyDescent="0.35">
      <c r="A13">
        <v>143.0881</v>
      </c>
      <c r="B13">
        <v>3940</v>
      </c>
      <c r="C13">
        <v>770.39440000000002</v>
      </c>
      <c r="D13">
        <v>0</v>
      </c>
      <c r="E13">
        <f>S0PRP1[[#This Row],[ Distance]]*20</f>
        <v>15407.888000000001</v>
      </c>
      <c r="F13" cm="1">
        <f t="array" ref="F13">E13*Drag_Constant*Area*Density/2</f>
        <v>1867.7249235000002</v>
      </c>
      <c r="G13">
        <f>SQRT(((Mass*g)^3)/(2*PI()*Density*Radius^2))*S0PRP1[[#This Row],[Time]]</f>
        <v>11053.925480304426</v>
      </c>
      <c r="H13">
        <f>S0PRP1[[#This Row],[E_horizon(J)]]+S0PRP1[[#This Row],[E_hover(J)]]</f>
        <v>12921.650403804426</v>
      </c>
    </row>
    <row r="14" spans="1:15" x14ac:dyDescent="0.35">
      <c r="A14">
        <v>127.52</v>
      </c>
      <c r="B14">
        <v>3839</v>
      </c>
      <c r="C14">
        <v>706.70069999999998</v>
      </c>
      <c r="D14">
        <v>0</v>
      </c>
      <c r="E14">
        <f>S0PRP1[[#This Row],[ Distance]]*20</f>
        <v>14134.013999999999</v>
      </c>
      <c r="F14" cm="1">
        <f t="array" ref="F14">E14*Drag_Constant*Area*Density/2</f>
        <v>1713.3075095624999</v>
      </c>
      <c r="G14">
        <f>SQRT(((Mass*g)^3)/(2*PI()*Density*Radius^2))*S0PRP1[[#This Row],[Time]]</f>
        <v>9851.2495256308557</v>
      </c>
      <c r="H14">
        <f>S0PRP1[[#This Row],[E_horizon(J)]]+S0PRP1[[#This Row],[E_hover(J)]]</f>
        <v>11564.557035193357</v>
      </c>
    </row>
    <row r="15" spans="1:15" x14ac:dyDescent="0.35">
      <c r="A15">
        <v>128.1019</v>
      </c>
      <c r="B15">
        <v>3831</v>
      </c>
      <c r="C15">
        <v>712.88459999999998</v>
      </c>
      <c r="D15">
        <v>0</v>
      </c>
      <c r="E15">
        <f>S0PRP1[[#This Row],[ Distance]]*20</f>
        <v>14257.691999999999</v>
      </c>
      <c r="F15" cm="1">
        <f t="array" ref="F15">E15*Drag_Constant*Area*Density/2</f>
        <v>1728.2996021249999</v>
      </c>
      <c r="G15">
        <f>SQRT(((Mass*g)^3)/(2*PI()*Density*Radius^2))*S0PRP1[[#This Row],[Time]]</f>
        <v>9896.2028043241153</v>
      </c>
      <c r="H15">
        <f>S0PRP1[[#This Row],[E_horizon(J)]]+S0PRP1[[#This Row],[E_hover(J)]]</f>
        <v>11624.502406449115</v>
      </c>
    </row>
    <row r="16" spans="1:15" x14ac:dyDescent="0.35">
      <c r="A16">
        <v>144.23429999999999</v>
      </c>
      <c r="B16">
        <v>3947</v>
      </c>
      <c r="C16">
        <v>794.54020000000003</v>
      </c>
      <c r="D16">
        <v>0</v>
      </c>
      <c r="E16">
        <f>S0PRP1[[#This Row],[ Distance]]*20</f>
        <v>15890.804</v>
      </c>
      <c r="F16" cm="1">
        <f t="array" ref="F16">E16*Drag_Constant*Area*Density/2</f>
        <v>1926.2633973749998</v>
      </c>
      <c r="G16">
        <f>SQRT(((Mass*g)^3)/(2*PI()*Density*Radius^2))*S0PRP1[[#This Row],[Time]]</f>
        <v>11142.47239221062</v>
      </c>
      <c r="H16">
        <f>S0PRP1[[#This Row],[E_horizon(J)]]+S0PRP1[[#This Row],[E_hover(J)]]</f>
        <v>13068.73578958562</v>
      </c>
    </row>
    <row r="17" spans="1:8" x14ac:dyDescent="0.35">
      <c r="A17">
        <v>147.2208</v>
      </c>
      <c r="B17">
        <v>3955</v>
      </c>
      <c r="C17">
        <v>776.09339999999997</v>
      </c>
      <c r="D17">
        <v>0</v>
      </c>
      <c r="E17">
        <f>S0PRP1[[#This Row],[ Distance]]*20</f>
        <v>15521.867999999999</v>
      </c>
      <c r="F17" cm="1">
        <f t="array" ref="F17">E17*Drag_Constant*Area*Density/2</f>
        <v>1881.5414366249995</v>
      </c>
      <c r="G17">
        <f>SQRT(((Mass*g)^3)/(2*PI()*Density*Radius^2))*S0PRP1[[#This Row],[Time]]</f>
        <v>11373.187234653349</v>
      </c>
      <c r="H17">
        <f>S0PRP1[[#This Row],[E_horizon(J)]]+S0PRP1[[#This Row],[E_hover(J)]]</f>
        <v>13254.728671278348</v>
      </c>
    </row>
    <row r="18" spans="1:8" x14ac:dyDescent="0.35">
      <c r="A18">
        <v>127.986</v>
      </c>
      <c r="B18">
        <v>3769</v>
      </c>
      <c r="C18">
        <v>715.15980000000002</v>
      </c>
      <c r="D18">
        <v>0</v>
      </c>
      <c r="E18">
        <f>S0PRP1[[#This Row],[ Distance]]*20</f>
        <v>14303.196</v>
      </c>
      <c r="F18" cm="1">
        <f t="array" ref="F18">E18*Drag_Constant*Area*Density/2</f>
        <v>1733.8155401250001</v>
      </c>
      <c r="G18">
        <f>SQRT(((Mass*g)^3)/(2*PI()*Density*Radius^2))*S0PRP1[[#This Row],[Time]]</f>
        <v>9887.2492298258367</v>
      </c>
      <c r="H18">
        <f>S0PRP1[[#This Row],[E_horizon(J)]]+S0PRP1[[#This Row],[E_hover(J)]]</f>
        <v>11621.064769950837</v>
      </c>
    </row>
    <row r="19" spans="1:8" x14ac:dyDescent="0.35">
      <c r="A19">
        <v>143.11940000000001</v>
      </c>
      <c r="B19">
        <v>3954</v>
      </c>
      <c r="C19">
        <v>774.87969999999996</v>
      </c>
      <c r="D19">
        <v>0</v>
      </c>
      <c r="E19">
        <f>S0PRP1[[#This Row],[ Distance]]*20</f>
        <v>15497.593999999999</v>
      </c>
      <c r="F19" cm="1">
        <f t="array" ref="F19">E19*Drag_Constant*Area*Density/2</f>
        <v>1878.5989726874998</v>
      </c>
      <c r="G19">
        <f>SQRT(((Mass*g)^3)/(2*PI()*Density*Radius^2))*S0PRP1[[#This Row],[Time]]</f>
        <v>11056.343486187052</v>
      </c>
      <c r="H19">
        <f>S0PRP1[[#This Row],[E_horizon(J)]]+S0PRP1[[#This Row],[E_hover(J)]]</f>
        <v>12934.942458874551</v>
      </c>
    </row>
    <row r="20" spans="1:8" x14ac:dyDescent="0.35">
      <c r="A20">
        <v>143.41929999999999</v>
      </c>
      <c r="B20">
        <v>3944</v>
      </c>
      <c r="C20">
        <v>737.20640000000003</v>
      </c>
      <c r="D20">
        <v>0</v>
      </c>
      <c r="E20">
        <f>S0PRP1[[#This Row],[ Distance]]*20</f>
        <v>14744.128000000001</v>
      </c>
      <c r="F20" cm="1">
        <f t="array" ref="F20">E20*Drag_Constant*Area*Density/2</f>
        <v>1787.264766</v>
      </c>
      <c r="G20">
        <f>SQRT(((Mass*g)^3)/(2*PI()*Density*Radius^2))*S0PRP1[[#This Row],[Time]]</f>
        <v>11079.511536161459</v>
      </c>
      <c r="H20">
        <f>S0PRP1[[#This Row],[E_horizon(J)]]+S0PRP1[[#This Row],[E_hover(J)]]</f>
        <v>12866.776302161459</v>
      </c>
    </row>
    <row r="21" spans="1:8" x14ac:dyDescent="0.35">
      <c r="A21">
        <v>147.78569999999999</v>
      </c>
      <c r="B21">
        <v>3960</v>
      </c>
      <c r="C21">
        <v>793.76459999999997</v>
      </c>
      <c r="D21">
        <v>0</v>
      </c>
      <c r="E21">
        <f>S0PRP1[[#This Row],[ Distance]]*20</f>
        <v>15875.291999999999</v>
      </c>
      <c r="F21" cm="1">
        <f t="array" ref="F21">E21*Drag_Constant*Area*Density/2</f>
        <v>1924.3830521249997</v>
      </c>
      <c r="G21">
        <f>SQRT(((Mass*g)^3)/(2*PI()*Density*Radius^2))*S0PRP1[[#This Row],[Time]]</f>
        <v>11416.827219416749</v>
      </c>
      <c r="H21">
        <f>S0PRP1[[#This Row],[E_horizon(J)]]+S0PRP1[[#This Row],[E_hover(J)]]</f>
        <v>13341.21027154175</v>
      </c>
    </row>
    <row r="22" spans="1:8" x14ac:dyDescent="0.35">
      <c r="A22">
        <v>133.3527</v>
      </c>
      <c r="B22">
        <v>3963</v>
      </c>
      <c r="C22">
        <v>716.89170000000001</v>
      </c>
      <c r="D22">
        <v>0</v>
      </c>
      <c r="E22">
        <f>S0PRP1[[#This Row],[ Distance]]*20</f>
        <v>14337.834000000001</v>
      </c>
      <c r="F22" cm="1">
        <f t="array" ref="F22">E22*Drag_Constant*Area*Density/2</f>
        <v>1738.0143151875</v>
      </c>
      <c r="G22">
        <f>SQRT(((Mass*g)^3)/(2*PI()*Density*Radius^2))*S0PRP1[[#This Row],[Time]]</f>
        <v>10301.84067296576</v>
      </c>
      <c r="H22">
        <f>S0PRP1[[#This Row],[E_horizon(J)]]+S0PRP1[[#This Row],[E_hover(J)]]</f>
        <v>12039.85498815326</v>
      </c>
    </row>
    <row r="23" spans="1:8" x14ac:dyDescent="0.35">
      <c r="A23">
        <v>143.35589999999999</v>
      </c>
      <c r="B23">
        <v>3975</v>
      </c>
      <c r="C23">
        <v>766.90520000000004</v>
      </c>
      <c r="D23">
        <v>0</v>
      </c>
      <c r="E23">
        <f>S0PRP1[[#This Row],[ Distance]]*20</f>
        <v>15338.104000000001</v>
      </c>
      <c r="F23" cm="1">
        <f t="array" ref="F23">E23*Drag_Constant*Area*Density/2</f>
        <v>1859.26579425</v>
      </c>
      <c r="G23">
        <f>SQRT(((Mass*g)^3)/(2*PI()*Density*Radius^2))*S0PRP1[[#This Row],[Time]]</f>
        <v>11074.613722328922</v>
      </c>
      <c r="H23">
        <f>S0PRP1[[#This Row],[E_horizon(J)]]+S0PRP1[[#This Row],[E_hover(J)]]</f>
        <v>12933.879516578923</v>
      </c>
    </row>
    <row r="24" spans="1:8" x14ac:dyDescent="0.35">
      <c r="A24">
        <v>126.1185</v>
      </c>
      <c r="B24">
        <v>3867</v>
      </c>
      <c r="C24">
        <v>690.67520000000002</v>
      </c>
      <c r="D24">
        <v>0</v>
      </c>
      <c r="E24">
        <f>S0PRP1[[#This Row],[ Distance]]*20</f>
        <v>13813.504000000001</v>
      </c>
      <c r="F24" cm="1">
        <f t="array" ref="F24">E24*Drag_Constant*Area*Density/2</f>
        <v>1674.455688</v>
      </c>
      <c r="G24">
        <f>SQRT(((Mass*g)^3)/(2*PI()*Density*Radius^2))*S0PRP1[[#This Row],[Time]]</f>
        <v>9742.9800290015282</v>
      </c>
      <c r="H24">
        <f>S0PRP1[[#This Row],[E_horizon(J)]]+S0PRP1[[#This Row],[E_hover(J)]]</f>
        <v>11417.435717001528</v>
      </c>
    </row>
    <row r="25" spans="1:8" x14ac:dyDescent="0.35">
      <c r="A25">
        <v>151.2193</v>
      </c>
      <c r="B25">
        <v>4067</v>
      </c>
      <c r="C25">
        <v>794.48299999999995</v>
      </c>
      <c r="D25">
        <v>0</v>
      </c>
      <c r="E25">
        <f>S0PRP1[[#This Row],[ Distance]]*20</f>
        <v>15889.66</v>
      </c>
      <c r="F25" cm="1">
        <f t="array" ref="F25">E25*Drag_Constant*Area*Density/2</f>
        <v>1926.1247231249997</v>
      </c>
      <c r="G25">
        <f>SQRT(((Mass*g)^3)/(2*PI()*Density*Radius^2))*S0PRP1[[#This Row],[Time]]</f>
        <v>11682.08169221479</v>
      </c>
      <c r="H25">
        <f>S0PRP1[[#This Row],[E_horizon(J)]]+S0PRP1[[#This Row],[E_hover(J)]]</f>
        <v>13608.20641533979</v>
      </c>
    </row>
    <row r="26" spans="1:8" x14ac:dyDescent="0.35">
      <c r="A26">
        <v>146.0204</v>
      </c>
      <c r="B26">
        <v>4027</v>
      </c>
      <c r="C26">
        <v>823.2364</v>
      </c>
      <c r="D26">
        <v>0</v>
      </c>
      <c r="E26">
        <f>S0PRP1[[#This Row],[ Distance]]*20</f>
        <v>16464.727999999999</v>
      </c>
      <c r="F26" cm="1">
        <f t="array" ref="F26">E26*Drag_Constant*Area*Density/2</f>
        <v>1995.8337472499995</v>
      </c>
      <c r="G26">
        <f>SQRT(((Mass*g)^3)/(2*PI()*Density*Radius^2))*S0PRP1[[#This Row],[Time]]</f>
        <v>11280.453232688424</v>
      </c>
      <c r="H26">
        <f>S0PRP1[[#This Row],[E_horizon(J)]]+S0PRP1[[#This Row],[E_hover(J)]]</f>
        <v>13276.286979938423</v>
      </c>
    </row>
    <row r="27" spans="1:8" x14ac:dyDescent="0.35">
      <c r="A27">
        <v>145.1934</v>
      </c>
      <c r="B27">
        <v>4107</v>
      </c>
      <c r="C27">
        <v>739.34159999999997</v>
      </c>
      <c r="D27">
        <v>0</v>
      </c>
      <c r="E27">
        <f>S0PRP1[[#This Row],[ Distance]]*20</f>
        <v>14786.831999999999</v>
      </c>
      <c r="F27" cm="1">
        <f t="array" ref="F27">E27*Drag_Constant*Area*Density/2</f>
        <v>1792.4412914999998</v>
      </c>
      <c r="G27">
        <f>SQRT(((Mass*g)^3)/(2*PI()*Density*Radius^2))*S0PRP1[[#This Row],[Time]]</f>
        <v>11216.565345629948</v>
      </c>
      <c r="H27">
        <f>S0PRP1[[#This Row],[E_horizon(J)]]+S0PRP1[[#This Row],[E_hover(J)]]</f>
        <v>13009.006637129947</v>
      </c>
    </row>
    <row r="28" spans="1:8" x14ac:dyDescent="0.35">
      <c r="A28">
        <v>138.6859</v>
      </c>
      <c r="B28">
        <v>4020</v>
      </c>
      <c r="C28">
        <v>750.38099999999997</v>
      </c>
      <c r="D28">
        <v>0</v>
      </c>
      <c r="E28">
        <f>S0PRP1[[#This Row],[ Distance]]*20</f>
        <v>15007.619999999999</v>
      </c>
      <c r="F28" cm="1">
        <f t="array" ref="F28">E28*Drag_Constant*Area*Density/2</f>
        <v>1819.2049368749999</v>
      </c>
      <c r="G28">
        <f>SQRT(((Mass*g)^3)/(2*PI()*Density*Radius^2))*S0PRP1[[#This Row],[Time]]</f>
        <v>10713.844154538019</v>
      </c>
      <c r="H28">
        <f>S0PRP1[[#This Row],[E_horizon(J)]]+S0PRP1[[#This Row],[E_hover(J)]]</f>
        <v>12533.049091413019</v>
      </c>
    </row>
    <row r="29" spans="1:8" x14ac:dyDescent="0.35">
      <c r="A29">
        <v>135.3527</v>
      </c>
      <c r="B29">
        <v>4064</v>
      </c>
      <c r="C29">
        <v>736.53719999999998</v>
      </c>
      <c r="D29">
        <v>0</v>
      </c>
      <c r="E29">
        <f>S0PRP1[[#This Row],[ Distance]]*20</f>
        <v>14730.743999999999</v>
      </c>
      <c r="F29" cm="1">
        <f t="array" ref="F29">E29*Drag_Constant*Area*Density/2</f>
        <v>1785.6423742499996</v>
      </c>
      <c r="G29">
        <f>SQRT(((Mass*g)^3)/(2*PI()*Density*Radius^2))*S0PRP1[[#This Row],[Time]]</f>
        <v>10456.345841184562</v>
      </c>
      <c r="H29">
        <f>S0PRP1[[#This Row],[E_horizon(J)]]+S0PRP1[[#This Row],[E_hover(J)]]</f>
        <v>12241.988215434561</v>
      </c>
    </row>
    <row r="30" spans="1:8" x14ac:dyDescent="0.35">
      <c r="A30">
        <v>142.5198</v>
      </c>
      <c r="B30">
        <v>4104</v>
      </c>
      <c r="C30">
        <v>759.11019999999996</v>
      </c>
      <c r="D30">
        <v>0</v>
      </c>
      <c r="E30">
        <f>S0PRP1[[#This Row],[ Distance]]*20</f>
        <v>15182.204</v>
      </c>
      <c r="F30" cm="1">
        <f t="array" ref="F30">E30*Drag_Constant*Area*Density/2</f>
        <v>1840.3677911249999</v>
      </c>
      <c r="G30">
        <f>SQRT(((Mass*g)^3)/(2*PI()*Density*Radius^2))*S0PRP1[[#This Row],[Time]]</f>
        <v>11010.022836755054</v>
      </c>
      <c r="H30">
        <f>S0PRP1[[#This Row],[E_horizon(J)]]+S0PRP1[[#This Row],[E_hover(J)]]</f>
        <v>12850.390627880053</v>
      </c>
    </row>
    <row r="31" spans="1:8" x14ac:dyDescent="0.35">
      <c r="A31">
        <v>141.81989999999999</v>
      </c>
      <c r="B31">
        <v>4042</v>
      </c>
      <c r="C31">
        <v>758.21320000000003</v>
      </c>
      <c r="D31">
        <v>0</v>
      </c>
      <c r="E31">
        <f>S0PRP1[[#This Row],[ Distance]]*20</f>
        <v>15164.264000000001</v>
      </c>
      <c r="F31" cm="1">
        <f t="array" ref="F31">E31*Drag_Constant*Area*Density/2</f>
        <v>1838.1931267499999</v>
      </c>
      <c r="G31">
        <f>SQRT(((Mass*g)^3)/(2*PI()*Density*Radius^2))*S0PRP1[[#This Row],[Time]]</f>
        <v>10955.953753136882</v>
      </c>
      <c r="H31">
        <f>S0PRP1[[#This Row],[E_horizon(J)]]+S0PRP1[[#This Row],[E_hover(J)]]</f>
        <v>12794.146879886883</v>
      </c>
    </row>
    <row r="32" spans="1:8" x14ac:dyDescent="0.35">
      <c r="A32">
        <v>139.1867</v>
      </c>
      <c r="B32">
        <v>4014</v>
      </c>
      <c r="C32">
        <v>766.87139999999999</v>
      </c>
      <c r="D32">
        <v>0</v>
      </c>
      <c r="E32">
        <f>S0PRP1[[#This Row],[ Distance]]*20</f>
        <v>15337.428</v>
      </c>
      <c r="F32" cm="1">
        <f t="array" ref="F32">E32*Drag_Constant*Area*Density/2</f>
        <v>1859.1838503749998</v>
      </c>
      <c r="G32">
        <f>SQRT(((Mass*g)^3)/(2*PI()*Density*Radius^2))*S0PRP1[[#This Row],[Time]]</f>
        <v>10752.532248660007</v>
      </c>
      <c r="H32">
        <f>S0PRP1[[#This Row],[E_horizon(J)]]+S0PRP1[[#This Row],[E_hover(J)]]</f>
        <v>12611.716099035008</v>
      </c>
    </row>
    <row r="33" spans="1:8" x14ac:dyDescent="0.35">
      <c r="A33">
        <v>145.5198</v>
      </c>
      <c r="B33">
        <v>4059</v>
      </c>
      <c r="C33">
        <v>762.34339999999997</v>
      </c>
      <c r="D33">
        <v>0</v>
      </c>
      <c r="E33">
        <f>S0PRP1[[#This Row],[ Distance]]*20</f>
        <v>15246.867999999999</v>
      </c>
      <c r="F33" cm="1">
        <f t="array" ref="F33">E33*Drag_Constant*Area*Density/2</f>
        <v>1848.2062803749996</v>
      </c>
      <c r="G33">
        <f>SQRT(((Mass*g)^3)/(2*PI()*Density*Radius^2))*S0PRP1[[#This Row],[Time]]</f>
        <v>11241.780589083257</v>
      </c>
      <c r="H33">
        <f>S0PRP1[[#This Row],[E_horizon(J)]]+S0PRP1[[#This Row],[E_hover(J)]]</f>
        <v>13089.986869458256</v>
      </c>
    </row>
    <row r="34" spans="1:8" x14ac:dyDescent="0.35">
      <c r="A34">
        <v>162.5889</v>
      </c>
      <c r="B34">
        <v>4250</v>
      </c>
      <c r="C34">
        <v>837.11389999999994</v>
      </c>
      <c r="D34">
        <v>0</v>
      </c>
      <c r="E34">
        <f>S0PRP1[[#This Row],[ Distance]]*20</f>
        <v>16742.277999999998</v>
      </c>
      <c r="F34" cm="1">
        <f t="array" ref="F34">E34*Drag_Constant*Area*Density/2</f>
        <v>2029.4780113124998</v>
      </c>
      <c r="G34">
        <f>SQRT(((Mass*g)^3)/(2*PI()*Density*Radius^2))*S0PRP1[[#This Row],[Time]]</f>
        <v>12560.412672505039</v>
      </c>
      <c r="H34">
        <f>S0PRP1[[#This Row],[E_horizon(J)]]+S0PRP1[[#This Row],[E_hover(J)]]</f>
        <v>14589.890683817539</v>
      </c>
    </row>
    <row r="35" spans="1:8" x14ac:dyDescent="0.35">
      <c r="A35">
        <v>141.30609999999999</v>
      </c>
      <c r="B35">
        <v>4122</v>
      </c>
      <c r="C35">
        <v>791.46789999999999</v>
      </c>
      <c r="D35">
        <v>0</v>
      </c>
      <c r="E35">
        <f>S0PRP1[[#This Row],[ Distance]]*20</f>
        <v>15829.358</v>
      </c>
      <c r="F35" cm="1">
        <f t="array" ref="F35">E35*Drag_Constant*Area*Density/2</f>
        <v>1918.8149900624999</v>
      </c>
      <c r="G35">
        <f>SQRT(((Mass*g)^3)/(2*PI()*Density*Radius^2))*S0PRP1[[#This Row],[Time]]</f>
        <v>10916.261375421471</v>
      </c>
      <c r="H35">
        <f>S0PRP1[[#This Row],[E_horizon(J)]]+S0PRP1[[#This Row],[E_hover(J)]]</f>
        <v>12835.07636548397</v>
      </c>
    </row>
    <row r="36" spans="1:8" x14ac:dyDescent="0.35">
      <c r="A36">
        <v>147.22380000000001</v>
      </c>
      <c r="B36">
        <v>3906</v>
      </c>
      <c r="C36">
        <v>744.13199999999995</v>
      </c>
      <c r="D36">
        <v>0</v>
      </c>
      <c r="E36">
        <f>S0PRP1[[#This Row],[ Distance]]*20</f>
        <v>14882.64</v>
      </c>
      <c r="F36" cm="1">
        <f t="array" ref="F36">E36*Drag_Constant*Area*Density/2</f>
        <v>1804.0550174999998</v>
      </c>
      <c r="G36">
        <f>SQRT(((Mass*g)^3)/(2*PI()*Density*Radius^2))*S0PRP1[[#This Row],[Time]]</f>
        <v>11373.418992405677</v>
      </c>
      <c r="H36">
        <f>S0PRP1[[#This Row],[E_horizon(J)]]+S0PRP1[[#This Row],[E_hover(J)]]</f>
        <v>13177.474009905676</v>
      </c>
    </row>
    <row r="37" spans="1:8" x14ac:dyDescent="0.35">
      <c r="A37">
        <v>138.71270000000001</v>
      </c>
      <c r="B37">
        <v>4003</v>
      </c>
      <c r="C37">
        <v>773.63480000000004</v>
      </c>
      <c r="D37">
        <v>0</v>
      </c>
      <c r="E37">
        <f>S0PRP1[[#This Row],[ Distance]]*20</f>
        <v>15472.696</v>
      </c>
      <c r="F37" cm="1">
        <f t="array" ref="F37">E37*Drag_Constant*Area*Density/2</f>
        <v>1875.5808682500001</v>
      </c>
      <c r="G37">
        <f>SQRT(((Mass*g)^3)/(2*PI()*Density*Radius^2))*S0PRP1[[#This Row],[Time]]</f>
        <v>10715.914523792153</v>
      </c>
      <c r="H37">
        <f>S0PRP1[[#This Row],[E_horizon(J)]]+S0PRP1[[#This Row],[E_hover(J)]]</f>
        <v>12591.495392042154</v>
      </c>
    </row>
    <row r="38" spans="1:8" x14ac:dyDescent="0.35">
      <c r="A38">
        <v>134.72130000000001</v>
      </c>
      <c r="B38">
        <v>3977</v>
      </c>
      <c r="C38">
        <v>723.01009999999997</v>
      </c>
      <c r="D38">
        <v>0</v>
      </c>
      <c r="E38">
        <f>S0PRP1[[#This Row],[ Distance]]*20</f>
        <v>14460.201999999999</v>
      </c>
      <c r="F38" cm="1">
        <f t="array" ref="F38">E38*Drag_Constant*Area*Density/2</f>
        <v>1752.8476111875</v>
      </c>
      <c r="G38">
        <f>SQRT(((Mass*g)^3)/(2*PI()*Density*Radius^2))*S0PRP1[[#This Row],[Time]]</f>
        <v>10407.568559577889</v>
      </c>
      <c r="H38">
        <f>S0PRP1[[#This Row],[E_horizon(J)]]+S0PRP1[[#This Row],[E_hover(J)]]</f>
        <v>12160.416170765389</v>
      </c>
    </row>
    <row r="39" spans="1:8" x14ac:dyDescent="0.35">
      <c r="A39">
        <v>157.48830000000001</v>
      </c>
      <c r="B39">
        <v>4040</v>
      </c>
      <c r="C39">
        <v>842.18550000000005</v>
      </c>
      <c r="D39">
        <v>0</v>
      </c>
      <c r="E39">
        <f>S0PRP1[[#This Row],[ Distance]]*20</f>
        <v>16843.71</v>
      </c>
      <c r="F39" cm="1">
        <f t="array" ref="F39">E39*Drag_Constant*Area*Density/2</f>
        <v>2041.7734715624997</v>
      </c>
      <c r="G39">
        <f>SQRT(((Mass*g)^3)/(2*PI()*Density*Radius^2))*S0PRP1[[#This Row],[Time]]</f>
        <v>12166.378141996627</v>
      </c>
      <c r="H39">
        <f>S0PRP1[[#This Row],[E_horizon(J)]]+S0PRP1[[#This Row],[E_hover(J)]]</f>
        <v>14208.151613559126</v>
      </c>
    </row>
    <row r="40" spans="1:8" x14ac:dyDescent="0.35">
      <c r="A40">
        <v>156.1541</v>
      </c>
      <c r="B40">
        <v>4223</v>
      </c>
      <c r="C40">
        <v>808.71410000000003</v>
      </c>
      <c r="D40">
        <v>0</v>
      </c>
      <c r="E40">
        <f>S0PRP1[[#This Row],[ Distance]]*20</f>
        <v>16174.282000000001</v>
      </c>
      <c r="F40" cm="1">
        <f t="array" ref="F40">E40*Drag_Constant*Area*Density/2</f>
        <v>1960.6262461875001</v>
      </c>
      <c r="G40">
        <f>SQRT(((Mass*g)^3)/(2*PI()*Density*Radius^2))*S0PRP1[[#This Row],[Time]]</f>
        <v>12063.307744277863</v>
      </c>
      <c r="H40">
        <f>S0PRP1[[#This Row],[E_horizon(J)]]+S0PRP1[[#This Row],[E_hover(J)]]</f>
        <v>14023.933990465363</v>
      </c>
    </row>
    <row r="41" spans="1:8" x14ac:dyDescent="0.35">
      <c r="A41">
        <v>133.98609999999999</v>
      </c>
      <c r="B41">
        <v>3969</v>
      </c>
      <c r="C41">
        <v>717.10130000000004</v>
      </c>
      <c r="D41">
        <v>0</v>
      </c>
      <c r="E41">
        <f>S0PRP1[[#This Row],[ Distance]]*20</f>
        <v>14342.026000000002</v>
      </c>
      <c r="F41" cm="1">
        <f t="array" ref="F41">E41*Drag_Constant*Area*Density/2</f>
        <v>1738.5224641875002</v>
      </c>
      <c r="G41">
        <f>SQRT(((Mass*g)^3)/(2*PI()*Density*Radius^2))*S0PRP1[[#This Row],[Time]]</f>
        <v>10350.772459740654</v>
      </c>
      <c r="H41">
        <f>S0PRP1[[#This Row],[E_horizon(J)]]+S0PRP1[[#This Row],[E_hover(J)]]</f>
        <v>12089.294923928155</v>
      </c>
    </row>
    <row r="42" spans="1:8" x14ac:dyDescent="0.35">
      <c r="A42">
        <v>143.70150000000001</v>
      </c>
      <c r="B42">
        <v>3944</v>
      </c>
      <c r="C42">
        <v>789.99630000000002</v>
      </c>
      <c r="D42">
        <v>0</v>
      </c>
      <c r="E42">
        <f>S0PRP1[[#This Row],[ Distance]]*20</f>
        <v>15799.925999999999</v>
      </c>
      <c r="F42" cm="1">
        <f t="array" ref="F42">E42*Drag_Constant*Area*Density/2</f>
        <v>1915.2472798124998</v>
      </c>
      <c r="G42">
        <f>SQRT(((Mass*g)^3)/(2*PI()*Density*Radius^2))*S0PRP1[[#This Row],[Time]]</f>
        <v>11101.312215397133</v>
      </c>
      <c r="H42">
        <f>S0PRP1[[#This Row],[E_horizon(J)]]+S0PRP1[[#This Row],[E_hover(J)]]</f>
        <v>13016.559495209633</v>
      </c>
    </row>
    <row r="43" spans="1:8" x14ac:dyDescent="0.35">
      <c r="A43">
        <v>143.02789999999999</v>
      </c>
      <c r="B43">
        <v>3940</v>
      </c>
      <c r="C43">
        <v>771.11569999999995</v>
      </c>
      <c r="D43">
        <v>0</v>
      </c>
      <c r="E43">
        <f>S0PRP1[[#This Row],[ Distance]]*20</f>
        <v>15422.313999999998</v>
      </c>
      <c r="F43" cm="1">
        <f t="array" ref="F43">E43*Drag_Constant*Area*Density/2</f>
        <v>1869.4736251874997</v>
      </c>
      <c r="G43">
        <f>SQRT(((Mass*g)^3)/(2*PI()*Density*Radius^2))*S0PRP1[[#This Row],[Time]]</f>
        <v>11049.274874741039</v>
      </c>
      <c r="H43">
        <f>S0PRP1[[#This Row],[E_horizon(J)]]+S0PRP1[[#This Row],[E_hover(J)]]</f>
        <v>12918.748499928539</v>
      </c>
    </row>
    <row r="44" spans="1:8" x14ac:dyDescent="0.35">
      <c r="A44">
        <v>147.1018</v>
      </c>
      <c r="B44">
        <v>3968</v>
      </c>
      <c r="C44">
        <v>803.63149999999996</v>
      </c>
      <c r="D44">
        <v>0</v>
      </c>
      <c r="E44">
        <f>S0PRP1[[#This Row],[ Distance]]*20</f>
        <v>16072.63</v>
      </c>
      <c r="F44" cm="1">
        <f t="array" ref="F44">E44*Drag_Constant*Area*Density/2</f>
        <v>1948.3041178125</v>
      </c>
      <c r="G44">
        <f>SQRT(((Mass*g)^3)/(2*PI()*Density*Radius^2))*S0PRP1[[#This Row],[Time]]</f>
        <v>11363.99417714433</v>
      </c>
      <c r="H44">
        <f>S0PRP1[[#This Row],[E_horizon(J)]]+S0PRP1[[#This Row],[E_hover(J)]]</f>
        <v>13312.29829495683</v>
      </c>
    </row>
    <row r="45" spans="1:8" x14ac:dyDescent="0.35">
      <c r="A45">
        <v>143.15369999999999</v>
      </c>
      <c r="B45">
        <v>3939</v>
      </c>
      <c r="C45">
        <v>777.04409999999996</v>
      </c>
      <c r="D45">
        <v>0</v>
      </c>
      <c r="E45">
        <f>S0PRP1[[#This Row],[ Distance]]*20</f>
        <v>15540.882</v>
      </c>
      <c r="F45" cm="1">
        <f t="array" ref="F45">E45*Drag_Constant*Area*Density/2</f>
        <v>1883.8462899374999</v>
      </c>
      <c r="G45">
        <f>SQRT(((Mass*g)^3)/(2*PI()*Density*Radius^2))*S0PRP1[[#This Row],[Time]]</f>
        <v>11058.993249822002</v>
      </c>
      <c r="H45">
        <f>S0PRP1[[#This Row],[E_horizon(J)]]+S0PRP1[[#This Row],[E_hover(J)]]</f>
        <v>12942.839539759501</v>
      </c>
    </row>
    <row r="46" spans="1:8" x14ac:dyDescent="0.35">
      <c r="A46">
        <v>134.2533</v>
      </c>
      <c r="B46">
        <v>3961</v>
      </c>
      <c r="C46">
        <v>725.57370000000003</v>
      </c>
      <c r="D46">
        <v>0</v>
      </c>
      <c r="E46">
        <f>S0PRP1[[#This Row],[ Distance]]*20</f>
        <v>14511.474</v>
      </c>
      <c r="F46" cm="1">
        <f t="array" ref="F46">E46*Drag_Constant*Area*Density/2</f>
        <v>1759.0627389374999</v>
      </c>
      <c r="G46">
        <f>SQRT(((Mass*g)^3)/(2*PI()*Density*Radius^2))*S0PRP1[[#This Row],[Time]]</f>
        <v>10371.414350214687</v>
      </c>
      <c r="H46">
        <f>S0PRP1[[#This Row],[E_horizon(J)]]+S0PRP1[[#This Row],[E_hover(J)]]</f>
        <v>12130.477089152188</v>
      </c>
    </row>
    <row r="47" spans="1:8" x14ac:dyDescent="0.35">
      <c r="A47">
        <v>152.87950000000001</v>
      </c>
      <c r="B47">
        <v>4195</v>
      </c>
      <c r="C47">
        <v>781.99080000000004</v>
      </c>
      <c r="D47">
        <v>0</v>
      </c>
      <c r="E47">
        <f>S0PRP1[[#This Row],[ Distance]]*20</f>
        <v>15639.816000000001</v>
      </c>
      <c r="F47" cm="1">
        <f t="array" ref="F47">E47*Drag_Constant*Area*Density/2</f>
        <v>1895.83894575</v>
      </c>
      <c r="G47">
        <f>SQRT(((Mass*g)^3)/(2*PI()*Density*Radius^2))*S0PRP1[[#This Row],[Time]]</f>
        <v>11810.336432353219</v>
      </c>
      <c r="H47">
        <f>S0PRP1[[#This Row],[E_horizon(J)]]+S0PRP1[[#This Row],[E_hover(J)]]</f>
        <v>13706.175378103218</v>
      </c>
    </row>
    <row r="48" spans="1:8" x14ac:dyDescent="0.35">
      <c r="A48">
        <v>136.66749999999999</v>
      </c>
      <c r="B48">
        <v>3961</v>
      </c>
      <c r="C48">
        <v>735.49800000000005</v>
      </c>
      <c r="D48">
        <v>0</v>
      </c>
      <c r="E48">
        <f>S0PRP1[[#This Row],[ Distance]]*20</f>
        <v>14709.960000000001</v>
      </c>
      <c r="F48" cm="1">
        <f t="array" ref="F48">E48*Drag_Constant*Area*Density/2</f>
        <v>1783.1229637500001</v>
      </c>
      <c r="G48">
        <f>SQRT(((Mass*g)^3)/(2*PI()*Density*Radius^2))*S0PRP1[[#This Row],[Time]]</f>
        <v>10557.917538771602</v>
      </c>
      <c r="H48">
        <f>S0PRP1[[#This Row],[E_horizon(J)]]+S0PRP1[[#This Row],[E_hover(J)]]</f>
        <v>12341.040502521602</v>
      </c>
    </row>
    <row r="49" spans="1:8" x14ac:dyDescent="0.35">
      <c r="A49">
        <v>144.42080000000001</v>
      </c>
      <c r="B49">
        <v>4050</v>
      </c>
      <c r="C49">
        <v>777.2269</v>
      </c>
      <c r="D49">
        <v>0</v>
      </c>
      <c r="E49">
        <f>S0PRP1[[#This Row],[ Distance]]*20</f>
        <v>15544.538</v>
      </c>
      <c r="F49" cm="1">
        <f t="array" ref="F49">E49*Drag_Constant*Area*Density/2</f>
        <v>1884.2894656874998</v>
      </c>
      <c r="G49">
        <f>SQRT(((Mass*g)^3)/(2*PI()*Density*Radius^2))*S0PRP1[[#This Row],[Time]]</f>
        <v>11156.879999147026</v>
      </c>
      <c r="H49">
        <f>S0PRP1[[#This Row],[E_horizon(J)]]+S0PRP1[[#This Row],[E_hover(J)]]</f>
        <v>13041.169464834526</v>
      </c>
    </row>
    <row r="50" spans="1:8" x14ac:dyDescent="0.35">
      <c r="A50">
        <v>149.67699999999999</v>
      </c>
      <c r="B50">
        <v>4166</v>
      </c>
      <c r="C50">
        <v>799.88210000000004</v>
      </c>
      <c r="D50">
        <v>0</v>
      </c>
      <c r="E50">
        <f>S0PRP1[[#This Row],[ Distance]]*20</f>
        <v>15997.642</v>
      </c>
      <c r="F50" cm="1">
        <f t="array" ref="F50">E50*Drag_Constant*Area*Density/2</f>
        <v>1939.2141661874998</v>
      </c>
      <c r="G50">
        <f>SQRT(((Mass*g)^3)/(2*PI()*Density*Radius^2))*S0PRP1[[#This Row],[Time]]</f>
        <v>11562.93503174286</v>
      </c>
      <c r="H50">
        <f>S0PRP1[[#This Row],[E_horizon(J)]]+S0PRP1[[#This Row],[E_hover(J)]]</f>
        <v>13502.149197930359</v>
      </c>
    </row>
    <row r="51" spans="1:8" x14ac:dyDescent="0.35">
      <c r="A51">
        <v>154.69210000000001</v>
      </c>
      <c r="B51">
        <v>4091</v>
      </c>
      <c r="C51">
        <v>825.46249999999998</v>
      </c>
      <c r="D51">
        <v>0</v>
      </c>
      <c r="E51">
        <f>S0PRP1[[#This Row],[ Distance]]*20</f>
        <v>16509.25</v>
      </c>
      <c r="F51" cm="1">
        <f t="array" ref="F51">E51*Drag_Constant*Area*Density/2</f>
        <v>2001.2306484374999</v>
      </c>
      <c r="G51">
        <f>SQRT(((Mass*g)^3)/(2*PI()*Density*Radius^2))*S0PRP1[[#This Row],[Time]]</f>
        <v>11950.36446630992</v>
      </c>
      <c r="H51">
        <f>S0PRP1[[#This Row],[E_horizon(J)]]+S0PRP1[[#This Row],[E_hover(J)]]</f>
        <v>13951.595114747421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0C3-D836-4633-ABAA-B6674AE3F7B6}">
  <dimension ref="A1:U104"/>
  <sheetViews>
    <sheetView tabSelected="1" workbookViewId="0">
      <selection activeCell="K101" sqref="K101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0" bestFit="1" customWidth="1"/>
    <col min="19" max="19" width="12.6328125" customWidth="1"/>
    <col min="20" max="20" width="10" bestFit="1" customWidth="1"/>
    <col min="21" max="21" width="10.90625" customWidth="1"/>
  </cols>
  <sheetData>
    <row r="1" spans="1:21" ht="15" thickBot="1" x14ac:dyDescent="0.4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R1" s="4" t="s">
        <v>53</v>
      </c>
      <c r="S1" s="5" t="s">
        <v>52</v>
      </c>
      <c r="T1" s="5" t="s">
        <v>54</v>
      </c>
      <c r="U1" s="6" t="s">
        <v>50</v>
      </c>
    </row>
    <row r="2" spans="1:21" x14ac:dyDescent="0.35">
      <c r="A2">
        <v>170.41499999999999</v>
      </c>
      <c r="B2">
        <v>4791</v>
      </c>
      <c r="C2">
        <v>1039.318</v>
      </c>
      <c r="D2">
        <v>0</v>
      </c>
      <c r="E2">
        <f>S1PRP1[[#This Row],[ Distance]]*20</f>
        <v>20786.36</v>
      </c>
      <c r="F2" cm="1">
        <f t="array" ref="F2">E2*Drag_Constant*Area*Density/2</f>
        <v>2519.6965762499999</v>
      </c>
      <c r="G2">
        <f>SQRT(((Mass*g)^3)/(2*PI()*Density*Radius^2))*S1PRP1[[#This Row],[Time]]</f>
        <v>13164.999121003624</v>
      </c>
      <c r="H2">
        <f>S1PRP1[[#This Row],[E_horizon(J)]]+S1PRP1[[#This Row],[E_hover(J)]]</f>
        <v>15684.695697253625</v>
      </c>
      <c r="I2">
        <f>AVERAGE(S1PRP1[Time])</f>
        <v>213.41102621359227</v>
      </c>
      <c r="J2">
        <f>AVERAGE(S1PRP1[[ NumMsgSent]])</f>
        <v>5189.1262135922334</v>
      </c>
      <c r="K2">
        <f>AVERAGE(S1PRP1[[ Distance]])</f>
        <v>1040.1793087378635</v>
      </c>
      <c r="L2">
        <f>AVERAGE(S1PRP1[[ NodesLost]])</f>
        <v>0.27184466019417475</v>
      </c>
      <c r="M2">
        <f>COUNTIF(S1PRP1[[ NodesLost]],"&gt;0")/COUNT(S1PRP1[[ NodesLost]])</f>
        <v>0.23300970873786409</v>
      </c>
      <c r="N2">
        <f>AVERAGE(S1PRP1[E_horizon(J)])</f>
        <v>2521.7847116213579</v>
      </c>
      <c r="O2">
        <f>AVERAGE(S1PRP1[E_hover(J)])</f>
        <v>16486.553252439182</v>
      </c>
      <c r="P2">
        <f>N2+O2</f>
        <v>19008.337964060542</v>
      </c>
      <c r="R2" s="2">
        <v>1</v>
      </c>
      <c r="S2" s="1">
        <f t="shared" ref="S2:S33" si="0">A2</f>
        <v>170.41499999999999</v>
      </c>
      <c r="T2" s="1">
        <f>Tabel10[[#This Row],[Rank]]/(1+COUNTA(Tabel10[TimeSorted]))</f>
        <v>9.6153846153846159E-3</v>
      </c>
      <c r="U2" s="3">
        <f>_xlfn.NORM.INV(Tabel10[[#This Row],[P]],0,1)</f>
        <v>-2.3410271376304475</v>
      </c>
    </row>
    <row r="3" spans="1:21" x14ac:dyDescent="0.35">
      <c r="A3">
        <v>183.83840000000001</v>
      </c>
      <c r="B3">
        <v>4952</v>
      </c>
      <c r="C3">
        <v>1110.4570000000001</v>
      </c>
      <c r="D3">
        <v>0</v>
      </c>
      <c r="E3">
        <f>S1PRP1[[#This Row],[ Distance]]*20</f>
        <v>22209.140000000003</v>
      </c>
      <c r="F3" cm="1">
        <f t="array" ref="F3">E3*Drag_Constant*Area*Density/2</f>
        <v>2692.1641893750002</v>
      </c>
      <c r="G3">
        <f>SQRT(((Mass*g)^3)/(2*PI()*Density*Radius^2))*S1PRP1[[#This Row],[Time]]</f>
        <v>14201.991458537763</v>
      </c>
      <c r="H3">
        <f>S1PRP1[[#This Row],[E_horizon(J)]]+S1PRP1[[#This Row],[E_hover(J)]]</f>
        <v>16894.155647912761</v>
      </c>
      <c r="R3" s="7">
        <v>2</v>
      </c>
      <c r="S3" s="8">
        <f t="shared" si="0"/>
        <v>183.83840000000001</v>
      </c>
      <c r="T3" s="8">
        <f>Tabel10[[#This Row],[Rank]]/(1+COUNTA(Tabel10[TimeSorted]))</f>
        <v>1.9230769230769232E-2</v>
      </c>
      <c r="U3" s="9">
        <f>_xlfn.NORM.INV(Tabel10[[#This Row],[P]],0,1)</f>
        <v>-2.0699018308950512</v>
      </c>
    </row>
    <row r="4" spans="1:21" x14ac:dyDescent="0.35">
      <c r="A4">
        <v>187.5436</v>
      </c>
      <c r="B4">
        <v>5029</v>
      </c>
      <c r="C4">
        <v>1147.749</v>
      </c>
      <c r="D4">
        <v>0</v>
      </c>
      <c r="E4">
        <f>S1PRP1[[#This Row],[ Distance]]*20</f>
        <v>22954.98</v>
      </c>
      <c r="F4" cm="1">
        <f t="array" ref="F4">E4*Drag_Constant*Area*Density/2</f>
        <v>2782.5739818749998</v>
      </c>
      <c r="G4">
        <f>SQRT(((Mass*g)^3)/(2*PI()*Density*Radius^2))*S1PRP1[[#This Row],[Time]]</f>
        <v>14488.227733179916</v>
      </c>
      <c r="H4">
        <f>S1PRP1[[#This Row],[E_horizon(J)]]+S1PRP1[[#This Row],[E_hover(J)]]</f>
        <v>17270.801715054917</v>
      </c>
      <c r="R4" s="2">
        <v>3</v>
      </c>
      <c r="S4" s="1">
        <f t="shared" si="0"/>
        <v>187.5436</v>
      </c>
      <c r="T4" s="1">
        <f>Tabel10[[#This Row],[Rank]]/(1+COUNTA(Tabel10[TimeSorted]))</f>
        <v>2.8846153846153848E-2</v>
      </c>
      <c r="U4" s="3">
        <f>_xlfn.NORM.INV(Tabel10[[#This Row],[P]],0,1)</f>
        <v>-1.8980286526220012</v>
      </c>
    </row>
    <row r="5" spans="1:21" x14ac:dyDescent="0.35">
      <c r="A5">
        <v>184.1258</v>
      </c>
      <c r="B5">
        <v>4889</v>
      </c>
      <c r="C5">
        <v>1128.0409999999999</v>
      </c>
      <c r="D5">
        <v>0</v>
      </c>
      <c r="E5">
        <f>S1PRP1[[#This Row],[ Distance]]*20</f>
        <v>22560.82</v>
      </c>
      <c r="F5" cm="1">
        <f t="array" ref="F5">E5*Drag_Constant*Area*Density/2</f>
        <v>2734.7943993749996</v>
      </c>
      <c r="G5">
        <f>SQRT(((Mass*g)^3)/(2*PI()*Density*Radius^2))*S1PRP1[[#This Row],[Time]]</f>
        <v>14224.193851210804</v>
      </c>
      <c r="H5">
        <f>S1PRP1[[#This Row],[E_horizon(J)]]+S1PRP1[[#This Row],[E_hover(J)]]</f>
        <v>16958.988250585804</v>
      </c>
      <c r="R5" s="7">
        <v>4</v>
      </c>
      <c r="S5" s="8">
        <f t="shared" si="0"/>
        <v>184.1258</v>
      </c>
      <c r="T5" s="8">
        <f>Tabel10[[#This Row],[Rank]]/(1+COUNTA(Tabel10[TimeSorted]))</f>
        <v>3.8461538461538464E-2</v>
      </c>
      <c r="U5" s="9">
        <f>_xlfn.NORM.INV(Tabel10[[#This Row],[P]],0,1)</f>
        <v>-1.7688250385187059</v>
      </c>
    </row>
    <row r="6" spans="1:21" x14ac:dyDescent="0.35">
      <c r="A6">
        <v>153.2423</v>
      </c>
      <c r="B6">
        <v>4297</v>
      </c>
      <c r="C6">
        <v>880.56600000000003</v>
      </c>
      <c r="D6">
        <v>0</v>
      </c>
      <c r="E6">
        <f>S1PRP1[[#This Row],[ Distance]]*20</f>
        <v>17611.32</v>
      </c>
      <c r="F6" cm="1">
        <f t="array" ref="F6">E6*Drag_Constant*Area*Density/2</f>
        <v>2134.8221962499997</v>
      </c>
      <c r="G6">
        <f>SQRT(((Mass*g)^3)/(2*PI()*Density*Radius^2))*S1PRP1[[#This Row],[Time]]</f>
        <v>11838.363669868109</v>
      </c>
      <c r="H6">
        <f>S1PRP1[[#This Row],[E_horizon(J)]]+S1PRP1[[#This Row],[E_hover(J)]]</f>
        <v>13973.185866118109</v>
      </c>
      <c r="R6" s="2">
        <v>5</v>
      </c>
      <c r="S6" s="1">
        <f t="shared" si="0"/>
        <v>153.2423</v>
      </c>
      <c r="T6" s="1">
        <f>Tabel10[[#This Row],[Rank]]/(1+COUNTA(Tabel10[TimeSorted]))</f>
        <v>4.807692307692308E-2</v>
      </c>
      <c r="U6" s="3">
        <f>_xlfn.NORM.INV(Tabel10[[#This Row],[P]],0,1)</f>
        <v>-1.6637927858850741</v>
      </c>
    </row>
    <row r="7" spans="1:21" x14ac:dyDescent="0.35">
      <c r="A7">
        <v>190.1677</v>
      </c>
      <c r="B7">
        <v>5133</v>
      </c>
      <c r="C7">
        <v>1167.33</v>
      </c>
      <c r="D7">
        <v>0</v>
      </c>
      <c r="E7">
        <f>S1PRP1[[#This Row],[ Distance]]*20</f>
        <v>23346.6</v>
      </c>
      <c r="F7" cm="1">
        <f t="array" ref="F7">E7*Drag_Constant*Area*Density/2</f>
        <v>2830.0456687499995</v>
      </c>
      <c r="G7">
        <f>SQRT(((Mass*g)^3)/(2*PI()*Density*Radius^2))*S1PRP1[[#This Row],[Time]]</f>
        <v>14690.946239141396</v>
      </c>
      <c r="H7">
        <f>S1PRP1[[#This Row],[E_horizon(J)]]+S1PRP1[[#This Row],[E_hover(J)]]</f>
        <v>17520.991907891395</v>
      </c>
      <c r="R7" s="7">
        <v>6</v>
      </c>
      <c r="S7" s="8">
        <f t="shared" si="0"/>
        <v>190.1677</v>
      </c>
      <c r="T7" s="8">
        <f>Tabel10[[#This Row],[Rank]]/(1+COUNTA(Tabel10[TimeSorted]))</f>
        <v>5.7692307692307696E-2</v>
      </c>
      <c r="U7" s="9">
        <f>_xlfn.NORM.INV(Tabel10[[#This Row],[P]],0,1)</f>
        <v>-1.5744449652170427</v>
      </c>
    </row>
    <row r="8" spans="1:21" x14ac:dyDescent="0.35">
      <c r="A8">
        <v>190.74860000000001</v>
      </c>
      <c r="B8">
        <v>4740</v>
      </c>
      <c r="C8">
        <v>1015.997</v>
      </c>
      <c r="D8">
        <v>0</v>
      </c>
      <c r="E8">
        <f>S1PRP1[[#This Row],[ Distance]]*20</f>
        <v>20319.939999999999</v>
      </c>
      <c r="F8" cm="1">
        <f t="array" ref="F8">E8*Drag_Constant*Area*Density/2</f>
        <v>2463.1577268749998</v>
      </c>
      <c r="G8">
        <f>SQRT(((Mass*g)^3)/(2*PI()*Density*Radius^2))*S1PRP1[[#This Row],[Time]]</f>
        <v>14735.822265250548</v>
      </c>
      <c r="H8">
        <f>S1PRP1[[#This Row],[E_horizon(J)]]+S1PRP1[[#This Row],[E_hover(J)]]</f>
        <v>17198.979992125547</v>
      </c>
      <c r="R8" s="2">
        <v>7</v>
      </c>
      <c r="S8" s="1">
        <f t="shared" si="0"/>
        <v>190.74860000000001</v>
      </c>
      <c r="T8" s="1">
        <f>Tabel10[[#This Row],[Rank]]/(1+COUNTA(Tabel10[TimeSorted]))</f>
        <v>6.7307692307692304E-2</v>
      </c>
      <c r="U8" s="3">
        <f>_xlfn.NORM.INV(Tabel10[[#This Row],[P]],0,1)</f>
        <v>-1.4961468762163621</v>
      </c>
    </row>
    <row r="9" spans="1:21" x14ac:dyDescent="0.35">
      <c r="A9">
        <v>202.9085</v>
      </c>
      <c r="B9">
        <v>5284</v>
      </c>
      <c r="C9">
        <v>1174.6099999999999</v>
      </c>
      <c r="D9">
        <v>0</v>
      </c>
      <c r="E9">
        <f>S1PRP1[[#This Row],[ Distance]]*20</f>
        <v>23492.199999999997</v>
      </c>
      <c r="F9" cm="1">
        <f t="array" ref="F9">E9*Drag_Constant*Area*Density/2</f>
        <v>2847.6951187499994</v>
      </c>
      <c r="G9">
        <f>SQRT(((Mass*g)^3)/(2*PI()*Density*Radius^2))*S1PRP1[[#This Row],[Time]]</f>
        <v>15675.205962762457</v>
      </c>
      <c r="H9">
        <f>S1PRP1[[#This Row],[E_horizon(J)]]+S1PRP1[[#This Row],[E_hover(J)]]</f>
        <v>18522.901081512457</v>
      </c>
      <c r="R9" s="7">
        <v>8</v>
      </c>
      <c r="S9" s="8">
        <f t="shared" si="0"/>
        <v>202.9085</v>
      </c>
      <c r="T9" s="8">
        <f>Tabel10[[#This Row],[Rank]]/(1+COUNTA(Tabel10[TimeSorted]))</f>
        <v>7.6923076923076927E-2</v>
      </c>
      <c r="U9" s="9">
        <f>_xlfn.NORM.INV(Tabel10[[#This Row],[P]],0,1)</f>
        <v>-1.4260768722728474</v>
      </c>
    </row>
    <row r="10" spans="1:21" x14ac:dyDescent="0.35">
      <c r="A10">
        <v>204.8058</v>
      </c>
      <c r="B10">
        <v>5197</v>
      </c>
      <c r="C10">
        <v>1182.2750000000001</v>
      </c>
      <c r="D10">
        <v>0</v>
      </c>
      <c r="E10">
        <f>S1PRP1[[#This Row],[ Distance]]*20</f>
        <v>23645.5</v>
      </c>
      <c r="F10" cm="1">
        <f t="array" ref="F10">E10*Drag_Constant*Area*Density/2</f>
        <v>2866.2779531249998</v>
      </c>
      <c r="G10">
        <f>SQRT(((Mass*g)^3)/(2*PI()*Density*Radius^2))*S1PRP1[[#This Row],[Time]]</f>
        <v>15821.777290593223</v>
      </c>
      <c r="H10">
        <f>S1PRP1[[#This Row],[E_horizon(J)]]+S1PRP1[[#This Row],[E_hover(J)]]</f>
        <v>18688.055243718223</v>
      </c>
      <c r="R10" s="2">
        <v>9</v>
      </c>
      <c r="S10" s="1">
        <f t="shared" si="0"/>
        <v>204.8058</v>
      </c>
      <c r="T10" s="1">
        <f>Tabel10[[#This Row],[Rank]]/(1+COUNTA(Tabel10[TimeSorted]))</f>
        <v>8.6538461538461536E-2</v>
      </c>
      <c r="U10" s="3">
        <f>_xlfn.NORM.INV(Tabel10[[#This Row],[P]],0,1)</f>
        <v>-1.3623833894180193</v>
      </c>
    </row>
    <row r="11" spans="1:21" x14ac:dyDescent="0.35">
      <c r="A11">
        <v>196.41040000000001</v>
      </c>
      <c r="B11">
        <v>4995</v>
      </c>
      <c r="C11">
        <v>1080.751</v>
      </c>
      <c r="D11">
        <v>0</v>
      </c>
      <c r="E11">
        <f>S1PRP1[[#This Row],[ Distance]]*20</f>
        <v>21615.02</v>
      </c>
      <c r="F11" cm="1">
        <f t="array" ref="F11">E11*Drag_Constant*Area*Density/2</f>
        <v>2620.1457056249997</v>
      </c>
      <c r="G11">
        <f>SQRT(((Mass*g)^3)/(2*PI()*Density*Radius^2))*S1PRP1[[#This Row],[Time]]</f>
        <v>15173.210945961157</v>
      </c>
      <c r="H11">
        <f>S1PRP1[[#This Row],[E_horizon(J)]]+S1PRP1[[#This Row],[E_hover(J)]]</f>
        <v>17793.356651586157</v>
      </c>
      <c r="R11" s="7">
        <v>10</v>
      </c>
      <c r="S11" s="8">
        <f t="shared" si="0"/>
        <v>196.41040000000001</v>
      </c>
      <c r="T11" s="8">
        <f>Tabel10[[#This Row],[Rank]]/(1+COUNTA(Tabel10[TimeSorted]))</f>
        <v>9.6153846153846159E-2</v>
      </c>
      <c r="U11" s="9">
        <f>_xlfn.NORM.INV(Tabel10[[#This Row],[P]],0,1)</f>
        <v>-1.3037826721034875</v>
      </c>
    </row>
    <row r="12" spans="1:21" x14ac:dyDescent="0.35">
      <c r="A12">
        <v>169.36689999999999</v>
      </c>
      <c r="B12">
        <v>4320</v>
      </c>
      <c r="C12">
        <v>897.0181</v>
      </c>
      <c r="D12">
        <v>0</v>
      </c>
      <c r="E12">
        <f>S1PRP1[[#This Row],[ Distance]]*20</f>
        <v>17940.362000000001</v>
      </c>
      <c r="F12" cm="1">
        <f t="array" ref="F12">E12*Drag_Constant*Area*Density/2</f>
        <v>2174.7082561875</v>
      </c>
      <c r="G12">
        <f>SQRT(((Mass*g)^3)/(2*PI()*Density*Radius^2))*S1PRP1[[#This Row],[Time]]</f>
        <v>13084.030687598561</v>
      </c>
      <c r="H12">
        <f>S1PRP1[[#This Row],[E_horizon(J)]]+S1PRP1[[#This Row],[E_hover(J)]]</f>
        <v>15258.73894378606</v>
      </c>
      <c r="R12" s="2">
        <v>11</v>
      </c>
      <c r="S12" s="1">
        <f t="shared" si="0"/>
        <v>169.36689999999999</v>
      </c>
      <c r="T12" s="1">
        <f>Tabel10[[#This Row],[Rank]]/(1+COUNTA(Tabel10[TimeSorted]))</f>
        <v>0.10576923076923077</v>
      </c>
      <c r="U12" s="3">
        <f>_xlfn.NORM.INV(Tabel10[[#This Row],[P]],0,1)</f>
        <v>-1.2493462419630998</v>
      </c>
    </row>
    <row r="13" spans="1:21" x14ac:dyDescent="0.35">
      <c r="A13">
        <v>252.77610000000001</v>
      </c>
      <c r="B13">
        <v>5512</v>
      </c>
      <c r="C13">
        <v>1051.0640000000001</v>
      </c>
      <c r="D13">
        <v>1</v>
      </c>
      <c r="E13">
        <f>S1PRP1[[#This Row],[ Distance]]*20</f>
        <v>21021.280000000002</v>
      </c>
      <c r="F13" cm="1">
        <f t="array" ref="F13">E13*Drag_Constant*Area*Density/2</f>
        <v>2548.1732850000003</v>
      </c>
      <c r="G13">
        <f>SQRT(((Mass*g)^3)/(2*PI()*Density*Radius^2))*S1PRP1[[#This Row],[Time]]</f>
        <v>19527.60692609644</v>
      </c>
      <c r="H13">
        <f>S1PRP1[[#This Row],[E_horizon(J)]]+S1PRP1[[#This Row],[E_hover(J)]]</f>
        <v>22075.78021109644</v>
      </c>
      <c r="R13" s="7">
        <v>12</v>
      </c>
      <c r="S13" s="8">
        <f t="shared" si="0"/>
        <v>252.77610000000001</v>
      </c>
      <c r="T13" s="8">
        <f>Tabel10[[#This Row],[Rank]]/(1+COUNTA(Tabel10[TimeSorted]))</f>
        <v>0.11538461538461539</v>
      </c>
      <c r="U13" s="9">
        <f>_xlfn.NORM.INV(Tabel10[[#This Row],[P]],0,1)</f>
        <v>-1.1983797023069247</v>
      </c>
    </row>
    <row r="14" spans="1:21" x14ac:dyDescent="0.35">
      <c r="A14">
        <v>254.553</v>
      </c>
      <c r="B14">
        <v>5700</v>
      </c>
      <c r="C14">
        <v>864.46469999999999</v>
      </c>
      <c r="D14">
        <v>2</v>
      </c>
      <c r="E14">
        <f>S1PRP1[[#This Row],[ Distance]]*20</f>
        <v>17289.294000000002</v>
      </c>
      <c r="F14" cm="1">
        <f t="array" ref="F14">E14*Drag_Constant*Area*Density/2</f>
        <v>2095.7866070625</v>
      </c>
      <c r="G14">
        <f>SQRT(((Mass*g)^3)/(2*PI()*Density*Radius^2))*S1PRP1[[#This Row],[Time]]</f>
        <v>19664.877042800432</v>
      </c>
      <c r="H14">
        <f>S1PRP1[[#This Row],[E_horizon(J)]]+S1PRP1[[#This Row],[E_hover(J)]]</f>
        <v>21760.66364986293</v>
      </c>
      <c r="R14" s="2">
        <v>13</v>
      </c>
      <c r="S14" s="1">
        <f t="shared" si="0"/>
        <v>254.553</v>
      </c>
      <c r="T14" s="1">
        <f>Tabel10[[#This Row],[Rank]]/(1+COUNTA(Tabel10[TimeSorted]))</f>
        <v>0.125</v>
      </c>
      <c r="U14" s="3">
        <f>_xlfn.NORM.INV(Tabel10[[#This Row],[P]],0,1)</f>
        <v>-1.1503493803760083</v>
      </c>
    </row>
    <row r="15" spans="1:21" x14ac:dyDescent="0.35">
      <c r="A15">
        <v>203.1857</v>
      </c>
      <c r="B15">
        <v>5086</v>
      </c>
      <c r="C15">
        <v>1010.2569999999999</v>
      </c>
      <c r="D15">
        <v>0</v>
      </c>
      <c r="E15">
        <f>S1PRP1[[#This Row],[ Distance]]*20</f>
        <v>20205.14</v>
      </c>
      <c r="F15" cm="1">
        <f t="array" ref="F15">E15*Drag_Constant*Area*Density/2</f>
        <v>2449.2418143749996</v>
      </c>
      <c r="G15">
        <f>SQRT(((Mass*g)^3)/(2*PI()*Density*Radius^2))*S1PRP1[[#This Row],[Time]]</f>
        <v>15696.620379077582</v>
      </c>
      <c r="H15">
        <f>S1PRP1[[#This Row],[E_horizon(J)]]+S1PRP1[[#This Row],[E_hover(J)]]</f>
        <v>18145.86219345258</v>
      </c>
      <c r="R15" s="7">
        <v>14</v>
      </c>
      <c r="S15" s="8">
        <f t="shared" si="0"/>
        <v>203.1857</v>
      </c>
      <c r="T15" s="8">
        <f>Tabel10[[#This Row],[Rank]]/(1+COUNTA(Tabel10[TimeSorted]))</f>
        <v>0.13461538461538461</v>
      </c>
      <c r="U15" s="9">
        <f>_xlfn.NORM.INV(Tabel10[[#This Row],[P]],0,1)</f>
        <v>-1.1048357439621104</v>
      </c>
    </row>
    <row r="16" spans="1:21" x14ac:dyDescent="0.35">
      <c r="A16">
        <v>213.71979999999999</v>
      </c>
      <c r="B16">
        <v>5286</v>
      </c>
      <c r="C16">
        <v>938.81489999999997</v>
      </c>
      <c r="D16">
        <v>1</v>
      </c>
      <c r="E16">
        <f>S1PRP1[[#This Row],[ Distance]]*20</f>
        <v>18776.297999999999</v>
      </c>
      <c r="F16" cm="1">
        <f t="array" ref="F16">E16*Drag_Constant*Area*Density/2</f>
        <v>2276.0393731874997</v>
      </c>
      <c r="G16">
        <f>SQRT(((Mass*g)^3)/(2*PI()*Density*Radius^2))*S1PRP1[[#This Row],[Time]]</f>
        <v>16510.406825344427</v>
      </c>
      <c r="H16">
        <f>S1PRP1[[#This Row],[E_horizon(J)]]+S1PRP1[[#This Row],[E_hover(J)]]</f>
        <v>18786.446198531929</v>
      </c>
      <c r="R16" s="2">
        <v>15</v>
      </c>
      <c r="S16" s="1">
        <f t="shared" si="0"/>
        <v>213.71979999999999</v>
      </c>
      <c r="T16" s="1">
        <f>Tabel10[[#This Row],[Rank]]/(1+COUNTA(Tabel10[TimeSorted]))</f>
        <v>0.14423076923076922</v>
      </c>
      <c r="U16" s="3">
        <f>_xlfn.NORM.INV(Tabel10[[#This Row],[P]],0,1)</f>
        <v>-1.0615026297045762</v>
      </c>
    </row>
    <row r="17" spans="1:21" x14ac:dyDescent="0.35">
      <c r="A17">
        <v>205.0872</v>
      </c>
      <c r="B17">
        <v>5098</v>
      </c>
      <c r="C17">
        <v>1053.634</v>
      </c>
      <c r="D17">
        <v>0</v>
      </c>
      <c r="E17">
        <f>S1PRP1[[#This Row],[ Distance]]*20</f>
        <v>21072.68</v>
      </c>
      <c r="F17" cm="1">
        <f t="array" ref="F17">E17*Drag_Constant*Area*Density/2</f>
        <v>2554.40392875</v>
      </c>
      <c r="G17">
        <f>SQRT(((Mass*g)^3)/(2*PI()*Density*Radius^2))*S1PRP1[[#This Row],[Time]]</f>
        <v>15843.516167761609</v>
      </c>
      <c r="H17">
        <f>S1PRP1[[#This Row],[E_horizon(J)]]+S1PRP1[[#This Row],[E_hover(J)]]</f>
        <v>18397.920096511611</v>
      </c>
      <c r="R17" s="7">
        <v>16</v>
      </c>
      <c r="S17" s="8">
        <f t="shared" si="0"/>
        <v>205.0872</v>
      </c>
      <c r="T17" s="8">
        <f>Tabel10[[#This Row],[Rank]]/(1+COUNTA(Tabel10[TimeSorted]))</f>
        <v>0.15384615384615385</v>
      </c>
      <c r="U17" s="9">
        <f>_xlfn.NORM.INV(Tabel10[[#This Row],[P]],0,1)</f>
        <v>-1.020076232786199</v>
      </c>
    </row>
    <row r="18" spans="1:21" x14ac:dyDescent="0.35">
      <c r="A18">
        <v>196.88630000000001</v>
      </c>
      <c r="B18">
        <v>5064</v>
      </c>
      <c r="C18">
        <v>853.70699999999999</v>
      </c>
      <c r="D18">
        <v>1</v>
      </c>
      <c r="E18">
        <f>S1PRP1[[#This Row],[ Distance]]*20</f>
        <v>17074.14</v>
      </c>
      <c r="F18" cm="1">
        <f t="array" ref="F18">E18*Drag_Constant*Area*Density/2</f>
        <v>2069.705908125</v>
      </c>
      <c r="G18">
        <f>SQRT(((Mass*g)^3)/(2*PI()*Density*Radius^2))*S1PRP1[[#This Row],[Time]]</f>
        <v>15209.975450738821</v>
      </c>
      <c r="H18">
        <f>S1PRP1[[#This Row],[E_horizon(J)]]+S1PRP1[[#This Row],[E_hover(J)]]</f>
        <v>17279.681358863822</v>
      </c>
      <c r="R18" s="2">
        <v>17</v>
      </c>
      <c r="S18" s="1">
        <f t="shared" si="0"/>
        <v>196.88630000000001</v>
      </c>
      <c r="T18" s="1">
        <f>Tabel10[[#This Row],[Rank]]/(1+COUNTA(Tabel10[TimeSorted]))</f>
        <v>0.16346153846153846</v>
      </c>
      <c r="U18" s="3">
        <f>_xlfn.NORM.INV(Tabel10[[#This Row],[P]],0,1)</f>
        <v>-0.9803303522249297</v>
      </c>
    </row>
    <row r="19" spans="1:21" x14ac:dyDescent="0.35">
      <c r="A19">
        <v>190.78620000000001</v>
      </c>
      <c r="B19">
        <v>4907</v>
      </c>
      <c r="C19">
        <v>1017.823</v>
      </c>
      <c r="D19">
        <v>0</v>
      </c>
      <c r="E19">
        <f>S1PRP1[[#This Row],[ Distance]]*20</f>
        <v>20356.46</v>
      </c>
      <c r="F19" cm="1">
        <f t="array" ref="F19">E19*Drag_Constant*Area*Density/2</f>
        <v>2467.5846356249999</v>
      </c>
      <c r="G19">
        <f>SQRT(((Mass*g)^3)/(2*PI()*Density*Radius^2))*S1PRP1[[#This Row],[Time]]</f>
        <v>14738.72696241306</v>
      </c>
      <c r="H19">
        <f>S1PRP1[[#This Row],[E_horizon(J)]]+S1PRP1[[#This Row],[E_hover(J)]]</f>
        <v>17206.311598038061</v>
      </c>
      <c r="R19" s="7">
        <v>18</v>
      </c>
      <c r="S19" s="8">
        <f t="shared" si="0"/>
        <v>190.78620000000001</v>
      </c>
      <c r="T19" s="8">
        <f>Tabel10[[#This Row],[Rank]]/(1+COUNTA(Tabel10[TimeSorted]))</f>
        <v>0.17307692307692307</v>
      </c>
      <c r="U19" s="9">
        <f>_xlfn.NORM.INV(Tabel10[[#This Row],[P]],0,1)</f>
        <v>-0.94207577499577688</v>
      </c>
    </row>
    <row r="20" spans="1:21" x14ac:dyDescent="0.35">
      <c r="A20">
        <v>194.55340000000001</v>
      </c>
      <c r="B20">
        <v>4616</v>
      </c>
      <c r="C20">
        <v>895.83680000000004</v>
      </c>
      <c r="D20">
        <v>0</v>
      </c>
      <c r="E20">
        <f>S1PRP1[[#This Row],[ Distance]]*20</f>
        <v>17916.736000000001</v>
      </c>
      <c r="F20" cm="1">
        <f t="array" ref="F20">E20*Drag_Constant*Area*Density/2</f>
        <v>2171.8443419999999</v>
      </c>
      <c r="G20">
        <f>SQRT(((Mass*g)^3)/(2*PI()*Density*Radius^2))*S1PRP1[[#This Row],[Time]]</f>
        <v>15029.752897269998</v>
      </c>
      <c r="H20">
        <f>S1PRP1[[#This Row],[E_horizon(J)]]+S1PRP1[[#This Row],[E_hover(J)]]</f>
        <v>17201.597239269999</v>
      </c>
      <c r="R20" s="2">
        <v>19</v>
      </c>
      <c r="S20" s="1">
        <f t="shared" si="0"/>
        <v>194.55340000000001</v>
      </c>
      <c r="T20" s="1">
        <f>Tabel10[[#This Row],[Rank]]/(1+COUNTA(Tabel10[TimeSorted]))</f>
        <v>0.18269230769230768</v>
      </c>
      <c r="U20" s="3">
        <f>_xlfn.NORM.INV(Tabel10[[#This Row],[P]],0,1)</f>
        <v>-0.90515247502850393</v>
      </c>
    </row>
    <row r="21" spans="1:21" x14ac:dyDescent="0.35">
      <c r="A21">
        <v>244.72030000000001</v>
      </c>
      <c r="B21">
        <v>5625</v>
      </c>
      <c r="C21">
        <v>1167.3679999999999</v>
      </c>
      <c r="D21">
        <v>0</v>
      </c>
      <c r="E21">
        <f>S1PRP1[[#This Row],[ Distance]]*20</f>
        <v>23347.360000000001</v>
      </c>
      <c r="F21" cm="1">
        <f t="array" ref="F21">E21*Drag_Constant*Area*Density/2</f>
        <v>2830.1377950000001</v>
      </c>
      <c r="G21">
        <f>SQRT(((Mass*g)^3)/(2*PI()*Density*Radius^2))*S1PRP1[[#This Row],[Time]]</f>
        <v>18905.275559027923</v>
      </c>
      <c r="H21">
        <f>S1PRP1[[#This Row],[E_horizon(J)]]+S1PRP1[[#This Row],[E_hover(J)]]</f>
        <v>21735.413354027922</v>
      </c>
      <c r="R21" s="7">
        <v>20</v>
      </c>
      <c r="S21" s="8">
        <f t="shared" si="0"/>
        <v>244.72030000000001</v>
      </c>
      <c r="T21" s="8">
        <f>Tabel10[[#This Row],[Rank]]/(1+COUNTA(Tabel10[TimeSorted]))</f>
        <v>0.19230769230769232</v>
      </c>
      <c r="U21" s="9">
        <f>_xlfn.NORM.INV(Tabel10[[#This Row],[P]],0,1)</f>
        <v>-0.86942377328888587</v>
      </c>
    </row>
    <row r="22" spans="1:21" x14ac:dyDescent="0.35">
      <c r="A22">
        <v>220.98679999999999</v>
      </c>
      <c r="B22">
        <v>5174</v>
      </c>
      <c r="C22">
        <v>957.97659999999996</v>
      </c>
      <c r="D22">
        <v>1</v>
      </c>
      <c r="E22">
        <f>S1PRP1[[#This Row],[ Distance]]*20</f>
        <v>19159.531999999999</v>
      </c>
      <c r="F22" cm="1">
        <f t="array" ref="F22">E22*Drag_Constant*Area*Density/2</f>
        <v>2322.4945196249996</v>
      </c>
      <c r="G22">
        <f>SQRT(((Mass*g)^3)/(2*PI()*Density*Radius^2))*S1PRP1[[#This Row],[Time]]</f>
        <v>17071.801354067444</v>
      </c>
      <c r="H22">
        <f>S1PRP1[[#This Row],[E_horizon(J)]]+S1PRP1[[#This Row],[E_hover(J)]]</f>
        <v>19394.295873692445</v>
      </c>
      <c r="R22" s="2">
        <v>21</v>
      </c>
      <c r="S22" s="1">
        <f t="shared" si="0"/>
        <v>220.98679999999999</v>
      </c>
      <c r="T22" s="1">
        <f>Tabel10[[#This Row],[Rank]]/(1+COUNTA(Tabel10[TimeSorted]))</f>
        <v>0.20192307692307693</v>
      </c>
      <c r="U22" s="3">
        <f>_xlfn.NORM.INV(Tabel10[[#This Row],[P]],0,1)</f>
        <v>-0.8347718934067756</v>
      </c>
    </row>
    <row r="23" spans="1:21" x14ac:dyDescent="0.35">
      <c r="A23">
        <v>197.2208</v>
      </c>
      <c r="B23">
        <v>5025</v>
      </c>
      <c r="C23">
        <v>1003.903</v>
      </c>
      <c r="D23">
        <v>0</v>
      </c>
      <c r="E23">
        <f>S1PRP1[[#This Row],[ Distance]]*20</f>
        <v>20078.060000000001</v>
      </c>
      <c r="F23" cm="1">
        <f t="array" ref="F23">E23*Drag_Constant*Area*Density/2</f>
        <v>2433.8373356250004</v>
      </c>
      <c r="G23">
        <f>SQRT(((Mass*g)^3)/(2*PI()*Density*Radius^2))*S1PRP1[[#This Row],[Time]]</f>
        <v>15235.816440123413</v>
      </c>
      <c r="H23">
        <f>S1PRP1[[#This Row],[E_horizon(J)]]+S1PRP1[[#This Row],[E_hover(J)]]</f>
        <v>17669.653775748415</v>
      </c>
      <c r="R23" s="7">
        <v>22</v>
      </c>
      <c r="S23" s="8">
        <f t="shared" si="0"/>
        <v>197.2208</v>
      </c>
      <c r="T23" s="8">
        <f>Tabel10[[#This Row],[Rank]]/(1+COUNTA(Tabel10[TimeSorted]))</f>
        <v>0.21153846153846154</v>
      </c>
      <c r="U23" s="9">
        <f>_xlfn.NORM.INV(Tabel10[[#This Row],[P]],0,1)</f>
        <v>-0.80109452928194935</v>
      </c>
    </row>
    <row r="24" spans="1:21" x14ac:dyDescent="0.35">
      <c r="A24">
        <v>201.81909999999999</v>
      </c>
      <c r="B24">
        <v>5091</v>
      </c>
      <c r="C24">
        <v>1060.058</v>
      </c>
      <c r="D24">
        <v>0</v>
      </c>
      <c r="E24">
        <f>S1PRP1[[#This Row],[ Distance]]*20</f>
        <v>21201.16</v>
      </c>
      <c r="F24" cm="1">
        <f t="array" ref="F24">E24*Drag_Constant*Area*Density/2</f>
        <v>2569.9781137499995</v>
      </c>
      <c r="G24">
        <f>SQRT(((Mass*g)^3)/(2*PI()*Density*Radius^2))*S1PRP1[[#This Row],[Time]]</f>
        <v>15591.046997633674</v>
      </c>
      <c r="H24">
        <f>S1PRP1[[#This Row],[E_horizon(J)]]+S1PRP1[[#This Row],[E_hover(J)]]</f>
        <v>18161.025111383671</v>
      </c>
      <c r="R24" s="2">
        <v>23</v>
      </c>
      <c r="S24" s="1">
        <f t="shared" si="0"/>
        <v>201.81909999999999</v>
      </c>
      <c r="T24" s="1">
        <f>Tabel10[[#This Row],[Rank]]/(1+COUNTA(Tabel10[TimeSorted]))</f>
        <v>0.22115384615384615</v>
      </c>
      <c r="U24" s="3">
        <f>_xlfn.NORM.INV(Tabel10[[#This Row],[P]],0,1)</f>
        <v>-0.7683021589798118</v>
      </c>
    </row>
    <row r="25" spans="1:21" x14ac:dyDescent="0.35">
      <c r="A25">
        <v>246.2542</v>
      </c>
      <c r="B25">
        <v>5510</v>
      </c>
      <c r="C25">
        <v>1045.2619999999999</v>
      </c>
      <c r="D25">
        <v>1</v>
      </c>
      <c r="E25">
        <f>S1PRP1[[#This Row],[ Distance]]*20</f>
        <v>20905.239999999998</v>
      </c>
      <c r="F25" cm="1">
        <f t="array" ref="F25">E25*Drag_Constant*Area*Density/2</f>
        <v>2534.1070612499998</v>
      </c>
      <c r="G25">
        <f>SQRT(((Mass*g)^3)/(2*PI()*Density*Radius^2))*S1PRP1[[#This Row],[Time]]</f>
        <v>19023.773297793334</v>
      </c>
      <c r="H25">
        <f>S1PRP1[[#This Row],[E_horizon(J)]]+S1PRP1[[#This Row],[E_hover(J)]]</f>
        <v>21557.880359043334</v>
      </c>
      <c r="R25" s="7">
        <v>24</v>
      </c>
      <c r="S25" s="8">
        <f t="shared" si="0"/>
        <v>246.2542</v>
      </c>
      <c r="T25" s="8">
        <f>Tabel10[[#This Row],[Rank]]/(1+COUNTA(Tabel10[TimeSorted]))</f>
        <v>0.23076923076923078</v>
      </c>
      <c r="U25" s="9">
        <f>_xlfn.NORM.INV(Tabel10[[#This Row],[P]],0,1)</f>
        <v>-0.73631591737612934</v>
      </c>
    </row>
    <row r="26" spans="1:21" x14ac:dyDescent="0.35">
      <c r="A26">
        <v>211.0873</v>
      </c>
      <c r="B26">
        <v>5180</v>
      </c>
      <c r="C26">
        <v>1090.347</v>
      </c>
      <c r="D26">
        <v>0</v>
      </c>
      <c r="E26">
        <f>S1PRP1[[#This Row],[ Distance]]*20</f>
        <v>21806.94</v>
      </c>
      <c r="F26" cm="1">
        <f t="array" ref="F26">E26*Drag_Constant*Area*Density/2</f>
        <v>2643.4100081249994</v>
      </c>
      <c r="G26">
        <f>SQRT(((Mass*g)^3)/(2*PI()*Density*Radius^2))*S1PRP1[[#This Row],[Time]]</f>
        <v>16307.039397676428</v>
      </c>
      <c r="H26">
        <f>S1PRP1[[#This Row],[E_horizon(J)]]+S1PRP1[[#This Row],[E_hover(J)]]</f>
        <v>18950.449405801428</v>
      </c>
      <c r="R26" s="2">
        <v>25</v>
      </c>
      <c r="S26" s="1">
        <f t="shared" si="0"/>
        <v>211.0873</v>
      </c>
      <c r="T26" s="1">
        <f>Tabel10[[#This Row],[Rank]]/(1+COUNTA(Tabel10[TimeSorted]))</f>
        <v>0.24038461538461539</v>
      </c>
      <c r="U26" s="3">
        <f>_xlfn.NORM.INV(Tabel10[[#This Row],[P]],0,1)</f>
        <v>-0.70506589290002375</v>
      </c>
    </row>
    <row r="27" spans="1:21" x14ac:dyDescent="0.35">
      <c r="A27">
        <v>252.35249999999999</v>
      </c>
      <c r="B27">
        <v>5488</v>
      </c>
      <c r="C27">
        <v>1039.5</v>
      </c>
      <c r="D27">
        <v>1</v>
      </c>
      <c r="E27">
        <f>S1PRP1[[#This Row],[ Distance]]*20</f>
        <v>20790</v>
      </c>
      <c r="F27" cm="1">
        <f t="array" ref="F27">E27*Drag_Constant*Area*Density/2</f>
        <v>2520.1378124999997</v>
      </c>
      <c r="G27">
        <f>SQRT(((Mass*g)^3)/(2*PI()*Density*Radius^2))*S1PRP1[[#This Row],[Time]]</f>
        <v>19494.882731467693</v>
      </c>
      <c r="H27">
        <f>S1PRP1[[#This Row],[E_horizon(J)]]+S1PRP1[[#This Row],[E_hover(J)]]</f>
        <v>22015.020543967694</v>
      </c>
      <c r="R27" s="7">
        <v>26</v>
      </c>
      <c r="S27" s="8">
        <f t="shared" si="0"/>
        <v>252.35249999999999</v>
      </c>
      <c r="T27" s="8">
        <f>Tabel10[[#This Row],[Rank]]/(1+COUNTA(Tabel10[TimeSorted]))</f>
        <v>0.25</v>
      </c>
      <c r="U27" s="9">
        <f>_xlfn.NORM.INV(Tabel10[[#This Row],[P]],0,1)</f>
        <v>-0.67448975019608193</v>
      </c>
    </row>
    <row r="28" spans="1:21" x14ac:dyDescent="0.35">
      <c r="A28">
        <v>195.4194</v>
      </c>
      <c r="B28">
        <v>5050</v>
      </c>
      <c r="C28">
        <v>995.83040000000005</v>
      </c>
      <c r="D28">
        <v>0</v>
      </c>
      <c r="E28">
        <f>S1PRP1[[#This Row],[ Distance]]*20</f>
        <v>19916.608</v>
      </c>
      <c r="F28" cm="1">
        <f t="array" ref="F28">E28*Drag_Constant*Area*Density/2</f>
        <v>2414.2663259999999</v>
      </c>
      <c r="G28">
        <f>SQRT(((Mass*g)^3)/(2*PI()*Density*Radius^2))*S1PRP1[[#This Row],[Time]]</f>
        <v>15096.653635108738</v>
      </c>
      <c r="H28">
        <f>S1PRP1[[#This Row],[E_horizon(J)]]+S1PRP1[[#This Row],[E_hover(J)]]</f>
        <v>17510.919961108739</v>
      </c>
      <c r="R28" s="2">
        <v>27</v>
      </c>
      <c r="S28" s="1">
        <f t="shared" si="0"/>
        <v>195.4194</v>
      </c>
      <c r="T28" s="1">
        <f>Tabel10[[#This Row],[Rank]]/(1+COUNTA(Tabel10[TimeSorted]))</f>
        <v>0.25961538461538464</v>
      </c>
      <c r="U28" s="3">
        <f>_xlfn.NORM.INV(Tabel10[[#This Row],[P]],0,1)</f>
        <v>-0.64453160610661309</v>
      </c>
    </row>
    <row r="29" spans="1:21" x14ac:dyDescent="0.35">
      <c r="A29">
        <v>209.887</v>
      </c>
      <c r="B29">
        <v>5273</v>
      </c>
      <c r="C29">
        <v>1081.998</v>
      </c>
      <c r="D29">
        <v>0</v>
      </c>
      <c r="E29">
        <f>S1PRP1[[#This Row],[ Distance]]*20</f>
        <v>21639.96</v>
      </c>
      <c r="F29" cm="1">
        <f t="array" ref="F29">E29*Drag_Constant*Area*Density/2</f>
        <v>2623.1689012499996</v>
      </c>
      <c r="G29">
        <f>SQRT(((Mass*g)^3)/(2*PI()*Density*Radius^2))*S1PRP1[[#This Row],[Time]]</f>
        <v>16214.313120969913</v>
      </c>
      <c r="H29">
        <f>S1PRP1[[#This Row],[E_horizon(J)]]+S1PRP1[[#This Row],[E_hover(J)]]</f>
        <v>18837.482022219912</v>
      </c>
      <c r="R29" s="7">
        <v>28</v>
      </c>
      <c r="S29" s="8">
        <f t="shared" si="0"/>
        <v>209.887</v>
      </c>
      <c r="T29" s="8">
        <f>Tabel10[[#This Row],[Rank]]/(1+COUNTA(Tabel10[TimeSorted]))</f>
        <v>0.26923076923076922</v>
      </c>
      <c r="U29" s="9">
        <f>_xlfn.NORM.INV(Tabel10[[#This Row],[P]],0,1)</f>
        <v>-0.61514110459597382</v>
      </c>
    </row>
    <row r="30" spans="1:21" x14ac:dyDescent="0.35">
      <c r="A30">
        <v>196.1866</v>
      </c>
      <c r="B30">
        <v>5124</v>
      </c>
      <c r="C30">
        <v>971.01340000000005</v>
      </c>
      <c r="D30">
        <v>0</v>
      </c>
      <c r="E30">
        <f>S1PRP1[[#This Row],[ Distance]]*20</f>
        <v>19420.268</v>
      </c>
      <c r="F30" cm="1">
        <f t="array" ref="F30">E30*Drag_Constant*Area*Density/2</f>
        <v>2354.1006116250001</v>
      </c>
      <c r="G30">
        <f>SQRT(((Mass*g)^3)/(2*PI()*Density*Radius^2))*S1PRP1[[#This Row],[Time]]</f>
        <v>15155.921817637471</v>
      </c>
      <c r="H30">
        <f>S1PRP1[[#This Row],[E_horizon(J)]]+S1PRP1[[#This Row],[E_hover(J)]]</f>
        <v>17510.02242926247</v>
      </c>
      <c r="R30" s="2">
        <v>29</v>
      </c>
      <c r="S30" s="1">
        <f t="shared" si="0"/>
        <v>196.1866</v>
      </c>
      <c r="T30" s="1">
        <f>Tabel10[[#This Row],[Rank]]/(1+COUNTA(Tabel10[TimeSorted]))</f>
        <v>0.27884615384615385</v>
      </c>
      <c r="U30" s="3">
        <f>_xlfn.NORM.INV(Tabel10[[#This Row],[P]],0,1)</f>
        <v>-0.58627264940264501</v>
      </c>
    </row>
    <row r="31" spans="1:21" x14ac:dyDescent="0.35">
      <c r="A31">
        <v>211.95259999999999</v>
      </c>
      <c r="B31">
        <v>5279</v>
      </c>
      <c r="C31">
        <v>1027.99</v>
      </c>
      <c r="D31">
        <v>0</v>
      </c>
      <c r="E31">
        <f>S1PRP1[[#This Row],[ Distance]]*20</f>
        <v>20559.8</v>
      </c>
      <c r="F31" cm="1">
        <f t="array" ref="F31">E31*Drag_Constant*Area*Density/2</f>
        <v>2492.2332562499996</v>
      </c>
      <c r="G31">
        <f>SQRT(((Mass*g)^3)/(2*PI()*Density*Radius^2))*S1PRP1[[#This Row],[Time]]</f>
        <v>16373.886058706292</v>
      </c>
      <c r="H31">
        <f>S1PRP1[[#This Row],[E_horizon(J)]]+S1PRP1[[#This Row],[E_hover(J)]]</f>
        <v>18866.11931495629</v>
      </c>
      <c r="R31" s="7">
        <v>30</v>
      </c>
      <c r="S31" s="8">
        <f t="shared" si="0"/>
        <v>211.95259999999999</v>
      </c>
      <c r="T31" s="8">
        <f>Tabel10[[#This Row],[Rank]]/(1+COUNTA(Tabel10[TimeSorted]))</f>
        <v>0.28846153846153844</v>
      </c>
      <c r="U31" s="9">
        <f>_xlfn.NORM.INV(Tabel10[[#This Row],[P]],0,1)</f>
        <v>-0.55788476283959876</v>
      </c>
    </row>
    <row r="32" spans="1:21" x14ac:dyDescent="0.35">
      <c r="A32">
        <v>223.18610000000001</v>
      </c>
      <c r="B32">
        <v>5341</v>
      </c>
      <c r="C32">
        <v>1133.2460000000001</v>
      </c>
      <c r="D32">
        <v>0</v>
      </c>
      <c r="E32">
        <f>S1PRP1[[#This Row],[ Distance]]*20</f>
        <v>22664.920000000002</v>
      </c>
      <c r="F32" cm="1">
        <f t="array" ref="F32">E32*Drag_Constant*Area*Density/2</f>
        <v>2747.4132712500004</v>
      </c>
      <c r="G32">
        <f>SQRT(((Mass*g)^3)/(2*PI()*Density*Radius^2))*S1PRP1[[#This Row],[Time]]</f>
        <v>17241.702962299252</v>
      </c>
      <c r="H32">
        <f>S1PRP1[[#This Row],[E_horizon(J)]]+S1PRP1[[#This Row],[E_hover(J)]]</f>
        <v>19989.116233549252</v>
      </c>
      <c r="R32" s="2">
        <v>31</v>
      </c>
      <c r="S32" s="1">
        <f t="shared" si="0"/>
        <v>223.18610000000001</v>
      </c>
      <c r="T32" s="1">
        <f>Tabel10[[#This Row],[Rank]]/(1+COUNTA(Tabel10[TimeSorted]))</f>
        <v>0.29807692307692307</v>
      </c>
      <c r="U32" s="3">
        <f>_xlfn.NORM.INV(Tabel10[[#This Row],[P]],0,1)</f>
        <v>-0.52993954630032036</v>
      </c>
    </row>
    <row r="33" spans="1:21" x14ac:dyDescent="0.35">
      <c r="A33">
        <v>223.0865</v>
      </c>
      <c r="B33">
        <v>5322</v>
      </c>
      <c r="C33">
        <v>1110.566</v>
      </c>
      <c r="D33">
        <v>0</v>
      </c>
      <c r="E33">
        <f>S1PRP1[[#This Row],[ Distance]]*20</f>
        <v>22211.32</v>
      </c>
      <c r="F33" cm="1">
        <f t="array" ref="F33">E33*Drag_Constant*Area*Density/2</f>
        <v>2692.4284462499995</v>
      </c>
      <c r="G33">
        <f>SQRT(((Mass*g)^3)/(2*PI()*Density*Radius^2))*S1PRP1[[#This Row],[Time]]</f>
        <v>17234.008604921957</v>
      </c>
      <c r="H33">
        <f>S1PRP1[[#This Row],[E_horizon(J)]]+S1PRP1[[#This Row],[E_hover(J)]]</f>
        <v>19926.437051171957</v>
      </c>
      <c r="R33" s="7">
        <v>32</v>
      </c>
      <c r="S33" s="8">
        <f t="shared" si="0"/>
        <v>223.0865</v>
      </c>
      <c r="T33" s="8">
        <f>Tabel10[[#This Row],[Rank]]/(1+COUNTA(Tabel10[TimeSorted]))</f>
        <v>0.30769230769230771</v>
      </c>
      <c r="U33" s="9">
        <f>_xlfn.NORM.INV(Tabel10[[#This Row],[P]],0,1)</f>
        <v>-0.50240222337335538</v>
      </c>
    </row>
    <row r="34" spans="1:21" x14ac:dyDescent="0.35">
      <c r="A34">
        <v>229.12020000000001</v>
      </c>
      <c r="B34">
        <v>5257</v>
      </c>
      <c r="C34">
        <v>913.75509999999997</v>
      </c>
      <c r="D34">
        <v>1</v>
      </c>
      <c r="E34">
        <f>S1PRP1[[#This Row],[ Distance]]*20</f>
        <v>18275.101999999999</v>
      </c>
      <c r="F34" cm="1">
        <f t="array" ref="F34">E34*Drag_Constant*Area*Density/2</f>
        <v>2215.2850205624995</v>
      </c>
      <c r="G34">
        <f>SQRT(((Mass*g)^3)/(2*PI()*Density*Radius^2))*S1PRP1[[#This Row],[Time]]</f>
        <v>17700.127521662853</v>
      </c>
      <c r="H34">
        <f>S1PRP1[[#This Row],[E_horizon(J)]]+S1PRP1[[#This Row],[E_hover(J)]]</f>
        <v>19915.412542225353</v>
      </c>
      <c r="R34" s="2">
        <v>33</v>
      </c>
      <c r="S34" s="1">
        <f t="shared" ref="S34:S65" si="1">A34</f>
        <v>229.12020000000001</v>
      </c>
      <c r="T34" s="1">
        <f>Tabel10[[#This Row],[Rank]]/(1+COUNTA(Tabel10[TimeSorted]))</f>
        <v>0.31730769230769229</v>
      </c>
      <c r="U34" s="3">
        <f>_xlfn.NORM.INV(Tabel10[[#This Row],[P]],0,1)</f>
        <v>-0.47524075051324494</v>
      </c>
    </row>
    <row r="35" spans="1:21" x14ac:dyDescent="0.35">
      <c r="A35">
        <v>234.2518</v>
      </c>
      <c r="B35">
        <v>5278</v>
      </c>
      <c r="C35">
        <v>1148.1120000000001</v>
      </c>
      <c r="D35">
        <v>0</v>
      </c>
      <c r="E35">
        <f>S1PRP1[[#This Row],[ Distance]]*20</f>
        <v>22962.240000000002</v>
      </c>
      <c r="F35" cm="1">
        <f t="array" ref="F35">E35*Drag_Constant*Area*Density/2</f>
        <v>2783.4540299999999</v>
      </c>
      <c r="G35">
        <f>SQRT(((Mass*g)^3)/(2*PI()*Density*Radius^2))*S1PRP1[[#This Row],[Time]]</f>
        <v>18096.556882278655</v>
      </c>
      <c r="H35">
        <f>S1PRP1[[#This Row],[E_horizon(J)]]+S1PRP1[[#This Row],[E_hover(J)]]</f>
        <v>20880.010912278656</v>
      </c>
      <c r="R35" s="7">
        <v>34</v>
      </c>
      <c r="S35" s="8">
        <f t="shared" si="1"/>
        <v>234.2518</v>
      </c>
      <c r="T35" s="8">
        <f>Tabel10[[#This Row],[Rank]]/(1+COUNTA(Tabel10[TimeSorted]))</f>
        <v>0.32692307692307693</v>
      </c>
      <c r="U35" s="9">
        <f>_xlfn.NORM.INV(Tabel10[[#This Row],[P]],0,1)</f>
        <v>-0.44842548330593474</v>
      </c>
    </row>
    <row r="36" spans="1:21" x14ac:dyDescent="0.35">
      <c r="A36">
        <v>204.85480000000001</v>
      </c>
      <c r="B36">
        <v>5180</v>
      </c>
      <c r="C36">
        <v>1042.9259999999999</v>
      </c>
      <c r="D36">
        <v>0</v>
      </c>
      <c r="E36">
        <f>S1PRP1[[#This Row],[ Distance]]*20</f>
        <v>20858.519999999997</v>
      </c>
      <c r="F36" cm="1">
        <f t="array" ref="F36">E36*Drag_Constant*Area*Density/2</f>
        <v>2528.4437212499993</v>
      </c>
      <c r="G36">
        <f>SQRT(((Mass*g)^3)/(2*PI()*Density*Radius^2))*S1PRP1[[#This Row],[Time]]</f>
        <v>15825.562667214585</v>
      </c>
      <c r="H36">
        <f>S1PRP1[[#This Row],[E_horizon(J)]]+S1PRP1[[#This Row],[E_hover(J)]]</f>
        <v>18354.006388464582</v>
      </c>
      <c r="R36" s="2">
        <v>35</v>
      </c>
      <c r="S36" s="1">
        <f t="shared" si="1"/>
        <v>204.85480000000001</v>
      </c>
      <c r="T36" s="1">
        <f>Tabel10[[#This Row],[Rank]]/(1+COUNTA(Tabel10[TimeSorted]))</f>
        <v>0.33653846153846156</v>
      </c>
      <c r="U36" s="3">
        <f>_xlfn.NORM.INV(Tabel10[[#This Row],[P]],0,1)</f>
        <v>-0.42192888874856549</v>
      </c>
    </row>
    <row r="37" spans="1:21" x14ac:dyDescent="0.35">
      <c r="A37">
        <v>212.45349999999999</v>
      </c>
      <c r="B37">
        <v>5243</v>
      </c>
      <c r="C37">
        <v>1067.3130000000001</v>
      </c>
      <c r="D37">
        <v>0</v>
      </c>
      <c r="E37">
        <f>S1PRP1[[#This Row],[ Distance]]*20</f>
        <v>21346.260000000002</v>
      </c>
      <c r="F37" cm="1">
        <f t="array" ref="F37">E37*Drag_Constant*Area*Density/2</f>
        <v>2587.566954375</v>
      </c>
      <c r="G37">
        <f>SQRT(((Mass*g)^3)/(2*PI()*Density*Radius^2))*S1PRP1[[#This Row],[Time]]</f>
        <v>16412.58187808669</v>
      </c>
      <c r="H37">
        <f>S1PRP1[[#This Row],[E_horizon(J)]]+S1PRP1[[#This Row],[E_hover(J)]]</f>
        <v>19000.148832461691</v>
      </c>
      <c r="R37" s="7">
        <v>36</v>
      </c>
      <c r="S37" s="8">
        <f t="shared" si="1"/>
        <v>212.45349999999999</v>
      </c>
      <c r="T37" s="8">
        <f>Tabel10[[#This Row],[Rank]]/(1+COUNTA(Tabel10[TimeSorted]))</f>
        <v>0.34615384615384615</v>
      </c>
      <c r="U37" s="9">
        <f>_xlfn.NORM.INV(Tabel10[[#This Row],[P]],0,1)</f>
        <v>-0.39572529581448734</v>
      </c>
    </row>
    <row r="38" spans="1:21" x14ac:dyDescent="0.35">
      <c r="A38">
        <v>189.6532</v>
      </c>
      <c r="B38">
        <v>4944</v>
      </c>
      <c r="C38">
        <v>983.89200000000005</v>
      </c>
      <c r="D38">
        <v>0</v>
      </c>
      <c r="E38">
        <f>S1PRP1[[#This Row],[ Distance]]*20</f>
        <v>19677.84</v>
      </c>
      <c r="F38" cm="1">
        <f t="array" ref="F38">E38*Drag_Constant*Area*Density/2</f>
        <v>2385.3231675000002</v>
      </c>
      <c r="G38">
        <f>SQRT(((Mass*g)^3)/(2*PI()*Density*Radius^2))*S1PRP1[[#This Row],[Time]]</f>
        <v>14651.199784617109</v>
      </c>
      <c r="H38">
        <f>S1PRP1[[#This Row],[E_horizon(J)]]+S1PRP1[[#This Row],[E_hover(J)]]</f>
        <v>17036.52295211711</v>
      </c>
      <c r="R38" s="2">
        <v>37</v>
      </c>
      <c r="S38" s="1">
        <f t="shared" si="1"/>
        <v>189.6532</v>
      </c>
      <c r="T38" s="1">
        <f>Tabel10[[#This Row],[Rank]]/(1+COUNTA(Tabel10[TimeSorted]))</f>
        <v>0.35576923076923078</v>
      </c>
      <c r="U38" s="3">
        <f>_xlfn.NORM.INV(Tabel10[[#This Row],[P]],0,1)</f>
        <v>-0.36979067802381937</v>
      </c>
    </row>
    <row r="39" spans="1:21" x14ac:dyDescent="0.35">
      <c r="A39">
        <v>177.61959999999999</v>
      </c>
      <c r="B39">
        <v>4736</v>
      </c>
      <c r="C39">
        <v>935.33939999999996</v>
      </c>
      <c r="D39">
        <v>0</v>
      </c>
      <c r="E39">
        <f>S1PRP1[[#This Row],[ Distance]]*20</f>
        <v>18706.788</v>
      </c>
      <c r="F39" cm="1">
        <f t="array" ref="F39">E39*Drag_Constant*Area*Density/2</f>
        <v>2267.6134578749998</v>
      </c>
      <c r="G39">
        <f>SQRT(((Mass*g)^3)/(2*PI()*Density*Radius^2))*S1PRP1[[#This Row],[Time]]</f>
        <v>13721.573088478217</v>
      </c>
      <c r="H39">
        <f>S1PRP1[[#This Row],[E_horizon(J)]]+S1PRP1[[#This Row],[E_hover(J)]]</f>
        <v>15989.186546353216</v>
      </c>
      <c r="R39" s="7">
        <v>38</v>
      </c>
      <c r="S39" s="8">
        <f t="shared" si="1"/>
        <v>177.61959999999999</v>
      </c>
      <c r="T39" s="8">
        <f>Tabel10[[#This Row],[Rank]]/(1+COUNTA(Tabel10[TimeSorted]))</f>
        <v>0.36538461538461536</v>
      </c>
      <c r="U39" s="9">
        <f>_xlfn.NORM.INV(Tabel10[[#This Row],[P]],0,1)</f>
        <v>-0.34410246288301571</v>
      </c>
    </row>
    <row r="40" spans="1:21" x14ac:dyDescent="0.35">
      <c r="A40">
        <v>199.38730000000001</v>
      </c>
      <c r="B40">
        <v>5074</v>
      </c>
      <c r="C40">
        <v>1039.671</v>
      </c>
      <c r="D40">
        <v>0</v>
      </c>
      <c r="E40">
        <f>S1PRP1[[#This Row],[ Distance]]*20</f>
        <v>20793.420000000002</v>
      </c>
      <c r="F40" cm="1">
        <f t="array" ref="F40">E40*Drag_Constant*Area*Density/2</f>
        <v>2520.5523806250003</v>
      </c>
      <c r="G40">
        <f>SQRT(((Mass*g)^3)/(2*PI()*Density*Radius^2))*S1PRP1[[#This Row],[Time]]</f>
        <v>15403.184163596434</v>
      </c>
      <c r="H40">
        <f>S1PRP1[[#This Row],[E_horizon(J)]]+S1PRP1[[#This Row],[E_hover(J)]]</f>
        <v>17923.736544221436</v>
      </c>
      <c r="R40" s="2">
        <v>39</v>
      </c>
      <c r="S40" s="1">
        <f t="shared" si="1"/>
        <v>199.38730000000001</v>
      </c>
      <c r="T40" s="1">
        <f>Tabel10[[#This Row],[Rank]]/(1+COUNTA(Tabel10[TimeSorted]))</f>
        <v>0.375</v>
      </c>
      <c r="U40" s="3">
        <f>_xlfn.NORM.INV(Tabel10[[#This Row],[P]],0,1)</f>
        <v>-0.3186393639643752</v>
      </c>
    </row>
    <row r="41" spans="1:21" x14ac:dyDescent="0.35">
      <c r="A41">
        <v>212.68620000000001</v>
      </c>
      <c r="B41">
        <v>5208</v>
      </c>
      <c r="C41">
        <v>1059.9380000000001</v>
      </c>
      <c r="D41">
        <v>0</v>
      </c>
      <c r="E41">
        <f>S1PRP1[[#This Row],[ Distance]]*20</f>
        <v>21198.760000000002</v>
      </c>
      <c r="F41" cm="1">
        <f t="array" ref="F41">E41*Drag_Constant*Area*Density/2</f>
        <v>2569.6871887500001</v>
      </c>
      <c r="G41">
        <f>SQRT(((Mass*g)^3)/(2*PI()*Density*Radius^2))*S1PRP1[[#This Row],[Time]]</f>
        <v>16430.558554408952</v>
      </c>
      <c r="H41">
        <f>S1PRP1[[#This Row],[E_horizon(J)]]+S1PRP1[[#This Row],[E_hover(J)]]</f>
        <v>19000.24574315895</v>
      </c>
      <c r="R41" s="7">
        <v>40</v>
      </c>
      <c r="S41" s="8">
        <f t="shared" si="1"/>
        <v>212.68620000000001</v>
      </c>
      <c r="T41" s="8">
        <f>Tabel10[[#This Row],[Rank]]/(1+COUNTA(Tabel10[TimeSorted]))</f>
        <v>0.38461538461538464</v>
      </c>
      <c r="U41" s="9">
        <f>_xlfn.NORM.INV(Tabel10[[#This Row],[P]],0,1)</f>
        <v>-0.29338123212119332</v>
      </c>
    </row>
    <row r="42" spans="1:21" x14ac:dyDescent="0.35">
      <c r="A42">
        <v>236.78739999999999</v>
      </c>
      <c r="B42">
        <v>5521</v>
      </c>
      <c r="C42">
        <v>1151.769</v>
      </c>
      <c r="D42">
        <v>0</v>
      </c>
      <c r="E42">
        <f>S1PRP1[[#This Row],[ Distance]]*20</f>
        <v>23035.38</v>
      </c>
      <c r="F42" cm="1">
        <f t="array" ref="F42">E42*Drag_Constant*Area*Density/2</f>
        <v>2792.3199693749998</v>
      </c>
      <c r="G42">
        <f>SQRT(((Mass*g)^3)/(2*PI()*Density*Radius^2))*S1PRP1[[#This Row],[Time]]</f>
        <v>18292.438534546451</v>
      </c>
      <c r="H42">
        <f>S1PRP1[[#This Row],[E_horizon(J)]]+S1PRP1[[#This Row],[E_hover(J)]]</f>
        <v>21084.75850392145</v>
      </c>
      <c r="R42" s="2">
        <v>41</v>
      </c>
      <c r="S42" s="1">
        <f t="shared" si="1"/>
        <v>236.78739999999999</v>
      </c>
      <c r="T42" s="1">
        <f>Tabel10[[#This Row],[Rank]]/(1+COUNTA(Tabel10[TimeSorted]))</f>
        <v>0.39423076923076922</v>
      </c>
      <c r="U42" s="3">
        <f>_xlfn.NORM.INV(Tabel10[[#This Row],[P]],0,1)</f>
        <v>-0.26830892291621306</v>
      </c>
    </row>
    <row r="43" spans="1:21" x14ac:dyDescent="0.35">
      <c r="A43">
        <v>221.22149999999999</v>
      </c>
      <c r="B43">
        <v>5254</v>
      </c>
      <c r="C43">
        <v>1172.1020000000001</v>
      </c>
      <c r="D43">
        <v>0</v>
      </c>
      <c r="E43">
        <f>S1PRP1[[#This Row],[ Distance]]*20</f>
        <v>23442.04</v>
      </c>
      <c r="F43" cm="1">
        <f t="array" ref="F43">E43*Drag_Constant*Area*Density/2</f>
        <v>2841.6147862499997</v>
      </c>
      <c r="G43">
        <f>SQRT(((Mass*g)^3)/(2*PI()*Density*Radius^2))*S1PRP1[[#This Row],[Time]]</f>
        <v>17089.93253555792</v>
      </c>
      <c r="H43">
        <f>S1PRP1[[#This Row],[E_horizon(J)]]+S1PRP1[[#This Row],[E_hover(J)]]</f>
        <v>19931.547321807921</v>
      </c>
      <c r="R43" s="7">
        <v>42</v>
      </c>
      <c r="S43" s="8">
        <f t="shared" si="1"/>
        <v>221.22149999999999</v>
      </c>
      <c r="T43" s="8">
        <f>Tabel10[[#This Row],[Rank]]/(1+COUNTA(Tabel10[TimeSorted]))</f>
        <v>0.40384615384615385</v>
      </c>
      <c r="U43" s="9">
        <f>_xlfn.NORM.INV(Tabel10[[#This Row],[P]],0,1)</f>
        <v>-0.24340417781063114</v>
      </c>
    </row>
    <row r="44" spans="1:21" x14ac:dyDescent="0.35">
      <c r="A44">
        <v>152.12010000000001</v>
      </c>
      <c r="B44">
        <v>4111</v>
      </c>
      <c r="C44">
        <v>786.97619999999995</v>
      </c>
      <c r="D44">
        <v>0</v>
      </c>
      <c r="E44">
        <f>S1PRP1[[#This Row],[ Distance]]*20</f>
        <v>15739.523999999999</v>
      </c>
      <c r="F44" cm="1">
        <f t="array" ref="F44">E44*Drag_Constant*Area*Density/2</f>
        <v>1907.9254248749999</v>
      </c>
      <c r="G44">
        <f>SQRT(((Mass*g)^3)/(2*PI()*Density*Radius^2))*S1PRP1[[#This Row],[Time]]</f>
        <v>11751.67081998054</v>
      </c>
      <c r="H44">
        <f>S1PRP1[[#This Row],[E_horizon(J)]]+S1PRP1[[#This Row],[E_hover(J)]]</f>
        <v>13659.59624485554</v>
      </c>
      <c r="R44" s="2">
        <v>43</v>
      </c>
      <c r="S44" s="1">
        <f t="shared" si="1"/>
        <v>152.12010000000001</v>
      </c>
      <c r="T44" s="1">
        <f>Tabel10[[#This Row],[Rank]]/(1+COUNTA(Tabel10[TimeSorted]))</f>
        <v>0.41346153846153844</v>
      </c>
      <c r="U44" s="3">
        <f>_xlfn.NORM.INV(Tabel10[[#This Row],[P]],0,1)</f>
        <v>-0.21864951704140356</v>
      </c>
    </row>
    <row r="45" spans="1:21" x14ac:dyDescent="0.35">
      <c r="A45">
        <v>220.35239999999999</v>
      </c>
      <c r="B45">
        <v>5324</v>
      </c>
      <c r="C45">
        <v>1088.299</v>
      </c>
      <c r="D45">
        <v>0</v>
      </c>
      <c r="E45">
        <f>S1PRP1[[#This Row],[ Distance]]*20</f>
        <v>21765.98</v>
      </c>
      <c r="F45" cm="1">
        <f t="array" ref="F45">E45*Drag_Constant*Area*Density/2</f>
        <v>2638.444888125</v>
      </c>
      <c r="G45">
        <f>SQRT(((Mass*g)^3)/(2*PI()*Density*Radius^2))*S1PRP1[[#This Row],[Time]]</f>
        <v>17022.79231470844</v>
      </c>
      <c r="H45">
        <f>S1PRP1[[#This Row],[E_horizon(J)]]+S1PRP1[[#This Row],[E_hover(J)]]</f>
        <v>19661.237202833439</v>
      </c>
      <c r="R45" s="7">
        <v>44</v>
      </c>
      <c r="S45" s="8">
        <f t="shared" si="1"/>
        <v>220.35239999999999</v>
      </c>
      <c r="T45" s="8">
        <f>Tabel10[[#This Row],[Rank]]/(1+COUNTA(Tabel10[TimeSorted]))</f>
        <v>0.42307692307692307</v>
      </c>
      <c r="U45" s="9">
        <f>_xlfn.NORM.INV(Tabel10[[#This Row],[P]],0,1)</f>
        <v>-0.19402814242392633</v>
      </c>
    </row>
    <row r="46" spans="1:21" x14ac:dyDescent="0.35">
      <c r="A46">
        <v>282.6857</v>
      </c>
      <c r="B46">
        <v>5905</v>
      </c>
      <c r="C46">
        <v>1364.606</v>
      </c>
      <c r="D46">
        <v>0</v>
      </c>
      <c r="E46">
        <f>S1PRP1[[#This Row],[ Distance]]*20</f>
        <v>27292.12</v>
      </c>
      <c r="F46" cm="1">
        <f t="array" ref="F46">E46*Drag_Constant*Area*Density/2</f>
        <v>3308.3166712499997</v>
      </c>
      <c r="G46">
        <f>SQRT(((Mass*g)^3)/(2*PI()*Density*Radius^2))*S1PRP1[[#This Row],[Time]]</f>
        <v>21838.200815774988</v>
      </c>
      <c r="H46">
        <f>S1PRP1[[#This Row],[E_horizon(J)]]+S1PRP1[[#This Row],[E_hover(J)]]</f>
        <v>25146.517487024987</v>
      </c>
      <c r="R46" s="2">
        <v>45</v>
      </c>
      <c r="S46" s="1">
        <f t="shared" si="1"/>
        <v>282.6857</v>
      </c>
      <c r="T46" s="1">
        <f>Tabel10[[#This Row],[Rank]]/(1+COUNTA(Tabel10[TimeSorted]))</f>
        <v>0.43269230769230771</v>
      </c>
      <c r="U46" s="3">
        <f>_xlfn.NORM.INV(Tabel10[[#This Row],[P]],0,1)</f>
        <v>-0.16952384856926506</v>
      </c>
    </row>
    <row r="47" spans="1:21" x14ac:dyDescent="0.35">
      <c r="A47">
        <v>191.9863</v>
      </c>
      <c r="B47">
        <v>4941</v>
      </c>
      <c r="C47">
        <v>965.2604</v>
      </c>
      <c r="D47">
        <v>0</v>
      </c>
      <c r="E47">
        <f>S1PRP1[[#This Row],[ Distance]]*20</f>
        <v>19305.207999999999</v>
      </c>
      <c r="F47" cm="1">
        <f t="array" ref="F47">E47*Drag_Constant*Area*Density/2</f>
        <v>2340.1531822499996</v>
      </c>
      <c r="G47">
        <f>SQRT(((Mass*g)^3)/(2*PI()*Density*Radius^2))*S1PRP1[[#This Row],[Time]]</f>
        <v>14831.437788602752</v>
      </c>
      <c r="H47">
        <f>S1PRP1[[#This Row],[E_horizon(J)]]+S1PRP1[[#This Row],[E_hover(J)]]</f>
        <v>17171.590970852751</v>
      </c>
      <c r="R47" s="7">
        <v>46</v>
      </c>
      <c r="S47" s="8">
        <f t="shared" si="1"/>
        <v>191.9863</v>
      </c>
      <c r="T47" s="8">
        <f>Tabel10[[#This Row],[Rank]]/(1+COUNTA(Tabel10[TimeSorted]))</f>
        <v>0.44230769230769229</v>
      </c>
      <c r="U47" s="9">
        <f>_xlfn.NORM.INV(Tabel10[[#This Row],[P]],0,1)</f>
        <v>-0.14512094121077412</v>
      </c>
    </row>
    <row r="48" spans="1:21" x14ac:dyDescent="0.35">
      <c r="A48">
        <v>215.61859999999999</v>
      </c>
      <c r="B48">
        <v>5245</v>
      </c>
      <c r="C48">
        <v>1121.2080000000001</v>
      </c>
      <c r="D48">
        <v>0</v>
      </c>
      <c r="E48">
        <f>S1PRP1[[#This Row],[ Distance]]*20</f>
        <v>22424.160000000003</v>
      </c>
      <c r="F48" cm="1">
        <f t="array" ref="F48">E48*Drag_Constant*Area*Density/2</f>
        <v>2718.2286450000001</v>
      </c>
      <c r="G48">
        <f>SQRT(((Mass*g)^3)/(2*PI()*Density*Radius^2))*S1PRP1[[#This Row],[Time]]</f>
        <v>16657.094032051358</v>
      </c>
      <c r="H48">
        <f>S1PRP1[[#This Row],[E_horizon(J)]]+S1PRP1[[#This Row],[E_hover(J)]]</f>
        <v>19375.322677051357</v>
      </c>
      <c r="R48" s="2">
        <v>47</v>
      </c>
      <c r="S48" s="1">
        <f t="shared" si="1"/>
        <v>215.61859999999999</v>
      </c>
      <c r="T48" s="1">
        <f>Tabel10[[#This Row],[Rank]]/(1+COUNTA(Tabel10[TimeSorted]))</f>
        <v>0.45192307692307693</v>
      </c>
      <c r="U48" s="3">
        <f>_xlfn.NORM.INV(Tabel10[[#This Row],[P]],0,1)</f>
        <v>-0.12080416150268274</v>
      </c>
    </row>
    <row r="49" spans="1:21" x14ac:dyDescent="0.35">
      <c r="A49">
        <v>228.05539999999999</v>
      </c>
      <c r="B49">
        <v>5361</v>
      </c>
      <c r="C49">
        <v>1177.347</v>
      </c>
      <c r="D49">
        <v>0</v>
      </c>
      <c r="E49">
        <f>S1PRP1[[#This Row],[ Distance]]*20</f>
        <v>23546.94</v>
      </c>
      <c r="F49" cm="1">
        <f t="array" ref="F49">E49*Drag_Constant*Area*Density/2</f>
        <v>2854.3306331249996</v>
      </c>
      <c r="G49">
        <f>SQRT(((Mass*g)^3)/(2*PI()*Density*Radius^2))*S1PRP1[[#This Row],[Time]]</f>
        <v>17617.868970103158</v>
      </c>
      <c r="H49">
        <f>S1PRP1[[#This Row],[E_horizon(J)]]+S1PRP1[[#This Row],[E_hover(J)]]</f>
        <v>20472.199603228157</v>
      </c>
      <c r="R49" s="7">
        <v>48</v>
      </c>
      <c r="S49" s="8">
        <f t="shared" si="1"/>
        <v>228.05539999999999</v>
      </c>
      <c r="T49" s="8">
        <f>Tabel10[[#This Row],[Rank]]/(1+COUNTA(Tabel10[TimeSorted]))</f>
        <v>0.46153846153846156</v>
      </c>
      <c r="U49" s="9">
        <f>_xlfn.NORM.INV(Tabel10[[#This Row],[P]],0,1)</f>
        <v>-9.6558615289639077E-2</v>
      </c>
    </row>
    <row r="50" spans="1:21" x14ac:dyDescent="0.35">
      <c r="A50">
        <v>218.41929999999999</v>
      </c>
      <c r="B50">
        <v>5475</v>
      </c>
      <c r="C50">
        <v>906.80259999999998</v>
      </c>
      <c r="D50">
        <v>1</v>
      </c>
      <c r="E50">
        <f>S1PRP1[[#This Row],[ Distance]]*20</f>
        <v>18136.052</v>
      </c>
      <c r="F50" cm="1">
        <f t="array" ref="F50">E50*Drag_Constant*Area*Density/2</f>
        <v>2198.4295533750001</v>
      </c>
      <c r="G50">
        <f>SQRT(((Mass*g)^3)/(2*PI()*Density*Radius^2))*S1PRP1[[#This Row],[Time]]</f>
        <v>16873.455344366557</v>
      </c>
      <c r="H50">
        <f>S1PRP1[[#This Row],[E_horizon(J)]]+S1PRP1[[#This Row],[E_hover(J)]]</f>
        <v>19071.884897741558</v>
      </c>
      <c r="R50" s="2">
        <v>49</v>
      </c>
      <c r="S50" s="1">
        <f t="shared" si="1"/>
        <v>218.41929999999999</v>
      </c>
      <c r="T50" s="1">
        <f>Tabel10[[#This Row],[Rank]]/(1+COUNTA(Tabel10[TimeSorted]))</f>
        <v>0.47115384615384615</v>
      </c>
      <c r="U50" s="3">
        <f>_xlfn.NORM.INV(Tabel10[[#This Row],[P]],0,1)</f>
        <v>-7.2369706456502078E-2</v>
      </c>
    </row>
    <row r="51" spans="1:21" x14ac:dyDescent="0.35">
      <c r="A51">
        <v>241.21899999999999</v>
      </c>
      <c r="B51">
        <v>5531</v>
      </c>
      <c r="C51">
        <v>1197.4559999999999</v>
      </c>
      <c r="D51">
        <v>0</v>
      </c>
      <c r="E51">
        <f>S1PRP1[[#This Row],[ Distance]]*20</f>
        <v>23949.119999999999</v>
      </c>
      <c r="F51" cm="1">
        <f t="array" ref="F51">E51*Drag_Constant*Area*Density/2</f>
        <v>2903.08239</v>
      </c>
      <c r="G51">
        <f>SQRT(((Mass*g)^3)/(2*PI()*Density*Radius^2))*S1PRP1[[#This Row],[Time]]</f>
        <v>18634.791086285673</v>
      </c>
      <c r="H51">
        <f>S1PRP1[[#This Row],[E_horizon(J)]]+S1PRP1[[#This Row],[E_hover(J)]]</f>
        <v>21537.873476285673</v>
      </c>
      <c r="R51" s="7">
        <v>50</v>
      </c>
      <c r="S51" s="8">
        <f t="shared" si="1"/>
        <v>241.21899999999999</v>
      </c>
      <c r="T51" s="8">
        <f>Tabel10[[#This Row],[Rank]]/(1+COUNTA(Tabel10[TimeSorted]))</f>
        <v>0.48076923076923078</v>
      </c>
      <c r="U51" s="9">
        <f>_xlfn.NORM.INV(Tabel10[[#This Row],[P]],0,1)</f>
        <v>-4.8223073555922091E-2</v>
      </c>
    </row>
    <row r="52" spans="1:21" x14ac:dyDescent="0.35">
      <c r="A52">
        <v>213.08619999999999</v>
      </c>
      <c r="B52">
        <v>5085</v>
      </c>
      <c r="C52">
        <v>938.72670000000005</v>
      </c>
      <c r="D52">
        <v>1</v>
      </c>
      <c r="E52">
        <f>S1PRP1[[#This Row],[ Distance]]*20</f>
        <v>18774.534</v>
      </c>
      <c r="F52" cm="1">
        <f t="array" ref="F52">E52*Drag_Constant*Area*Density/2</f>
        <v>2275.8255433125</v>
      </c>
      <c r="G52">
        <f>SQRT(((Mass*g)^3)/(2*PI()*Density*Radius^2))*S1PRP1[[#This Row],[Time]]</f>
        <v>16461.459588052709</v>
      </c>
      <c r="H52">
        <f>S1PRP1[[#This Row],[E_horizon(J)]]+S1PRP1[[#This Row],[E_hover(J)]]</f>
        <v>18737.28513136521</v>
      </c>
      <c r="R52" s="2">
        <v>51</v>
      </c>
      <c r="S52" s="1">
        <f t="shared" si="1"/>
        <v>213.08619999999999</v>
      </c>
      <c r="T52" s="1">
        <f>Tabel10[[#This Row],[Rank]]/(1+COUNTA(Tabel10[TimeSorted]))</f>
        <v>0.49038461538461536</v>
      </c>
      <c r="U52" s="3">
        <f>_xlfn.NORM.INV(Tabel10[[#This Row],[P]],0,1)</f>
        <v>-2.4104528980603043E-2</v>
      </c>
    </row>
    <row r="53" spans="1:21" x14ac:dyDescent="0.35">
      <c r="A53">
        <v>214.51990000000001</v>
      </c>
      <c r="B53">
        <v>5294</v>
      </c>
      <c r="C53">
        <v>1102.2950000000001</v>
      </c>
      <c r="D53">
        <v>0</v>
      </c>
      <c r="E53">
        <f>S1PRP1[[#This Row],[ Distance]]*20</f>
        <v>22045.9</v>
      </c>
      <c r="F53" cm="1">
        <f t="array" ref="F53">E53*Drag_Constant*Area*Density/2</f>
        <v>2672.3764406250002</v>
      </c>
      <c r="G53">
        <f>SQRT(((Mass*g)^3)/(2*PI()*Density*Radius^2))*S1PRP1[[#This Row],[Time]]</f>
        <v>16572.216617890361</v>
      </c>
      <c r="H53">
        <f>S1PRP1[[#This Row],[E_horizon(J)]]+S1PRP1[[#This Row],[E_hover(J)]]</f>
        <v>19244.593058515362</v>
      </c>
      <c r="R53" s="7">
        <v>52</v>
      </c>
      <c r="S53" s="8">
        <f t="shared" si="1"/>
        <v>214.51990000000001</v>
      </c>
      <c r="T53" s="8">
        <f>Tabel10[[#This Row],[Rank]]/(1+COUNTA(Tabel10[TimeSorted]))</f>
        <v>0.5</v>
      </c>
      <c r="U53" s="9">
        <f>_xlfn.NORM.INV(Tabel10[[#This Row],[P]],0,1)</f>
        <v>0</v>
      </c>
    </row>
    <row r="54" spans="1:21" x14ac:dyDescent="0.35">
      <c r="A54">
        <v>214.71979999999999</v>
      </c>
      <c r="B54">
        <v>4858</v>
      </c>
      <c r="C54">
        <v>960.27890000000002</v>
      </c>
      <c r="D54">
        <v>1</v>
      </c>
      <c r="E54">
        <f>S1PRP1[[#This Row],[ Distance]]*20</f>
        <v>19205.578000000001</v>
      </c>
      <c r="F54" cm="1">
        <f t="array" ref="F54">E54*Drag_Constant*Area*Density/2</f>
        <v>2328.0761581874999</v>
      </c>
      <c r="G54">
        <f>SQRT(((Mass*g)^3)/(2*PI()*Density*Radius^2))*S1PRP1[[#This Row],[Time]]</f>
        <v>16587.659409453827</v>
      </c>
      <c r="H54">
        <f>S1PRP1[[#This Row],[E_horizon(J)]]+S1PRP1[[#This Row],[E_hover(J)]]</f>
        <v>18915.735567641328</v>
      </c>
      <c r="R54" s="2">
        <v>53</v>
      </c>
      <c r="S54" s="1">
        <f t="shared" si="1"/>
        <v>214.71979999999999</v>
      </c>
      <c r="T54" s="1">
        <f>Tabel10[[#This Row],[Rank]]/(1+COUNTA(Tabel10[TimeSorted]))</f>
        <v>0.50961538461538458</v>
      </c>
      <c r="U54" s="3">
        <f>_xlfn.NORM.INV(Tabel10[[#This Row],[P]],0,1)</f>
        <v>2.4104528980602901E-2</v>
      </c>
    </row>
    <row r="55" spans="1:21" x14ac:dyDescent="0.35">
      <c r="A55">
        <v>266.48579999999998</v>
      </c>
      <c r="B55">
        <v>5221</v>
      </c>
      <c r="C55">
        <v>492.05860000000001</v>
      </c>
      <c r="D55">
        <v>4</v>
      </c>
      <c r="E55">
        <f>S1PRP1[[#This Row],[ Distance]]*20</f>
        <v>9841.1720000000005</v>
      </c>
      <c r="F55" cm="1">
        <f t="array" ref="F55">E55*Drag_Constant*Area*Density/2</f>
        <v>1192.934568375</v>
      </c>
      <c r="G55">
        <f>SQRT(((Mass*g)^3)/(2*PI()*Density*Radius^2))*S1PRP1[[#This Row],[Time]]</f>
        <v>20586.716678461096</v>
      </c>
      <c r="H55">
        <f>S1PRP1[[#This Row],[E_horizon(J)]]+S1PRP1[[#This Row],[E_hover(J)]]</f>
        <v>21779.651246836096</v>
      </c>
      <c r="R55" s="7">
        <v>54</v>
      </c>
      <c r="S55" s="8">
        <f t="shared" si="1"/>
        <v>266.48579999999998</v>
      </c>
      <c r="T55" s="8">
        <f>Tabel10[[#This Row],[Rank]]/(1+COUNTA(Tabel10[TimeSorted]))</f>
        <v>0.51923076923076927</v>
      </c>
      <c r="U55" s="9">
        <f>_xlfn.NORM.INV(Tabel10[[#This Row],[P]],0,1)</f>
        <v>4.8223073555922237E-2</v>
      </c>
    </row>
    <row r="56" spans="1:21" x14ac:dyDescent="0.35">
      <c r="A56">
        <v>208.45320000000001</v>
      </c>
      <c r="B56">
        <v>5251</v>
      </c>
      <c r="C56">
        <v>1044.596</v>
      </c>
      <c r="D56">
        <v>0</v>
      </c>
      <c r="E56">
        <f>S1PRP1[[#This Row],[ Distance]]*20</f>
        <v>20891.919999999998</v>
      </c>
      <c r="F56" cm="1">
        <f t="array" ref="F56">E56*Drag_Constant*Area*Density/2</f>
        <v>2532.4924274999998</v>
      </c>
      <c r="G56">
        <f>SQRT(((Mass*g)^3)/(2*PI()*Density*Radius^2))*S1PRP1[[#This Row],[Time]]</f>
        <v>16103.548365873854</v>
      </c>
      <c r="H56">
        <f>S1PRP1[[#This Row],[E_horizon(J)]]+S1PRP1[[#This Row],[E_hover(J)]]</f>
        <v>18636.040793373853</v>
      </c>
      <c r="R56" s="2">
        <v>55</v>
      </c>
      <c r="S56" s="1">
        <f t="shared" si="1"/>
        <v>208.45320000000001</v>
      </c>
      <c r="T56" s="1">
        <f>Tabel10[[#This Row],[Rank]]/(1+COUNTA(Tabel10[TimeSorted]))</f>
        <v>0.52884615384615385</v>
      </c>
      <c r="U56" s="3">
        <f>_xlfn.NORM.INV(Tabel10[[#This Row],[P]],0,1)</f>
        <v>7.2369706456502078E-2</v>
      </c>
    </row>
    <row r="57" spans="1:21" x14ac:dyDescent="0.35">
      <c r="A57">
        <v>201.15479999999999</v>
      </c>
      <c r="B57">
        <v>5137</v>
      </c>
      <c r="C57">
        <v>1014.535</v>
      </c>
      <c r="D57">
        <v>0</v>
      </c>
      <c r="E57">
        <f>S1PRP1[[#This Row],[ Distance]]*20</f>
        <v>20290.7</v>
      </c>
      <c r="F57" cm="1">
        <f t="array" ref="F57">E57*Drag_Constant*Area*Density/2</f>
        <v>2459.613290625</v>
      </c>
      <c r="G57">
        <f>SQRT(((Mass*g)^3)/(2*PI()*Density*Radius^2))*S1PRP1[[#This Row],[Time]]</f>
        <v>15539.728106009799</v>
      </c>
      <c r="H57">
        <f>S1PRP1[[#This Row],[E_horizon(J)]]+S1PRP1[[#This Row],[E_hover(J)]]</f>
        <v>17999.341396634798</v>
      </c>
      <c r="R57" s="7">
        <v>56</v>
      </c>
      <c r="S57" s="8">
        <f t="shared" si="1"/>
        <v>201.15479999999999</v>
      </c>
      <c r="T57" s="8">
        <f>Tabel10[[#This Row],[Rank]]/(1+COUNTA(Tabel10[TimeSorted]))</f>
        <v>0.53846153846153844</v>
      </c>
      <c r="U57" s="9">
        <f>_xlfn.NORM.INV(Tabel10[[#This Row],[P]],0,1)</f>
        <v>9.6558615289639077E-2</v>
      </c>
    </row>
    <row r="58" spans="1:21" x14ac:dyDescent="0.35">
      <c r="A58">
        <v>205.4862</v>
      </c>
      <c r="B58">
        <v>5134</v>
      </c>
      <c r="C58">
        <v>1006.0839999999999</v>
      </c>
      <c r="D58">
        <v>0</v>
      </c>
      <c r="E58">
        <f>S1PRP1[[#This Row],[ Distance]]*20</f>
        <v>20121.68</v>
      </c>
      <c r="F58" cm="1">
        <f t="array" ref="F58">E58*Drag_Constant*Area*Density/2</f>
        <v>2439.1248974999999</v>
      </c>
      <c r="G58">
        <f>SQRT(((Mass*g)^3)/(2*PI()*Density*Radius^2))*S1PRP1[[#This Row],[Time]]</f>
        <v>15874.33994882126</v>
      </c>
      <c r="H58">
        <f>S1PRP1[[#This Row],[E_horizon(J)]]+S1PRP1[[#This Row],[E_hover(J)]]</f>
        <v>18313.464846321258</v>
      </c>
      <c r="R58" s="2">
        <v>57</v>
      </c>
      <c r="S58" s="1">
        <f t="shared" si="1"/>
        <v>205.4862</v>
      </c>
      <c r="T58" s="1">
        <f>Tabel10[[#This Row],[Rank]]/(1+COUNTA(Tabel10[TimeSorted]))</f>
        <v>0.54807692307692313</v>
      </c>
      <c r="U58" s="3">
        <f>_xlfn.NORM.INV(Tabel10[[#This Row],[P]],0,1)</f>
        <v>0.12080416150268287</v>
      </c>
    </row>
    <row r="59" spans="1:21" x14ac:dyDescent="0.35">
      <c r="A59">
        <v>208.58670000000001</v>
      </c>
      <c r="B59">
        <v>5044</v>
      </c>
      <c r="C59">
        <v>928.37210000000005</v>
      </c>
      <c r="D59">
        <v>1</v>
      </c>
      <c r="E59">
        <f>S1PRP1[[#This Row],[ Distance]]*20</f>
        <v>18567.442000000003</v>
      </c>
      <c r="F59" cm="1">
        <f t="array" ref="F59">E59*Drag_Constant*Area*Density/2</f>
        <v>2250.7221099375001</v>
      </c>
      <c r="G59">
        <f>SQRT(((Mass*g)^3)/(2*PI()*Density*Radius^2))*S1PRP1[[#This Row],[Time]]</f>
        <v>16113.861585852459</v>
      </c>
      <c r="H59">
        <f>S1PRP1[[#This Row],[E_horizon(J)]]+S1PRP1[[#This Row],[E_hover(J)]]</f>
        <v>18364.583695789959</v>
      </c>
      <c r="R59" s="7">
        <v>58</v>
      </c>
      <c r="S59" s="8">
        <f t="shared" si="1"/>
        <v>208.58670000000001</v>
      </c>
      <c r="T59" s="8">
        <f>Tabel10[[#This Row],[Rank]]/(1+COUNTA(Tabel10[TimeSorted]))</f>
        <v>0.55769230769230771</v>
      </c>
      <c r="U59" s="9">
        <f>_xlfn.NORM.INV(Tabel10[[#This Row],[P]],0,1)</f>
        <v>0.14512094121077412</v>
      </c>
    </row>
    <row r="60" spans="1:21" x14ac:dyDescent="0.35">
      <c r="A60">
        <v>198.31970000000001</v>
      </c>
      <c r="B60">
        <v>4982</v>
      </c>
      <c r="C60">
        <v>1027.3399999999999</v>
      </c>
      <c r="D60">
        <v>0</v>
      </c>
      <c r="E60">
        <f>S1PRP1[[#This Row],[ Distance]]*20</f>
        <v>20546.8</v>
      </c>
      <c r="F60" cm="1">
        <f t="array" ref="F60">E60*Drag_Constant*Area*Density/2</f>
        <v>2490.6574124999997</v>
      </c>
      <c r="G60">
        <f>SQRT(((Mass*g)^3)/(2*PI()*Density*Radius^2))*S1PRP1[[#This Row],[Time]]</f>
        <v>15320.709304801236</v>
      </c>
      <c r="H60">
        <f>S1PRP1[[#This Row],[E_horizon(J)]]+S1PRP1[[#This Row],[E_hover(J)]]</f>
        <v>17811.366717301236</v>
      </c>
      <c r="R60" s="2">
        <v>59</v>
      </c>
      <c r="S60" s="1">
        <f t="shared" si="1"/>
        <v>198.31970000000001</v>
      </c>
      <c r="T60" s="1">
        <f>Tabel10[[#This Row],[Rank]]/(1+COUNTA(Tabel10[TimeSorted]))</f>
        <v>0.56730769230769229</v>
      </c>
      <c r="U60" s="3">
        <f>_xlfn.NORM.INV(Tabel10[[#This Row],[P]],0,1)</f>
        <v>0.16952384856926506</v>
      </c>
    </row>
    <row r="61" spans="1:21" x14ac:dyDescent="0.35">
      <c r="A61">
        <v>215.98650000000001</v>
      </c>
      <c r="B61">
        <v>5299</v>
      </c>
      <c r="C61">
        <v>1131.075</v>
      </c>
      <c r="D61">
        <v>0</v>
      </c>
      <c r="E61">
        <f>S1PRP1[[#This Row],[ Distance]]*20</f>
        <v>22621.5</v>
      </c>
      <c r="F61" cm="1">
        <f t="array" ref="F61">E61*Drag_Constant*Area*Density/2</f>
        <v>2742.1499531249997</v>
      </c>
      <c r="G61">
        <f>SQRT(((Mass*g)^3)/(2*PI()*Density*Radius^2))*S1PRP1[[#This Row],[Time]]</f>
        <v>16685.515257745206</v>
      </c>
      <c r="H61">
        <f>S1PRP1[[#This Row],[E_horizon(J)]]+S1PRP1[[#This Row],[E_hover(J)]]</f>
        <v>19427.665210870207</v>
      </c>
      <c r="R61" s="7">
        <v>60</v>
      </c>
      <c r="S61" s="8">
        <f t="shared" si="1"/>
        <v>215.98650000000001</v>
      </c>
      <c r="T61" s="8">
        <f>Tabel10[[#This Row],[Rank]]/(1+COUNTA(Tabel10[TimeSorted]))</f>
        <v>0.57692307692307687</v>
      </c>
      <c r="U61" s="9">
        <f>_xlfn.NORM.INV(Tabel10[[#This Row],[P]],0,1)</f>
        <v>0.19402814242392619</v>
      </c>
    </row>
    <row r="62" spans="1:21" x14ac:dyDescent="0.35">
      <c r="A62">
        <v>225.3861</v>
      </c>
      <c r="B62">
        <v>5348</v>
      </c>
      <c r="C62">
        <v>1076.1020000000001</v>
      </c>
      <c r="D62">
        <v>0</v>
      </c>
      <c r="E62">
        <f>S1PRP1[[#This Row],[ Distance]]*20</f>
        <v>21522.04</v>
      </c>
      <c r="F62" cm="1">
        <f t="array" ref="F62">E62*Drag_Constant*Area*Density/2</f>
        <v>2608.8747862499999</v>
      </c>
      <c r="G62">
        <f>SQRT(((Mass*g)^3)/(2*PI()*Density*Radius^2))*S1PRP1[[#This Row],[Time]]</f>
        <v>17411.658647339937</v>
      </c>
      <c r="H62">
        <f>S1PRP1[[#This Row],[E_horizon(J)]]+S1PRP1[[#This Row],[E_hover(J)]]</f>
        <v>20020.533433589935</v>
      </c>
      <c r="R62" s="2">
        <v>61</v>
      </c>
      <c r="S62" s="1">
        <f t="shared" si="1"/>
        <v>225.3861</v>
      </c>
      <c r="T62" s="1">
        <f>Tabel10[[#This Row],[Rank]]/(1+COUNTA(Tabel10[TimeSorted]))</f>
        <v>0.58653846153846156</v>
      </c>
      <c r="U62" s="3">
        <f>_xlfn.NORM.INV(Tabel10[[#This Row],[P]],0,1)</f>
        <v>0.21864951704140356</v>
      </c>
    </row>
    <row r="63" spans="1:21" x14ac:dyDescent="0.35">
      <c r="A63">
        <v>229.08789999999999</v>
      </c>
      <c r="B63">
        <v>5324</v>
      </c>
      <c r="C63">
        <v>1011.986</v>
      </c>
      <c r="D63">
        <v>1</v>
      </c>
      <c r="E63">
        <f>S1PRP1[[#This Row],[ Distance]]*20</f>
        <v>20239.72</v>
      </c>
      <c r="F63" cm="1">
        <f t="array" ref="F63">E63*Drag_Constant*Area*Density/2</f>
        <v>2453.43355875</v>
      </c>
      <c r="G63">
        <f>SQRT(((Mass*g)^3)/(2*PI()*Density*Radius^2))*S1PRP1[[#This Row],[Time]]</f>
        <v>17697.632263196116</v>
      </c>
      <c r="H63">
        <f>S1PRP1[[#This Row],[E_horizon(J)]]+S1PRP1[[#This Row],[E_hover(J)]]</f>
        <v>20151.065821946115</v>
      </c>
      <c r="R63" s="7">
        <v>62</v>
      </c>
      <c r="S63" s="8">
        <f t="shared" si="1"/>
        <v>229.08789999999999</v>
      </c>
      <c r="T63" s="8">
        <f>Tabel10[[#This Row],[Rank]]/(1+COUNTA(Tabel10[TimeSorted]))</f>
        <v>0.59615384615384615</v>
      </c>
      <c r="U63" s="9">
        <f>_xlfn.NORM.INV(Tabel10[[#This Row],[P]],0,1)</f>
        <v>0.24340417781063114</v>
      </c>
    </row>
    <row r="64" spans="1:21" x14ac:dyDescent="0.35">
      <c r="A64">
        <v>216.0547</v>
      </c>
      <c r="B64">
        <v>5280</v>
      </c>
      <c r="C64">
        <v>938.0231</v>
      </c>
      <c r="D64">
        <v>1</v>
      </c>
      <c r="E64">
        <f>S1PRP1[[#This Row],[ Distance]]*20</f>
        <v>18760.462</v>
      </c>
      <c r="F64" cm="1">
        <f t="array" ref="F64">E64*Drag_Constant*Area*Density/2</f>
        <v>2274.1197530625</v>
      </c>
      <c r="G64">
        <f>SQRT(((Mass*g)^3)/(2*PI()*Density*Radius^2))*S1PRP1[[#This Row],[Time]]</f>
        <v>16690.783883981469</v>
      </c>
      <c r="H64">
        <f>S1PRP1[[#This Row],[E_horizon(J)]]+S1PRP1[[#This Row],[E_hover(J)]]</f>
        <v>18964.903637043968</v>
      </c>
      <c r="R64" s="2">
        <v>63</v>
      </c>
      <c r="S64" s="1">
        <f t="shared" si="1"/>
        <v>216.0547</v>
      </c>
      <c r="T64" s="1">
        <f>Tabel10[[#This Row],[Rank]]/(1+COUNTA(Tabel10[TimeSorted]))</f>
        <v>0.60576923076923073</v>
      </c>
      <c r="U64" s="3">
        <f>_xlfn.NORM.INV(Tabel10[[#This Row],[P]],0,1)</f>
        <v>0.26830892291621289</v>
      </c>
    </row>
    <row r="65" spans="1:21" x14ac:dyDescent="0.35">
      <c r="A65">
        <v>245.05179999999999</v>
      </c>
      <c r="B65">
        <v>5512</v>
      </c>
      <c r="C65">
        <v>1248.6690000000001</v>
      </c>
      <c r="D65">
        <v>0</v>
      </c>
      <c r="E65">
        <f>S1PRP1[[#This Row],[ Distance]]*20</f>
        <v>24973.38</v>
      </c>
      <c r="F65" cm="1">
        <f t="array" ref="F65">E65*Drag_Constant*Area*Density/2</f>
        <v>3027.2419068749996</v>
      </c>
      <c r="G65">
        <f>SQRT(((Mass*g)^3)/(2*PI()*Density*Radius^2))*S1PRP1[[#This Row],[Time]]</f>
        <v>18930.884790660188</v>
      </c>
      <c r="H65">
        <f>S1PRP1[[#This Row],[E_horizon(J)]]+S1PRP1[[#This Row],[E_hover(J)]]</f>
        <v>21958.126697535186</v>
      </c>
      <c r="R65" s="7">
        <v>64</v>
      </c>
      <c r="S65" s="8">
        <f t="shared" si="1"/>
        <v>245.05179999999999</v>
      </c>
      <c r="T65" s="8">
        <f>Tabel10[[#This Row],[Rank]]/(1+COUNTA(Tabel10[TimeSorted]))</f>
        <v>0.61538461538461542</v>
      </c>
      <c r="U65" s="9">
        <f>_xlfn.NORM.INV(Tabel10[[#This Row],[P]],0,1)</f>
        <v>0.29338123212119344</v>
      </c>
    </row>
    <row r="66" spans="1:21" x14ac:dyDescent="0.35">
      <c r="A66">
        <v>223.3192</v>
      </c>
      <c r="B66">
        <v>5344</v>
      </c>
      <c r="C66">
        <v>944.60360000000003</v>
      </c>
      <c r="D66">
        <v>1</v>
      </c>
      <c r="E66">
        <f>S1PRP1[[#This Row],[ Distance]]*20</f>
        <v>18892.072</v>
      </c>
      <c r="F66" cm="1">
        <f t="array" ref="F66">E66*Drag_Constant*Area*Density/2</f>
        <v>2290.0733527499997</v>
      </c>
      <c r="G66">
        <f>SQRT(((Mass*g)^3)/(2*PI()*Density*Radius^2))*S1PRP1[[#This Row],[Time]]</f>
        <v>17251.985281244211</v>
      </c>
      <c r="H66">
        <f>S1PRP1[[#This Row],[E_horizon(J)]]+S1PRP1[[#This Row],[E_hover(J)]]</f>
        <v>19542.058633994209</v>
      </c>
      <c r="R66" s="2">
        <v>65</v>
      </c>
      <c r="S66" s="1">
        <f t="shared" ref="S66:S97" si="2">A66</f>
        <v>223.3192</v>
      </c>
      <c r="T66" s="1">
        <f>Tabel10[[#This Row],[Rank]]/(1+COUNTA(Tabel10[TimeSorted]))</f>
        <v>0.625</v>
      </c>
      <c r="U66" s="3">
        <f>_xlfn.NORM.INV(Tabel10[[#This Row],[P]],0,1)</f>
        <v>0.3186393639643752</v>
      </c>
    </row>
    <row r="67" spans="1:21" x14ac:dyDescent="0.35">
      <c r="A67">
        <v>217.18700000000001</v>
      </c>
      <c r="B67">
        <v>5205</v>
      </c>
      <c r="C67">
        <v>1073.711</v>
      </c>
      <c r="D67">
        <v>0</v>
      </c>
      <c r="E67">
        <f>S1PRP1[[#This Row],[ Distance]]*20</f>
        <v>21474.22</v>
      </c>
      <c r="F67" cm="1">
        <f t="array" ref="F67">E67*Drag_Constant*Area*Density/2</f>
        <v>2603.0781056249998</v>
      </c>
      <c r="G67">
        <f>SQRT(((Mass*g)^3)/(2*PI()*Density*Radius^2))*S1PRP1[[#This Row],[Time]]</f>
        <v>16778.256984968542</v>
      </c>
      <c r="H67">
        <f>S1PRP1[[#This Row],[E_horizon(J)]]+S1PRP1[[#This Row],[E_hover(J)]]</f>
        <v>19381.335090593544</v>
      </c>
      <c r="R67" s="7">
        <v>66</v>
      </c>
      <c r="S67" s="8">
        <f t="shared" si="2"/>
        <v>217.18700000000001</v>
      </c>
      <c r="T67" s="8">
        <f>Tabel10[[#This Row],[Rank]]/(1+COUNTA(Tabel10[TimeSorted]))</f>
        <v>0.63461538461538458</v>
      </c>
      <c r="U67" s="9">
        <f>_xlfn.NORM.INV(Tabel10[[#This Row],[P]],0,1)</f>
        <v>0.34410246288301555</v>
      </c>
    </row>
    <row r="68" spans="1:21" x14ac:dyDescent="0.35">
      <c r="A68">
        <v>203.15049999999999</v>
      </c>
      <c r="B68">
        <v>5139</v>
      </c>
      <c r="C68">
        <v>1047.037</v>
      </c>
      <c r="D68">
        <v>0</v>
      </c>
      <c r="E68">
        <f>S1PRP1[[#This Row],[ Distance]]*20</f>
        <v>20940.740000000002</v>
      </c>
      <c r="F68" cm="1">
        <f t="array" ref="F68">E68*Drag_Constant*Area*Density/2</f>
        <v>2538.410326875</v>
      </c>
      <c r="G68">
        <f>SQRT(((Mass*g)^3)/(2*PI()*Density*Radius^2))*S1PRP1[[#This Row],[Time]]</f>
        <v>15693.901088116931</v>
      </c>
      <c r="H68">
        <f>S1PRP1[[#This Row],[E_horizon(J)]]+S1PRP1[[#This Row],[E_hover(J)]]</f>
        <v>18232.311414991931</v>
      </c>
      <c r="R68" s="2">
        <v>67</v>
      </c>
      <c r="S68" s="1">
        <f t="shared" si="2"/>
        <v>203.15049999999999</v>
      </c>
      <c r="T68" s="1">
        <f>Tabel10[[#This Row],[Rank]]/(1+COUNTA(Tabel10[TimeSorted]))</f>
        <v>0.64423076923076927</v>
      </c>
      <c r="U68" s="3">
        <f>_xlfn.NORM.INV(Tabel10[[#This Row],[P]],0,1)</f>
        <v>0.3697906780238196</v>
      </c>
    </row>
    <row r="69" spans="1:21" x14ac:dyDescent="0.35">
      <c r="A69">
        <v>216.28569999999999</v>
      </c>
      <c r="B69">
        <v>5287</v>
      </c>
      <c r="C69">
        <v>1082.0329999999999</v>
      </c>
      <c r="D69">
        <v>0</v>
      </c>
      <c r="E69">
        <f>S1PRP1[[#This Row],[ Distance]]*20</f>
        <v>21640.659999999996</v>
      </c>
      <c r="F69" cm="1">
        <f t="array" ref="F69">E69*Drag_Constant*Area*Density/2</f>
        <v>2623.2537543749995</v>
      </c>
      <c r="G69">
        <f>SQRT(((Mass*g)^3)/(2*PI()*Density*Radius^2))*S1PRP1[[#This Row],[Time]]</f>
        <v>16708.629230910738</v>
      </c>
      <c r="H69">
        <f>S1PRP1[[#This Row],[E_horizon(J)]]+S1PRP1[[#This Row],[E_hover(J)]]</f>
        <v>19331.882985285738</v>
      </c>
      <c r="R69" s="7">
        <v>68</v>
      </c>
      <c r="S69" s="8">
        <f t="shared" si="2"/>
        <v>216.28569999999999</v>
      </c>
      <c r="T69" s="8">
        <f>Tabel10[[#This Row],[Rank]]/(1+COUNTA(Tabel10[TimeSorted]))</f>
        <v>0.65384615384615385</v>
      </c>
      <c r="U69" s="9">
        <f>_xlfn.NORM.INV(Tabel10[[#This Row],[P]],0,1)</f>
        <v>0.39572529581448734</v>
      </c>
    </row>
    <row r="70" spans="1:21" x14ac:dyDescent="0.35">
      <c r="A70">
        <v>215.12</v>
      </c>
      <c r="B70">
        <v>5219</v>
      </c>
      <c r="C70">
        <v>1063.43</v>
      </c>
      <c r="D70">
        <v>0</v>
      </c>
      <c r="E70">
        <f>S1PRP1[[#This Row],[ Distance]]*20</f>
        <v>21268.600000000002</v>
      </c>
      <c r="F70" cm="1">
        <f t="array" ref="F70">E70*Drag_Constant*Area*Density/2</f>
        <v>2578.1531062499998</v>
      </c>
      <c r="G70">
        <f>SQRT(((Mass*g)^3)/(2*PI()*Density*Radius^2))*S1PRP1[[#This Row],[Time]]</f>
        <v>16618.575893614412</v>
      </c>
      <c r="H70">
        <f>S1PRP1[[#This Row],[E_horizon(J)]]+S1PRP1[[#This Row],[E_hover(J)]]</f>
        <v>19196.728999864412</v>
      </c>
      <c r="R70" s="2">
        <v>69</v>
      </c>
      <c r="S70" s="1">
        <f t="shared" si="2"/>
        <v>215.12</v>
      </c>
      <c r="T70" s="1">
        <f>Tabel10[[#This Row],[Rank]]/(1+COUNTA(Tabel10[TimeSorted]))</f>
        <v>0.66346153846153844</v>
      </c>
      <c r="U70" s="3">
        <f>_xlfn.NORM.INV(Tabel10[[#This Row],[P]],0,1)</f>
        <v>0.42192888874856549</v>
      </c>
    </row>
    <row r="71" spans="1:21" x14ac:dyDescent="0.35">
      <c r="A71">
        <v>194.9855</v>
      </c>
      <c r="B71">
        <v>5042</v>
      </c>
      <c r="C71">
        <v>1010.279</v>
      </c>
      <c r="D71">
        <v>0</v>
      </c>
      <c r="E71">
        <f>S1PRP1[[#This Row],[ Distance]]*20</f>
        <v>20205.580000000002</v>
      </c>
      <c r="F71" cm="1">
        <f t="array" ref="F71">E71*Drag_Constant*Area*Density/2</f>
        <v>2449.2951506250001</v>
      </c>
      <c r="G71">
        <f>SQRT(((Mass*g)^3)/(2*PI()*Density*Radius^2))*S1PRP1[[#This Row],[Time]]</f>
        <v>15063.133738863669</v>
      </c>
      <c r="H71">
        <f>S1PRP1[[#This Row],[E_horizon(J)]]+S1PRP1[[#This Row],[E_hover(J)]]</f>
        <v>17512.42888948867</v>
      </c>
      <c r="R71" s="7">
        <v>70</v>
      </c>
      <c r="S71" s="8">
        <f t="shared" si="2"/>
        <v>194.9855</v>
      </c>
      <c r="T71" s="8">
        <f>Tabel10[[#This Row],[Rank]]/(1+COUNTA(Tabel10[TimeSorted]))</f>
        <v>0.67307692307692313</v>
      </c>
      <c r="U71" s="9">
        <f>_xlfn.NORM.INV(Tabel10[[#This Row],[P]],0,1)</f>
        <v>0.4484254833059349</v>
      </c>
    </row>
    <row r="72" spans="1:21" x14ac:dyDescent="0.35">
      <c r="A72">
        <v>220.29339999999999</v>
      </c>
      <c r="B72">
        <v>5310</v>
      </c>
      <c r="C72">
        <v>1109.8579999999999</v>
      </c>
      <c r="D72">
        <v>0</v>
      </c>
      <c r="E72">
        <f>S1PRP1[[#This Row],[ Distance]]*20</f>
        <v>22197.16</v>
      </c>
      <c r="F72" cm="1">
        <f t="array" ref="F72">E72*Drag_Constant*Area*Density/2</f>
        <v>2690.7119887499998</v>
      </c>
      <c r="G72">
        <f>SQRT(((Mass*g)^3)/(2*PI()*Density*Radius^2))*S1PRP1[[#This Row],[Time]]</f>
        <v>17018.234412245987</v>
      </c>
      <c r="H72">
        <f>S1PRP1[[#This Row],[E_horizon(J)]]+S1PRP1[[#This Row],[E_hover(J)]]</f>
        <v>19708.946400995988</v>
      </c>
      <c r="R72" s="2">
        <v>71</v>
      </c>
      <c r="S72" s="1">
        <f t="shared" si="2"/>
        <v>220.29339999999999</v>
      </c>
      <c r="T72" s="1">
        <f>Tabel10[[#This Row],[Rank]]/(1+COUNTA(Tabel10[TimeSorted]))</f>
        <v>0.68269230769230771</v>
      </c>
      <c r="U72" s="3">
        <f>_xlfn.NORM.INV(Tabel10[[#This Row],[P]],0,1)</f>
        <v>0.47524075051324494</v>
      </c>
    </row>
    <row r="73" spans="1:21" x14ac:dyDescent="0.35">
      <c r="A73">
        <v>218.51859999999999</v>
      </c>
      <c r="B73">
        <v>5256</v>
      </c>
      <c r="C73">
        <v>1083.7180000000001</v>
      </c>
      <c r="D73">
        <v>0</v>
      </c>
      <c r="E73">
        <f>S1PRP1[[#This Row],[ Distance]]*20</f>
        <v>21674.36</v>
      </c>
      <c r="F73" cm="1">
        <f t="array" ref="F73">E73*Drag_Constant*Area*Density/2</f>
        <v>2627.3388262499998</v>
      </c>
      <c r="G73">
        <f>SQRT(((Mass*g)^3)/(2*PI()*Density*Radius^2))*S1PRP1[[#This Row],[Time]]</f>
        <v>16881.126525968622</v>
      </c>
      <c r="H73">
        <f>S1PRP1[[#This Row],[E_horizon(J)]]+S1PRP1[[#This Row],[E_hover(J)]]</f>
        <v>19508.465352218624</v>
      </c>
      <c r="R73" s="7">
        <v>72</v>
      </c>
      <c r="S73" s="8">
        <f t="shared" si="2"/>
        <v>218.51859999999999</v>
      </c>
      <c r="T73" s="8">
        <f>Tabel10[[#This Row],[Rank]]/(1+COUNTA(Tabel10[TimeSorted]))</f>
        <v>0.69230769230769229</v>
      </c>
      <c r="U73" s="9">
        <f>_xlfn.NORM.INV(Tabel10[[#This Row],[P]],0,1)</f>
        <v>0.50240222337335538</v>
      </c>
    </row>
    <row r="74" spans="1:21" x14ac:dyDescent="0.35">
      <c r="A74">
        <v>199.68719999999999</v>
      </c>
      <c r="B74">
        <v>4898</v>
      </c>
      <c r="C74">
        <v>882.66319999999996</v>
      </c>
      <c r="D74">
        <v>1</v>
      </c>
      <c r="E74">
        <f>S1PRP1[[#This Row],[ Distance]]*20</f>
        <v>17653.263999999999</v>
      </c>
      <c r="F74" cm="1">
        <f t="array" ref="F74">E74*Drag_Constant*Area*Density/2</f>
        <v>2139.9065955000001</v>
      </c>
      <c r="G74">
        <f>SQRT(((Mass*g)^3)/(2*PI()*Density*Radius^2))*S1PRP1[[#This Row],[Time]]</f>
        <v>15426.352213570841</v>
      </c>
      <c r="H74">
        <f>S1PRP1[[#This Row],[E_horizon(J)]]+S1PRP1[[#This Row],[E_hover(J)]]</f>
        <v>17566.258809070841</v>
      </c>
      <c r="R74" s="2">
        <v>73</v>
      </c>
      <c r="S74" s="1">
        <f t="shared" si="2"/>
        <v>199.68719999999999</v>
      </c>
      <c r="T74" s="1">
        <f>Tabel10[[#This Row],[Rank]]/(1+COUNTA(Tabel10[TimeSorted]))</f>
        <v>0.70192307692307687</v>
      </c>
      <c r="U74" s="3">
        <f>_xlfn.NORM.INV(Tabel10[[#This Row],[P]],0,1)</f>
        <v>0.52993954630032014</v>
      </c>
    </row>
    <row r="75" spans="1:21" x14ac:dyDescent="0.35">
      <c r="A75">
        <v>234.2208</v>
      </c>
      <c r="B75">
        <v>5674</v>
      </c>
      <c r="C75">
        <v>1215.692</v>
      </c>
      <c r="D75">
        <v>0</v>
      </c>
      <c r="E75">
        <f>S1PRP1[[#This Row],[ Distance]]*20</f>
        <v>24313.84</v>
      </c>
      <c r="F75" cm="1">
        <f t="array" ref="F75">E75*Drag_Constant*Area*Density/2</f>
        <v>2947.2932925</v>
      </c>
      <c r="G75">
        <f>SQRT(((Mass*g)^3)/(2*PI()*Density*Radius^2))*S1PRP1[[#This Row],[Time]]</f>
        <v>18094.162052171261</v>
      </c>
      <c r="H75">
        <f>S1PRP1[[#This Row],[E_horizon(J)]]+S1PRP1[[#This Row],[E_hover(J)]]</f>
        <v>21041.45534467126</v>
      </c>
      <c r="R75" s="7">
        <v>74</v>
      </c>
      <c r="S75" s="8">
        <f t="shared" si="2"/>
        <v>234.2208</v>
      </c>
      <c r="T75" s="8">
        <f>Tabel10[[#This Row],[Rank]]/(1+COUNTA(Tabel10[TimeSorted]))</f>
        <v>0.71153846153846156</v>
      </c>
      <c r="U75" s="9">
        <f>_xlfn.NORM.INV(Tabel10[[#This Row],[P]],0,1)</f>
        <v>0.55788476283959876</v>
      </c>
    </row>
    <row r="76" spans="1:21" x14ac:dyDescent="0.35">
      <c r="A76">
        <v>185.4871</v>
      </c>
      <c r="B76">
        <v>4470</v>
      </c>
      <c r="C76">
        <v>952.09699999999998</v>
      </c>
      <c r="D76">
        <v>0</v>
      </c>
      <c r="E76">
        <f>S1PRP1[[#This Row],[ Distance]]*20</f>
        <v>19041.939999999999</v>
      </c>
      <c r="F76" cm="1">
        <f t="array" ref="F76">E76*Drag_Constant*Area*Density/2</f>
        <v>2308.2401643749995</v>
      </c>
      <c r="G76">
        <f>SQRT(((Mass*g)^3)/(2*PI()*Density*Radius^2))*S1PRP1[[#This Row],[Time]]</f>
        <v>14329.357793958932</v>
      </c>
      <c r="H76">
        <f>S1PRP1[[#This Row],[E_horizon(J)]]+S1PRP1[[#This Row],[E_hover(J)]]</f>
        <v>16637.597958333932</v>
      </c>
      <c r="R76" s="2">
        <v>75</v>
      </c>
      <c r="S76" s="1">
        <f t="shared" si="2"/>
        <v>185.4871</v>
      </c>
      <c r="T76" s="1">
        <f>Tabel10[[#This Row],[Rank]]/(1+COUNTA(Tabel10[TimeSorted]))</f>
        <v>0.72115384615384615</v>
      </c>
      <c r="U76" s="3">
        <f>_xlfn.NORM.INV(Tabel10[[#This Row],[P]],0,1)</f>
        <v>0.58627264940264501</v>
      </c>
    </row>
    <row r="77" spans="1:21" x14ac:dyDescent="0.35">
      <c r="A77">
        <v>216.65289999999999</v>
      </c>
      <c r="B77">
        <v>5061</v>
      </c>
      <c r="C77">
        <v>921.02970000000005</v>
      </c>
      <c r="D77">
        <v>1</v>
      </c>
      <c r="E77">
        <f>S1PRP1[[#This Row],[ Distance]]*20</f>
        <v>18420.594000000001</v>
      </c>
      <c r="F77" cm="1">
        <f t="array" ref="F77">E77*Drag_Constant*Area*Density/2</f>
        <v>2232.9213789375003</v>
      </c>
      <c r="G77">
        <f>SQRT(((Mass*g)^3)/(2*PI()*Density*Radius^2))*S1PRP1[[#This Row],[Time]]</f>
        <v>16736.99637979571</v>
      </c>
      <c r="H77">
        <f>S1PRP1[[#This Row],[E_horizon(J)]]+S1PRP1[[#This Row],[E_hover(J)]]</f>
        <v>18969.917758733209</v>
      </c>
      <c r="R77" s="7">
        <v>76</v>
      </c>
      <c r="S77" s="8">
        <f t="shared" si="2"/>
        <v>216.65289999999999</v>
      </c>
      <c r="T77" s="8">
        <f>Tabel10[[#This Row],[Rank]]/(1+COUNTA(Tabel10[TimeSorted]))</f>
        <v>0.73076923076923073</v>
      </c>
      <c r="U77" s="9">
        <f>_xlfn.NORM.INV(Tabel10[[#This Row],[P]],0,1)</f>
        <v>0.61514110459597326</v>
      </c>
    </row>
    <row r="78" spans="1:21" x14ac:dyDescent="0.35">
      <c r="A78">
        <v>232.22040000000001</v>
      </c>
      <c r="B78">
        <v>5427</v>
      </c>
      <c r="C78">
        <v>981.17600000000004</v>
      </c>
      <c r="D78">
        <v>1</v>
      </c>
      <c r="E78">
        <f>S1PRP1[[#This Row],[ Distance]]*20</f>
        <v>19623.52</v>
      </c>
      <c r="F78" cm="1">
        <f t="array" ref="F78">E78*Drag_Constant*Area*Density/2</f>
        <v>2378.7385649999997</v>
      </c>
      <c r="G78">
        <f>SQRT(((Mass*g)^3)/(2*PI()*Density*Radius^2))*S1PRP1[[#This Row],[Time]]</f>
        <v>17939.625982918817</v>
      </c>
      <c r="H78">
        <f>S1PRP1[[#This Row],[E_horizon(J)]]+S1PRP1[[#This Row],[E_hover(J)]]</f>
        <v>20318.364547918816</v>
      </c>
      <c r="R78" s="2">
        <v>77</v>
      </c>
      <c r="S78" s="1">
        <f t="shared" si="2"/>
        <v>232.22040000000001</v>
      </c>
      <c r="T78" s="1">
        <f>Tabel10[[#This Row],[Rank]]/(1+COUNTA(Tabel10[TimeSorted]))</f>
        <v>0.74038461538461542</v>
      </c>
      <c r="U78" s="3">
        <f>_xlfn.NORM.INV(Tabel10[[#This Row],[P]],0,1)</f>
        <v>0.64453160610661364</v>
      </c>
    </row>
    <row r="79" spans="1:21" x14ac:dyDescent="0.35">
      <c r="A79">
        <v>217.3861</v>
      </c>
      <c r="B79">
        <v>5385</v>
      </c>
      <c r="C79">
        <v>1082.2660000000001</v>
      </c>
      <c r="D79">
        <v>0</v>
      </c>
      <c r="E79">
        <f>S1PRP1[[#This Row],[ Distance]]*20</f>
        <v>21645.32</v>
      </c>
      <c r="F79" cm="1">
        <f t="array" ref="F79">E79*Drag_Constant*Area*Density/2</f>
        <v>2623.8186337499997</v>
      </c>
      <c r="G79">
        <f>SQRT(((Mass*g)^3)/(2*PI()*Density*Radius^2))*S1PRP1[[#This Row],[Time]]</f>
        <v>16793.637974464724</v>
      </c>
      <c r="H79">
        <f>S1PRP1[[#This Row],[E_horizon(J)]]+S1PRP1[[#This Row],[E_hover(J)]]</f>
        <v>19417.456608214725</v>
      </c>
      <c r="R79" s="7">
        <v>78</v>
      </c>
      <c r="S79" s="8">
        <f t="shared" si="2"/>
        <v>217.3861</v>
      </c>
      <c r="T79" s="8">
        <f>Tabel10[[#This Row],[Rank]]/(1+COUNTA(Tabel10[TimeSorted]))</f>
        <v>0.75</v>
      </c>
      <c r="U79" s="9">
        <f>_xlfn.NORM.INV(Tabel10[[#This Row],[P]],0,1)</f>
        <v>0.67448975019608193</v>
      </c>
    </row>
    <row r="80" spans="1:21" x14ac:dyDescent="0.35">
      <c r="A80">
        <v>214.35220000000001</v>
      </c>
      <c r="B80">
        <v>5334</v>
      </c>
      <c r="C80">
        <v>1025.7159999999999</v>
      </c>
      <c r="D80">
        <v>0</v>
      </c>
      <c r="E80">
        <f>S1PRP1[[#This Row],[ Distance]]*20</f>
        <v>20514.32</v>
      </c>
      <c r="F80" cm="1">
        <f t="array" ref="F80">E80*Drag_Constant*Area*Density/2</f>
        <v>2486.7202275</v>
      </c>
      <c r="G80">
        <f>SQRT(((Mass*g)^3)/(2*PI()*Density*Radius^2))*S1PRP1[[#This Row],[Time]]</f>
        <v>16559.261359535212</v>
      </c>
      <c r="H80">
        <f>S1PRP1[[#This Row],[E_horizon(J)]]+S1PRP1[[#This Row],[E_hover(J)]]</f>
        <v>19045.98158703521</v>
      </c>
      <c r="R80" s="2">
        <v>79</v>
      </c>
      <c r="S80" s="1">
        <f t="shared" si="2"/>
        <v>214.35220000000001</v>
      </c>
      <c r="T80" s="1">
        <f>Tabel10[[#This Row],[Rank]]/(1+COUNTA(Tabel10[TimeSorted]))</f>
        <v>0.75961538461538458</v>
      </c>
      <c r="U80" s="3">
        <f>_xlfn.NORM.INV(Tabel10[[#This Row],[P]],0,1)</f>
        <v>0.70506589290002375</v>
      </c>
    </row>
    <row r="81" spans="1:21" x14ac:dyDescent="0.35">
      <c r="A81">
        <v>240.08619999999999</v>
      </c>
      <c r="B81">
        <v>5533</v>
      </c>
      <c r="C81">
        <v>1220.0340000000001</v>
      </c>
      <c r="D81">
        <v>0</v>
      </c>
      <c r="E81">
        <f>S1PRP1[[#This Row],[ Distance]]*20</f>
        <v>24400.68</v>
      </c>
      <c r="F81" cm="1">
        <f t="array" ref="F81">E81*Drag_Constant*Area*Density/2</f>
        <v>2957.8199287500001</v>
      </c>
      <c r="G81">
        <f>SQRT(((Mass*g)^3)/(2*PI()*Density*Radius^2))*S1PRP1[[#This Row],[Time]]</f>
        <v>18547.279359006545</v>
      </c>
      <c r="H81">
        <f>S1PRP1[[#This Row],[E_horizon(J)]]+S1PRP1[[#This Row],[E_hover(J)]]</f>
        <v>21505.099287756544</v>
      </c>
      <c r="R81" s="7">
        <v>80</v>
      </c>
      <c r="S81" s="8">
        <f t="shared" si="2"/>
        <v>240.08619999999999</v>
      </c>
      <c r="T81" s="8">
        <f>Tabel10[[#This Row],[Rank]]/(1+COUNTA(Tabel10[TimeSorted]))</f>
        <v>0.76923076923076927</v>
      </c>
      <c r="U81" s="9">
        <f>_xlfn.NORM.INV(Tabel10[[#This Row],[P]],0,1)</f>
        <v>0.73631591737612956</v>
      </c>
    </row>
    <row r="82" spans="1:21" x14ac:dyDescent="0.35">
      <c r="A82">
        <v>238.2884</v>
      </c>
      <c r="B82">
        <v>5400</v>
      </c>
      <c r="C82">
        <v>1138.0509999999999</v>
      </c>
      <c r="D82">
        <v>0</v>
      </c>
      <c r="E82">
        <f>S1PRP1[[#This Row],[ Distance]]*20</f>
        <v>22761.019999999997</v>
      </c>
      <c r="F82" cm="1">
        <f t="array" ref="F82">E82*Drag_Constant*Area*Density/2</f>
        <v>2759.0623931249997</v>
      </c>
      <c r="G82">
        <f>SQRT(((Mass*g)^3)/(2*PI()*Density*Radius^2))*S1PRP1[[#This Row],[Time]]</f>
        <v>18408.394663294664</v>
      </c>
      <c r="H82">
        <f>S1PRP1[[#This Row],[E_horizon(J)]]+S1PRP1[[#This Row],[E_hover(J)]]</f>
        <v>21167.457056419666</v>
      </c>
      <c r="R82" s="2">
        <v>81</v>
      </c>
      <c r="S82" s="1">
        <f t="shared" si="2"/>
        <v>238.2884</v>
      </c>
      <c r="T82" s="1">
        <f>Tabel10[[#This Row],[Rank]]/(1+COUNTA(Tabel10[TimeSorted]))</f>
        <v>0.77884615384615385</v>
      </c>
      <c r="U82" s="3">
        <f>_xlfn.NORM.INV(Tabel10[[#This Row],[P]],0,1)</f>
        <v>0.7683021589798118</v>
      </c>
    </row>
    <row r="83" spans="1:21" x14ac:dyDescent="0.35">
      <c r="A83">
        <v>190.6207</v>
      </c>
      <c r="B83">
        <v>5003</v>
      </c>
      <c r="C83">
        <v>1002.74</v>
      </c>
      <c r="D83">
        <v>0</v>
      </c>
      <c r="E83">
        <f>S1PRP1[[#This Row],[ Distance]]*20</f>
        <v>20054.8</v>
      </c>
      <c r="F83" cm="1">
        <f t="array" ref="F83">E83*Drag_Constant*Area*Density/2</f>
        <v>2431.0177874999995</v>
      </c>
      <c r="G83">
        <f>SQRT(((Mass*g)^3)/(2*PI()*Density*Radius^2))*S1PRP1[[#This Row],[Time]]</f>
        <v>14725.941659742955</v>
      </c>
      <c r="H83">
        <f>S1PRP1[[#This Row],[E_horizon(J)]]+S1PRP1[[#This Row],[E_hover(J)]]</f>
        <v>17156.959447242956</v>
      </c>
      <c r="R83" s="7">
        <v>82</v>
      </c>
      <c r="S83" s="8">
        <f t="shared" si="2"/>
        <v>190.6207</v>
      </c>
      <c r="T83" s="8">
        <f>Tabel10[[#This Row],[Rank]]/(1+COUNTA(Tabel10[TimeSorted]))</f>
        <v>0.78846153846153844</v>
      </c>
      <c r="U83" s="9">
        <f>_xlfn.NORM.INV(Tabel10[[#This Row],[P]],0,1)</f>
        <v>0.80109452928194935</v>
      </c>
    </row>
    <row r="84" spans="1:21" x14ac:dyDescent="0.35">
      <c r="A84">
        <v>194.18610000000001</v>
      </c>
      <c r="B84">
        <v>4960</v>
      </c>
      <c r="C84">
        <v>988.89300000000003</v>
      </c>
      <c r="D84">
        <v>0</v>
      </c>
      <c r="E84">
        <f>S1PRP1[[#This Row],[ Distance]]*20</f>
        <v>19777.86</v>
      </c>
      <c r="F84" cm="1">
        <f t="array" ref="F84">E84*Drag_Constant*Area*Density/2</f>
        <v>2397.4474668749999</v>
      </c>
      <c r="G84">
        <f>SQRT(((Mass*g)^3)/(2*PI()*Density*Radius^2))*S1PRP1[[#This Row],[Time]]</f>
        <v>15001.378023126616</v>
      </c>
      <c r="H84">
        <f>S1PRP1[[#This Row],[E_horizon(J)]]+S1PRP1[[#This Row],[E_hover(J)]]</f>
        <v>17398.825490001615</v>
      </c>
      <c r="R84" s="2">
        <v>83</v>
      </c>
      <c r="S84" s="1">
        <f t="shared" si="2"/>
        <v>194.18610000000001</v>
      </c>
      <c r="T84" s="1">
        <f>Tabel10[[#This Row],[Rank]]/(1+COUNTA(Tabel10[TimeSorted]))</f>
        <v>0.79807692307692313</v>
      </c>
      <c r="U84" s="3">
        <f>_xlfn.NORM.INV(Tabel10[[#This Row],[P]],0,1)</f>
        <v>0.83477189340677582</v>
      </c>
    </row>
    <row r="85" spans="1:21" x14ac:dyDescent="0.35">
      <c r="A85">
        <v>203.72069999999999</v>
      </c>
      <c r="B85">
        <v>5143</v>
      </c>
      <c r="C85">
        <v>847.88959999999997</v>
      </c>
      <c r="D85">
        <v>1</v>
      </c>
      <c r="E85">
        <f>S1PRP1[[#This Row],[ Distance]]*20</f>
        <v>16957.792000000001</v>
      </c>
      <c r="F85" cm="1">
        <f t="array" ref="F85">E85*Drag_Constant*Area*Density/2</f>
        <v>2055.6023490000002</v>
      </c>
      <c r="G85">
        <f>SQRT(((Mass*g)^3)/(2*PI()*Density*Radius^2))*S1PRP1[[#This Row],[Time]]</f>
        <v>15737.950511576111</v>
      </c>
      <c r="H85">
        <f>S1PRP1[[#This Row],[E_horizon(J)]]+S1PRP1[[#This Row],[E_hover(J)]]</f>
        <v>17793.55286057611</v>
      </c>
      <c r="R85" s="7">
        <v>84</v>
      </c>
      <c r="S85" s="8">
        <f t="shared" si="2"/>
        <v>203.72069999999999</v>
      </c>
      <c r="T85" s="8">
        <f>Tabel10[[#This Row],[Rank]]/(1+COUNTA(Tabel10[TimeSorted]))</f>
        <v>0.80769230769230771</v>
      </c>
      <c r="U85" s="9">
        <f>_xlfn.NORM.INV(Tabel10[[#This Row],[P]],0,1)</f>
        <v>0.86942377328888587</v>
      </c>
    </row>
    <row r="86" spans="1:21" x14ac:dyDescent="0.35">
      <c r="A86">
        <v>227.2199</v>
      </c>
      <c r="B86">
        <v>5445</v>
      </c>
      <c r="C86">
        <v>1138.07</v>
      </c>
      <c r="D86">
        <v>0</v>
      </c>
      <c r="E86">
        <f>S1PRP1[[#This Row],[ Distance]]*20</f>
        <v>22761.399999999998</v>
      </c>
      <c r="F86" cm="1">
        <f t="array" ref="F86">E86*Drag_Constant*Area*Density/2</f>
        <v>2759.1084562499996</v>
      </c>
      <c r="G86">
        <f>SQRT(((Mass*g)^3)/(2*PI()*Density*Radius^2))*S1PRP1[[#This Row],[Time]]</f>
        <v>17553.324436079754</v>
      </c>
      <c r="H86">
        <f>S1PRP1[[#This Row],[E_horizon(J)]]+S1PRP1[[#This Row],[E_hover(J)]]</f>
        <v>20312.432892329754</v>
      </c>
      <c r="R86" s="2">
        <v>85</v>
      </c>
      <c r="S86" s="1">
        <f t="shared" si="2"/>
        <v>227.2199</v>
      </c>
      <c r="T86" s="1">
        <f>Tabel10[[#This Row],[Rank]]/(1+COUNTA(Tabel10[TimeSorted]))</f>
        <v>0.81730769230769229</v>
      </c>
      <c r="U86" s="3">
        <f>_xlfn.NORM.INV(Tabel10[[#This Row],[P]],0,1)</f>
        <v>0.90515247502850393</v>
      </c>
    </row>
    <row r="87" spans="1:21" x14ac:dyDescent="0.35">
      <c r="A87">
        <v>255.75299999999999</v>
      </c>
      <c r="B87">
        <v>5607</v>
      </c>
      <c r="C87">
        <v>1112.6679999999999</v>
      </c>
      <c r="D87">
        <v>1</v>
      </c>
      <c r="E87">
        <f>S1PRP1[[#This Row],[ Distance]]*20</f>
        <v>22253.359999999997</v>
      </c>
      <c r="F87" cm="1">
        <f t="array" ref="F87">E87*Drag_Constant*Area*Density/2</f>
        <v>2697.5244824999995</v>
      </c>
      <c r="G87">
        <f>SQRT(((Mass*g)^3)/(2*PI()*Density*Radius^2))*S1PRP1[[#This Row],[Time]]</f>
        <v>19757.580143731713</v>
      </c>
      <c r="H87">
        <f>S1PRP1[[#This Row],[E_horizon(J)]]+S1PRP1[[#This Row],[E_hover(J)]]</f>
        <v>22455.104626231714</v>
      </c>
      <c r="R87" s="7">
        <v>86</v>
      </c>
      <c r="S87" s="8">
        <f t="shared" si="2"/>
        <v>255.75299999999999</v>
      </c>
      <c r="T87" s="8">
        <f>Tabel10[[#This Row],[Rank]]/(1+COUNTA(Tabel10[TimeSorted]))</f>
        <v>0.82692307692307687</v>
      </c>
      <c r="U87" s="9">
        <f>_xlfn.NORM.INV(Tabel10[[#This Row],[P]],0,1)</f>
        <v>0.94207577499577577</v>
      </c>
    </row>
    <row r="88" spans="1:21" x14ac:dyDescent="0.35">
      <c r="A88">
        <v>209.35480000000001</v>
      </c>
      <c r="B88">
        <v>5182</v>
      </c>
      <c r="C88">
        <v>1009.754</v>
      </c>
      <c r="D88">
        <v>0</v>
      </c>
      <c r="E88">
        <f>S1PRP1[[#This Row],[ Distance]]*20</f>
        <v>20195.080000000002</v>
      </c>
      <c r="F88" cm="1">
        <f t="array" ref="F88">E88*Drag_Constant*Area*Density/2</f>
        <v>2448.0223537500001</v>
      </c>
      <c r="G88">
        <f>SQRT(((Mass*g)^3)/(2*PI()*Density*Radius^2))*S1PRP1[[#This Row],[Time]]</f>
        <v>16173.199295706891</v>
      </c>
      <c r="H88">
        <f>S1PRP1[[#This Row],[E_horizon(J)]]+S1PRP1[[#This Row],[E_hover(J)]]</f>
        <v>18621.221649456889</v>
      </c>
      <c r="R88" s="2">
        <v>87</v>
      </c>
      <c r="S88" s="1">
        <f t="shared" si="2"/>
        <v>209.35480000000001</v>
      </c>
      <c r="T88" s="1">
        <f>Tabel10[[#This Row],[Rank]]/(1+COUNTA(Tabel10[TimeSorted]))</f>
        <v>0.83653846153846156</v>
      </c>
      <c r="U88" s="3">
        <f>_xlfn.NORM.INV(Tabel10[[#This Row],[P]],0,1)</f>
        <v>0.9803303522249297</v>
      </c>
    </row>
    <row r="89" spans="1:21" x14ac:dyDescent="0.35">
      <c r="A89">
        <v>216.51859999999999</v>
      </c>
      <c r="B89">
        <v>5202</v>
      </c>
      <c r="C89">
        <v>1029.175</v>
      </c>
      <c r="D89">
        <v>0</v>
      </c>
      <c r="E89">
        <f>S1PRP1[[#This Row],[ Distance]]*20</f>
        <v>20583.5</v>
      </c>
      <c r="F89" cm="1">
        <f t="array" ref="F89">E89*Drag_Constant*Area*Density/2</f>
        <v>2495.1061406250001</v>
      </c>
      <c r="G89">
        <f>SQRT(((Mass*g)^3)/(2*PI()*Density*Radius^2))*S1PRP1[[#This Row],[Time]]</f>
        <v>16726.621357749817</v>
      </c>
      <c r="H89">
        <f>S1PRP1[[#This Row],[E_horizon(J)]]+S1PRP1[[#This Row],[E_hover(J)]]</f>
        <v>19221.727498374818</v>
      </c>
      <c r="R89" s="7">
        <v>88</v>
      </c>
      <c r="S89" s="8">
        <f t="shared" si="2"/>
        <v>216.51859999999999</v>
      </c>
      <c r="T89" s="8">
        <f>Tabel10[[#This Row],[Rank]]/(1+COUNTA(Tabel10[TimeSorted]))</f>
        <v>0.84615384615384615</v>
      </c>
      <c r="U89" s="9">
        <f>_xlfn.NORM.INV(Tabel10[[#This Row],[P]],0,1)</f>
        <v>1.020076232786199</v>
      </c>
    </row>
    <row r="90" spans="1:21" x14ac:dyDescent="0.35">
      <c r="A90">
        <v>208.7533</v>
      </c>
      <c r="B90">
        <v>5262</v>
      </c>
      <c r="C90">
        <v>1058.8820000000001</v>
      </c>
      <c r="D90">
        <v>0</v>
      </c>
      <c r="E90">
        <f>S1PRP1[[#This Row],[ Distance]]*20</f>
        <v>21177.64</v>
      </c>
      <c r="F90" cm="1">
        <f t="array" ref="F90">E90*Drag_Constant*Area*Density/2</f>
        <v>2567.1270487499996</v>
      </c>
      <c r="G90">
        <f>SQRT(((Mass*g)^3)/(2*PI()*Density*Radius^2))*S1PRP1[[#This Row],[Time]]</f>
        <v>16126.731866365084</v>
      </c>
      <c r="H90">
        <f>S1PRP1[[#This Row],[E_horizon(J)]]+S1PRP1[[#This Row],[E_hover(J)]]</f>
        <v>18693.858915115085</v>
      </c>
      <c r="R90" s="2">
        <v>89</v>
      </c>
      <c r="S90" s="1">
        <f t="shared" si="2"/>
        <v>208.7533</v>
      </c>
      <c r="T90" s="1">
        <f>Tabel10[[#This Row],[Rank]]/(1+COUNTA(Tabel10[TimeSorted]))</f>
        <v>0.85576923076923073</v>
      </c>
      <c r="U90" s="3">
        <f>_xlfn.NORM.INV(Tabel10[[#This Row],[P]],0,1)</f>
        <v>1.0615026297045758</v>
      </c>
    </row>
    <row r="91" spans="1:21" x14ac:dyDescent="0.35">
      <c r="A91">
        <v>233.52029999999999</v>
      </c>
      <c r="B91">
        <v>5302</v>
      </c>
      <c r="C91">
        <v>983.43290000000002</v>
      </c>
      <c r="D91">
        <v>1</v>
      </c>
      <c r="E91">
        <f>S1PRP1[[#This Row],[ Distance]]*20</f>
        <v>19668.657999999999</v>
      </c>
      <c r="F91" cm="1">
        <f t="array" ref="F91">E91*Drag_Constant*Area*Density/2</f>
        <v>2384.2101369375</v>
      </c>
      <c r="G91">
        <f>SQRT(((Mass*g)^3)/(2*PI()*Density*Radius^2))*S1PRP1[[#This Row],[Time]]</f>
        <v>18040.046617002627</v>
      </c>
      <c r="H91">
        <f>S1PRP1[[#This Row],[E_horizon(J)]]+S1PRP1[[#This Row],[E_hover(J)]]</f>
        <v>20424.256753940128</v>
      </c>
      <c r="R91" s="7">
        <v>90</v>
      </c>
      <c r="S91" s="8">
        <f t="shared" si="2"/>
        <v>233.52029999999999</v>
      </c>
      <c r="T91" s="8">
        <f>Tabel10[[#This Row],[Rank]]/(1+COUNTA(Tabel10[TimeSorted]))</f>
        <v>0.86538461538461542</v>
      </c>
      <c r="U91" s="9">
        <f>_xlfn.NORM.INV(Tabel10[[#This Row],[P]],0,1)</f>
        <v>1.1048357439621104</v>
      </c>
    </row>
    <row r="92" spans="1:21" x14ac:dyDescent="0.35">
      <c r="A92">
        <v>194.08529999999999</v>
      </c>
      <c r="B92">
        <v>4959</v>
      </c>
      <c r="C92">
        <v>966.18489999999997</v>
      </c>
      <c r="D92">
        <v>0</v>
      </c>
      <c r="E92">
        <f>S1PRP1[[#This Row],[ Distance]]*20</f>
        <v>19323.698</v>
      </c>
      <c r="F92" cm="1">
        <f t="array" ref="F92">E92*Drag_Constant*Area*Density/2</f>
        <v>2342.3945169374997</v>
      </c>
      <c r="G92">
        <f>SQRT(((Mass*g)^3)/(2*PI()*Density*Radius^2))*S1PRP1[[#This Row],[Time]]</f>
        <v>14993.590962648386</v>
      </c>
      <c r="H92">
        <f>S1PRP1[[#This Row],[E_horizon(J)]]+S1PRP1[[#This Row],[E_hover(J)]]</f>
        <v>17335.985479585885</v>
      </c>
      <c r="R92" s="2">
        <v>91</v>
      </c>
      <c r="S92" s="1">
        <f t="shared" si="2"/>
        <v>194.08529999999999</v>
      </c>
      <c r="T92" s="1">
        <f>Tabel10[[#This Row],[Rank]]/(1+COUNTA(Tabel10[TimeSorted]))</f>
        <v>0.875</v>
      </c>
      <c r="U92" s="3">
        <f>_xlfn.NORM.INV(Tabel10[[#This Row],[P]],0,1)</f>
        <v>1.1503493803760083</v>
      </c>
    </row>
    <row r="93" spans="1:21" x14ac:dyDescent="0.35">
      <c r="A93">
        <v>197.25380000000001</v>
      </c>
      <c r="B93">
        <v>5032</v>
      </c>
      <c r="C93">
        <v>982.49739999999997</v>
      </c>
      <c r="D93">
        <v>0</v>
      </c>
      <c r="E93">
        <f>S1PRP1[[#This Row],[ Distance]]*20</f>
        <v>19649.948</v>
      </c>
      <c r="F93" cm="1">
        <f t="array" ref="F93">E93*Drag_Constant*Area*Density/2</f>
        <v>2381.9421341249999</v>
      </c>
      <c r="G93">
        <f>SQRT(((Mass*g)^3)/(2*PI()*Density*Radius^2))*S1PRP1[[#This Row],[Time]]</f>
        <v>15238.365775399025</v>
      </c>
      <c r="H93">
        <f>S1PRP1[[#This Row],[E_horizon(J)]]+S1PRP1[[#This Row],[E_hover(J)]]</f>
        <v>17620.307909524025</v>
      </c>
      <c r="R93" s="7">
        <v>92</v>
      </c>
      <c r="S93" s="8">
        <f t="shared" si="2"/>
        <v>197.25380000000001</v>
      </c>
      <c r="T93" s="8">
        <f>Tabel10[[#This Row],[Rank]]/(1+COUNTA(Tabel10[TimeSorted]))</f>
        <v>0.88461538461538458</v>
      </c>
      <c r="U93" s="9">
        <f>_xlfn.NORM.INV(Tabel10[[#This Row],[P]],0,1)</f>
        <v>1.1983797023069247</v>
      </c>
    </row>
    <row r="94" spans="1:21" x14ac:dyDescent="0.35">
      <c r="A94">
        <v>216.953</v>
      </c>
      <c r="B94">
        <v>5242</v>
      </c>
      <c r="C94">
        <v>1083.319</v>
      </c>
      <c r="D94">
        <v>0</v>
      </c>
      <c r="E94">
        <f>S1PRP1[[#This Row],[ Distance]]*20</f>
        <v>21666.379999999997</v>
      </c>
      <c r="F94" cm="1">
        <f t="array" ref="F94">E94*Drag_Constant*Area*Density/2</f>
        <v>2626.3715006249995</v>
      </c>
      <c r="G94">
        <f>SQRT(((Mass*g)^3)/(2*PI()*Density*Radius^2))*S1PRP1[[#This Row],[Time]]</f>
        <v>16760.179880286942</v>
      </c>
      <c r="H94">
        <f>S1PRP1[[#This Row],[E_horizon(J)]]+S1PRP1[[#This Row],[E_hover(J)]]</f>
        <v>19386.55138091194</v>
      </c>
      <c r="R94" s="2">
        <v>93</v>
      </c>
      <c r="S94" s="1">
        <f t="shared" si="2"/>
        <v>216.953</v>
      </c>
      <c r="T94" s="1">
        <f>Tabel10[[#This Row],[Rank]]/(1+COUNTA(Tabel10[TimeSorted]))</f>
        <v>0.89423076923076927</v>
      </c>
      <c r="U94" s="3">
        <f>_xlfn.NORM.INV(Tabel10[[#This Row],[P]],0,1)</f>
        <v>1.2493462419631005</v>
      </c>
    </row>
    <row r="95" spans="1:21" x14ac:dyDescent="0.35">
      <c r="A95">
        <v>206.68680000000001</v>
      </c>
      <c r="B95">
        <v>5298</v>
      </c>
      <c r="C95">
        <v>1045.943</v>
      </c>
      <c r="D95">
        <v>0</v>
      </c>
      <c r="E95">
        <f>S1PRP1[[#This Row],[ Distance]]*20</f>
        <v>20918.86</v>
      </c>
      <c r="F95" cm="1">
        <f t="array" ref="F95">E95*Drag_Constant*Area*Density/2</f>
        <v>2535.7580606249999</v>
      </c>
      <c r="G95">
        <f>SQRT(((Mass*g)^3)/(2*PI()*Density*Radius^2))*S1PRP1[[#This Row],[Time]]</f>
        <v>15967.089401303007</v>
      </c>
      <c r="H95">
        <f>S1PRP1[[#This Row],[E_horizon(J)]]+S1PRP1[[#This Row],[E_hover(J)]]</f>
        <v>18502.847461928006</v>
      </c>
      <c r="R95" s="7">
        <v>94</v>
      </c>
      <c r="S95" s="8">
        <f t="shared" si="2"/>
        <v>206.68680000000001</v>
      </c>
      <c r="T95" s="8">
        <f>Tabel10[[#This Row],[Rank]]/(1+COUNTA(Tabel10[TimeSorted]))</f>
        <v>0.90384615384615385</v>
      </c>
      <c r="U95" s="9">
        <f>_xlfn.NORM.INV(Tabel10[[#This Row],[P]],0,1)</f>
        <v>1.3037826721034875</v>
      </c>
    </row>
    <row r="96" spans="1:21" x14ac:dyDescent="0.35">
      <c r="A96">
        <v>219.75299999999999</v>
      </c>
      <c r="B96">
        <v>5463</v>
      </c>
      <c r="C96">
        <v>1138.7260000000001</v>
      </c>
      <c r="D96">
        <v>0</v>
      </c>
      <c r="E96">
        <f>S1PRP1[[#This Row],[ Distance]]*20</f>
        <v>22774.520000000004</v>
      </c>
      <c r="F96" cm="1">
        <f t="array" ref="F96">E96*Drag_Constant*Area*Density/2</f>
        <v>2760.6988462500003</v>
      </c>
      <c r="G96">
        <f>SQRT(((Mass*g)^3)/(2*PI()*Density*Radius^2))*S1PRP1[[#This Row],[Time]]</f>
        <v>16976.487115793265</v>
      </c>
      <c r="H96">
        <f>S1PRP1[[#This Row],[E_horizon(J)]]+S1PRP1[[#This Row],[E_hover(J)]]</f>
        <v>19737.185962043266</v>
      </c>
      <c r="R96" s="2">
        <v>95</v>
      </c>
      <c r="S96" s="1">
        <f t="shared" si="2"/>
        <v>219.75299999999999</v>
      </c>
      <c r="T96" s="1">
        <f>Tabel10[[#This Row],[Rank]]/(1+COUNTA(Tabel10[TimeSorted]))</f>
        <v>0.91346153846153844</v>
      </c>
      <c r="U96" s="3">
        <f>_xlfn.NORM.INV(Tabel10[[#This Row],[P]],0,1)</f>
        <v>1.3623833894180193</v>
      </c>
    </row>
    <row r="97" spans="1:21" x14ac:dyDescent="0.35">
      <c r="A97">
        <v>213.82079999999999</v>
      </c>
      <c r="B97">
        <v>5221</v>
      </c>
      <c r="C97">
        <v>1056.346</v>
      </c>
      <c r="D97">
        <v>0</v>
      </c>
      <c r="E97">
        <f>S1PRP1[[#This Row],[ Distance]]*20</f>
        <v>21126.92</v>
      </c>
      <c r="F97" cm="1">
        <f t="array" ref="F97">E97*Drag_Constant*Area*Density/2</f>
        <v>2560.9788337499995</v>
      </c>
      <c r="G97">
        <f>SQRT(((Mass*g)^3)/(2*PI()*Density*Radius^2))*S1PRP1[[#This Row],[Time]]</f>
        <v>16518.209336339474</v>
      </c>
      <c r="H97">
        <f>S1PRP1[[#This Row],[E_horizon(J)]]+S1PRP1[[#This Row],[E_hover(J)]]</f>
        <v>19079.188170089474</v>
      </c>
      <c r="R97" s="7">
        <v>96</v>
      </c>
      <c r="S97" s="8">
        <f t="shared" si="2"/>
        <v>213.82079999999999</v>
      </c>
      <c r="T97" s="8">
        <f>Tabel10[[#This Row],[Rank]]/(1+COUNTA(Tabel10[TimeSorted]))</f>
        <v>0.92307692307692313</v>
      </c>
      <c r="U97" s="9">
        <f>_xlfn.NORM.INV(Tabel10[[#This Row],[P]],0,1)</f>
        <v>1.4260768722728485</v>
      </c>
    </row>
    <row r="98" spans="1:21" x14ac:dyDescent="0.35">
      <c r="A98">
        <v>255.1224</v>
      </c>
      <c r="B98">
        <v>5685</v>
      </c>
      <c r="C98">
        <v>1255.144</v>
      </c>
      <c r="D98">
        <v>0</v>
      </c>
      <c r="E98">
        <f>S1PRP1[[#This Row],[ Distance]]*20</f>
        <v>25102.880000000001</v>
      </c>
      <c r="F98" cm="1">
        <f t="array" ref="F98">E98*Drag_Constant*Area*Density/2</f>
        <v>3042.9397349999999</v>
      </c>
      <c r="G98">
        <f>SQRT(((Mass*g)^3)/(2*PI()*Density*Radius^2))*S1PRP1[[#This Row],[Time]]</f>
        <v>19708.864664192326</v>
      </c>
      <c r="H98">
        <f>S1PRP1[[#This Row],[E_horizon(J)]]+S1PRP1[[#This Row],[E_hover(J)]]</f>
        <v>22751.804399192326</v>
      </c>
      <c r="R98" s="2">
        <v>97</v>
      </c>
      <c r="S98" s="1">
        <f t="shared" ref="S98:S104" si="3">A98</f>
        <v>255.1224</v>
      </c>
      <c r="T98" s="1">
        <f>Tabel10[[#This Row],[Rank]]/(1+COUNTA(Tabel10[TimeSorted]))</f>
        <v>0.93269230769230771</v>
      </c>
      <c r="U98" s="3">
        <f>_xlfn.NORM.INV(Tabel10[[#This Row],[P]],0,1)</f>
        <v>1.4961468762163628</v>
      </c>
    </row>
    <row r="99" spans="1:21" x14ac:dyDescent="0.35">
      <c r="A99">
        <v>205.78720000000001</v>
      </c>
      <c r="B99">
        <v>5056</v>
      </c>
      <c r="C99">
        <v>888.01279999999997</v>
      </c>
      <c r="D99">
        <v>1</v>
      </c>
      <c r="E99">
        <f>S1PRP1[[#This Row],[ Distance]]*20</f>
        <v>17760.256000000001</v>
      </c>
      <c r="F99" cm="1">
        <f t="array" ref="F99">E99*Drag_Constant*Area*Density/2</f>
        <v>2152.8760320000001</v>
      </c>
      <c r="G99">
        <f>SQRT(((Mass*g)^3)/(2*PI()*Density*Radius^2))*S1PRP1[[#This Row],[Time]]</f>
        <v>15897.592976638191</v>
      </c>
      <c r="H99">
        <f>S1PRP1[[#This Row],[E_horizon(J)]]+S1PRP1[[#This Row],[E_hover(J)]]</f>
        <v>18050.469008638189</v>
      </c>
      <c r="R99" s="7">
        <v>98</v>
      </c>
      <c r="S99" s="8">
        <f t="shared" si="3"/>
        <v>205.78720000000001</v>
      </c>
      <c r="T99" s="8">
        <f>Tabel10[[#This Row],[Rank]]/(1+COUNTA(Tabel10[TimeSorted]))</f>
        <v>0.94230769230769229</v>
      </c>
      <c r="U99" s="9">
        <f>_xlfn.NORM.INV(Tabel10[[#This Row],[P]],0,1)</f>
        <v>1.5744449652170427</v>
      </c>
    </row>
    <row r="100" spans="1:21" x14ac:dyDescent="0.35">
      <c r="A100">
        <v>208.3871</v>
      </c>
      <c r="B100">
        <v>5053</v>
      </c>
      <c r="C100">
        <v>929.64769999999999</v>
      </c>
      <c r="D100">
        <v>1</v>
      </c>
      <c r="E100">
        <f>S1PRP1[[#This Row],[ Distance]]*20</f>
        <v>18592.953999999998</v>
      </c>
      <c r="F100" cm="1">
        <f t="array" ref="F100">E100*Drag_Constant*Area*Density/2</f>
        <v>2253.8146426874996</v>
      </c>
      <c r="G100">
        <f>SQRT(((Mass*g)^3)/(2*PI()*Density*Radius^2))*S1PRP1[[#This Row],[Time]]</f>
        <v>16098.441970064223</v>
      </c>
      <c r="H100">
        <f>S1PRP1[[#This Row],[E_horizon(J)]]+S1PRP1[[#This Row],[E_hover(J)]]</f>
        <v>18352.256612751724</v>
      </c>
      <c r="R100" s="2">
        <v>99</v>
      </c>
      <c r="S100" s="1">
        <f t="shared" si="3"/>
        <v>208.3871</v>
      </c>
      <c r="T100" s="1">
        <f>Tabel10[[#This Row],[Rank]]/(1+COUNTA(Tabel10[TimeSorted]))</f>
        <v>0.95192307692307687</v>
      </c>
      <c r="U100" s="3">
        <f>_xlfn.NORM.INV(Tabel10[[#This Row],[P]],0,1)</f>
        <v>1.6637927858850732</v>
      </c>
    </row>
    <row r="101" spans="1:21" x14ac:dyDescent="0.35">
      <c r="A101">
        <v>234.95259999999999</v>
      </c>
      <c r="B101">
        <v>5502</v>
      </c>
      <c r="C101">
        <v>1160.4760000000001</v>
      </c>
      <c r="D101">
        <v>0</v>
      </c>
      <c r="E101">
        <f>S1PRP1[[#This Row],[ Distance]]*20</f>
        <v>23209.520000000004</v>
      </c>
      <c r="F101" cm="1">
        <f t="array" ref="F101">E101*Drag_Constant*Area*Density/2</f>
        <v>2813.4290025000005</v>
      </c>
      <c r="G101">
        <f>SQRT(((Mass*g)^3)/(2*PI()*Density*Radius^2))*S1PRP1[[#This Row],[Time]]</f>
        <v>18150.695493222524</v>
      </c>
      <c r="H101">
        <f>S1PRP1[[#This Row],[E_horizon(J)]]+S1PRP1[[#This Row],[E_hover(J)]]</f>
        <v>20964.124495722524</v>
      </c>
      <c r="R101" s="7">
        <v>100</v>
      </c>
      <c r="S101" s="8">
        <f t="shared" si="3"/>
        <v>234.95259999999999</v>
      </c>
      <c r="T101" s="8">
        <f>Tabel10[[#This Row],[Rank]]/(1+COUNTA(Tabel10[TimeSorted]))</f>
        <v>0.96153846153846156</v>
      </c>
      <c r="U101" s="9">
        <f>_xlfn.NORM.INV(Tabel10[[#This Row],[P]],0,1)</f>
        <v>1.7688250385187059</v>
      </c>
    </row>
    <row r="102" spans="1:21" x14ac:dyDescent="0.35">
      <c r="A102">
        <v>196.85480000000001</v>
      </c>
      <c r="B102">
        <v>5028</v>
      </c>
      <c r="C102">
        <v>1007.2569999999999</v>
      </c>
      <c r="D102">
        <v>0</v>
      </c>
      <c r="E102">
        <f>S1PRP1[[#This Row],[ Distance]]*20</f>
        <v>20145.14</v>
      </c>
      <c r="F102" cm="1">
        <f t="array" ref="F102">E102*Drag_Constant*Area*Density/2</f>
        <v>2441.9686893749999</v>
      </c>
      <c r="G102">
        <f>SQRT(((Mass*g)^3)/(2*PI()*Density*Radius^2))*S1PRP1[[#This Row],[Time]]</f>
        <v>15207.541994339374</v>
      </c>
      <c r="H102">
        <f>S1PRP1[[#This Row],[E_horizon(J)]]+S1PRP1[[#This Row],[E_hover(J)]]</f>
        <v>17649.510683714372</v>
      </c>
      <c r="R102" s="2">
        <v>101</v>
      </c>
      <c r="S102" s="1">
        <f t="shared" si="3"/>
        <v>196.85480000000001</v>
      </c>
      <c r="T102" s="1">
        <f>Tabel10[[#This Row],[Rank]]/(1+COUNTA(Tabel10[TimeSorted]))</f>
        <v>0.97115384615384615</v>
      </c>
      <c r="U102" s="3">
        <f>_xlfn.NORM.INV(Tabel10[[#This Row],[P]],0,1)</f>
        <v>1.8980286526220012</v>
      </c>
    </row>
    <row r="103" spans="1:21" x14ac:dyDescent="0.35">
      <c r="A103">
        <v>263.01990000000001</v>
      </c>
      <c r="B103">
        <v>5551</v>
      </c>
      <c r="C103">
        <v>1226.346</v>
      </c>
      <c r="D103">
        <v>0</v>
      </c>
      <c r="E103">
        <f>S1PRP1[[#This Row],[ Distance]]*20</f>
        <v>24526.92</v>
      </c>
      <c r="F103" cm="1">
        <f t="array" ref="F103">E103*Drag_Constant*Area*Density/2</f>
        <v>2973.1225837499996</v>
      </c>
      <c r="G103">
        <f>SQRT(((Mass*g)^3)/(2*PI()*Density*Radius^2))*S1PRP1[[#This Row],[Time]]</f>
        <v>20318.966947196324</v>
      </c>
      <c r="H103">
        <f>S1PRP1[[#This Row],[E_horizon(J)]]+S1PRP1[[#This Row],[E_hover(J)]]</f>
        <v>23292.089530946323</v>
      </c>
      <c r="R103" s="7">
        <v>102</v>
      </c>
      <c r="S103" s="8">
        <f t="shared" si="3"/>
        <v>263.01990000000001</v>
      </c>
      <c r="T103" s="8">
        <f>Tabel10[[#This Row],[Rank]]/(1+COUNTA(Tabel10[TimeSorted]))</f>
        <v>0.98076923076923073</v>
      </c>
      <c r="U103" s="9">
        <f>_xlfn.NORM.INV(Tabel10[[#This Row],[P]],0,1)</f>
        <v>2.0699018308950508</v>
      </c>
    </row>
    <row r="104" spans="1:21" x14ac:dyDescent="0.35">
      <c r="A104">
        <v>231.6189</v>
      </c>
      <c r="B104">
        <v>5565</v>
      </c>
      <c r="C104">
        <v>1155.9839999999999</v>
      </c>
      <c r="D104">
        <v>0</v>
      </c>
      <c r="E104">
        <f>S1PRP1[[#This Row],[ Distance]]*20</f>
        <v>23119.68</v>
      </c>
      <c r="F104" cm="1">
        <f t="array" ref="F104">E104*Drag_Constant*Area*Density/2</f>
        <v>2802.5387100000003</v>
      </c>
      <c r="G104">
        <f>SQRT(((Mass*g)^3)/(2*PI()*Density*Radius^2))*S1PRP1[[#This Row],[Time]]</f>
        <v>17893.15855357701</v>
      </c>
      <c r="H104">
        <f>S1PRP1[[#This Row],[E_horizon(J)]]+S1PRP1[[#This Row],[E_hover(J)]]</f>
        <v>20695.697263577011</v>
      </c>
      <c r="R104" s="2">
        <v>103</v>
      </c>
      <c r="S104" s="1">
        <f t="shared" si="3"/>
        <v>231.6189</v>
      </c>
      <c r="T104" s="1">
        <f>Tabel10[[#This Row],[Rank]]/(1+COUNTA(Tabel10[TimeSorted]))</f>
        <v>0.99038461538461542</v>
      </c>
      <c r="U104" s="3">
        <f>_xlfn.NORM.INV(Tabel10[[#This Row],[P]],0,1)</f>
        <v>2.3410271376304492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A15-B782-44F2-B7DF-ACE178C0333C}">
  <dimension ref="A1:T40"/>
  <sheetViews>
    <sheetView topLeftCell="A37" zoomScaleNormal="100" workbookViewId="0">
      <selection activeCell="H73" sqref="H73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2" bestFit="1" customWidth="1"/>
    <col min="18" max="18" width="12.90625" customWidth="1"/>
  </cols>
  <sheetData>
    <row r="1" spans="1:20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Q1" t="s">
        <v>53</v>
      </c>
      <c r="R1" t="s">
        <v>52</v>
      </c>
      <c r="S1" t="s">
        <v>54</v>
      </c>
      <c r="T1" t="s">
        <v>50</v>
      </c>
    </row>
    <row r="2" spans="1:20" x14ac:dyDescent="0.35">
      <c r="A2">
        <v>432.43700000000001</v>
      </c>
      <c r="B2">
        <v>6839</v>
      </c>
      <c r="C2">
        <v>2631.2289999999998</v>
      </c>
      <c r="D2">
        <v>0</v>
      </c>
      <c r="E2">
        <f>S1PRP2[[#This Row],[ Distance]]*20</f>
        <v>52624.579999999994</v>
      </c>
      <c r="F2">
        <f t="shared" ref="F2:F40" si="0">E2*Drag_Constant*Area*Density/2</f>
        <v>6379.0858068749994</v>
      </c>
      <c r="G2">
        <f>SQRT(((Mass*g)^3)/(2*PI()*Density*Radius^2))*S1PRP2[[#This Row],[Time]]</f>
        <v>33406.875714517177</v>
      </c>
      <c r="H2">
        <f>S1PRP2[[#This Row],[E_horizon(J)]]+S1PRP2[[#This Row],[E_hover(J)]]</f>
        <v>39785.961521392179</v>
      </c>
      <c r="I2">
        <f>AVERAGE(S1PRP2[Time])</f>
        <v>233.21554615384616</v>
      </c>
      <c r="J2">
        <f>AVERAGE(S1PRP2[[ NumMsgSent]])</f>
        <v>5364.0512820512822</v>
      </c>
      <c r="K2">
        <f>AVERAGE(S1PRP2[[ Distance]])</f>
        <v>1167.9892948717945</v>
      </c>
      <c r="L2">
        <f>AVERAGE(S1PRP2[[ NodesLost]])</f>
        <v>2.564102564102564E-2</v>
      </c>
      <c r="M2">
        <f>COUNTIF(S1PRP2[[ NodesLost]],"&gt;0")/COUNT(S1PRP2[[ NodesLost]])</f>
        <v>2.564102564102564E-2</v>
      </c>
      <c r="N2">
        <f>AVERAGE(S1PRP2[E_horizon(J)])</f>
        <v>2831.6440467548077</v>
      </c>
      <c r="O2">
        <f>AVERAGE(S1PRP2[E_hover(J)])</f>
        <v>18016.503594869966</v>
      </c>
      <c r="P2">
        <f>O2+N2</f>
        <v>20848.147641624775</v>
      </c>
      <c r="Q2">
        <v>1</v>
      </c>
      <c r="R2">
        <v>160.35429999999999</v>
      </c>
      <c r="S2">
        <f>Tabel9[[#This Row],[Rank]]/(1+COUNTA(Tabel9[TimeSorted]))</f>
        <v>2.5000000000000001E-2</v>
      </c>
      <c r="T2">
        <f>_xlfn.NORM.INV(Tabel9[[#This Row],[P]],0,1)</f>
        <v>-1.9599639845400538</v>
      </c>
    </row>
    <row r="3" spans="1:20" x14ac:dyDescent="0.35">
      <c r="A3">
        <v>197.8974</v>
      </c>
      <c r="B3">
        <v>5170</v>
      </c>
      <c r="C3">
        <v>1187.671</v>
      </c>
      <c r="D3">
        <v>0</v>
      </c>
      <c r="E3">
        <f>S1PRP2[[#This Row],[ Distance]]*20</f>
        <v>23753.420000000002</v>
      </c>
      <c r="F3">
        <f t="shared" si="0"/>
        <v>2879.3598806250002</v>
      </c>
      <c r="G3">
        <f>SQRT(((Mass*g)^3)/(2*PI()*Density*Radius^2))*S1PRP2[[#This Row],[Time]]</f>
        <v>15288.085538531835</v>
      </c>
      <c r="H3">
        <f>S1PRP2[[#This Row],[E_horizon(J)]]+S1PRP2[[#This Row],[E_hover(J)]]</f>
        <v>18167.445419156837</v>
      </c>
      <c r="Q3">
        <v>2</v>
      </c>
      <c r="R3">
        <v>162.9186</v>
      </c>
      <c r="S3">
        <f>Tabel9[[#This Row],[Rank]]/(1+COUNTA(Tabel9[TimeSorted]))</f>
        <v>0.05</v>
      </c>
      <c r="T3">
        <f>_xlfn.NORM.INV(Tabel9[[#This Row],[P]],0,1)</f>
        <v>-1.6448536269514726</v>
      </c>
    </row>
    <row r="4" spans="1:20" x14ac:dyDescent="0.35">
      <c r="A4">
        <v>225.4478</v>
      </c>
      <c r="B4">
        <v>5404</v>
      </c>
      <c r="C4">
        <v>1253.367</v>
      </c>
      <c r="D4">
        <v>0</v>
      </c>
      <c r="E4">
        <f>S1PRP2[[#This Row],[ Distance]]*20</f>
        <v>25067.34</v>
      </c>
      <c r="F4">
        <f t="shared" si="0"/>
        <v>3038.6316206249999</v>
      </c>
      <c r="G4">
        <f>SQRT(((Mass*g)^3)/(2*PI()*Density*Radius^2))*S1PRP2[[#This Row],[Time]]</f>
        <v>17416.425131779484</v>
      </c>
      <c r="H4">
        <f>S1PRP2[[#This Row],[E_horizon(J)]]+S1PRP2[[#This Row],[E_hover(J)]]</f>
        <v>20455.056752404485</v>
      </c>
      <c r="Q4">
        <v>3</v>
      </c>
      <c r="R4">
        <v>166.34610000000001</v>
      </c>
      <c r="S4">
        <f>Tabel9[[#This Row],[Rank]]/(1+COUNTA(Tabel9[TimeSorted]))</f>
        <v>7.4999999999999997E-2</v>
      </c>
      <c r="T4">
        <f>_xlfn.NORM.INV(Tabel9[[#This Row],[P]],0,1)</f>
        <v>-1.4395314709384572</v>
      </c>
    </row>
    <row r="5" spans="1:20" x14ac:dyDescent="0.35">
      <c r="A5">
        <v>210.26939999999999</v>
      </c>
      <c r="B5">
        <v>5381</v>
      </c>
      <c r="C5">
        <v>1158.934</v>
      </c>
      <c r="D5">
        <v>0</v>
      </c>
      <c r="E5">
        <f>S1PRP2[[#This Row],[ Distance]]*20</f>
        <v>23178.68</v>
      </c>
      <c r="F5">
        <f t="shared" si="0"/>
        <v>2809.6906162499999</v>
      </c>
      <c r="G5">
        <f>SQRT(((Mass*g)^3)/(2*PI()*Density*Radius^2))*S1PRP2[[#This Row],[Time]]</f>
        <v>16243.854509133347</v>
      </c>
      <c r="H5">
        <f>S1PRP2[[#This Row],[E_horizon(J)]]+S1PRP2[[#This Row],[E_hover(J)]]</f>
        <v>19053.545125383345</v>
      </c>
      <c r="Q5">
        <v>4</v>
      </c>
      <c r="R5">
        <v>172.79740000000001</v>
      </c>
      <c r="S5">
        <f>Tabel9[[#This Row],[Rank]]/(1+COUNTA(Tabel9[TimeSorted]))</f>
        <v>0.1</v>
      </c>
      <c r="T5">
        <f>_xlfn.NORM.INV(Tabel9[[#This Row],[P]],0,1)</f>
        <v>-1.2815515655446006</v>
      </c>
    </row>
    <row r="6" spans="1:20" x14ac:dyDescent="0.35">
      <c r="A6">
        <v>353.56599999999997</v>
      </c>
      <c r="B6">
        <v>5932</v>
      </c>
      <c r="C6">
        <v>2169.1550000000002</v>
      </c>
      <c r="D6">
        <v>0</v>
      </c>
      <c r="E6">
        <f>S1PRP2[[#This Row],[ Distance]]*20</f>
        <v>43383.100000000006</v>
      </c>
      <c r="F6">
        <f t="shared" si="0"/>
        <v>5258.8451531250003</v>
      </c>
      <c r="G6">
        <f>SQRT(((Mass*g)^3)/(2*PI()*Density*Radius^2))*S1PRP2[[#This Row],[Time]]</f>
        <v>27313.887153224583</v>
      </c>
      <c r="H6">
        <f>S1PRP2[[#This Row],[E_horizon(J)]]+S1PRP2[[#This Row],[E_hover(J)]]</f>
        <v>32572.732306349582</v>
      </c>
      <c r="Q6">
        <v>5</v>
      </c>
      <c r="R6">
        <v>172.86539999999999</v>
      </c>
      <c r="S6">
        <f>Tabel9[[#This Row],[Rank]]/(1+COUNTA(Tabel9[TimeSorted]))</f>
        <v>0.125</v>
      </c>
      <c r="T6">
        <f>_xlfn.NORM.INV(Tabel9[[#This Row],[P]],0,1)</f>
        <v>-1.1503493803760083</v>
      </c>
    </row>
    <row r="7" spans="1:20" x14ac:dyDescent="0.35">
      <c r="A7">
        <v>172.86539999999999</v>
      </c>
      <c r="B7">
        <v>4731</v>
      </c>
      <c r="C7">
        <v>987.42290000000003</v>
      </c>
      <c r="D7">
        <v>0</v>
      </c>
      <c r="E7">
        <f>S1PRP2[[#This Row],[ Distance]]*20</f>
        <v>19748.457999999999</v>
      </c>
      <c r="F7">
        <f t="shared" si="0"/>
        <v>2393.8833931874997</v>
      </c>
      <c r="G7">
        <f>SQRT(((Mass*g)^3)/(2*PI()*Density*Radius^2))*S1PRP2[[#This Row],[Time]]</f>
        <v>13354.298853105302</v>
      </c>
      <c r="H7">
        <f>S1PRP2[[#This Row],[E_horizon(J)]]+S1PRP2[[#This Row],[E_hover(J)]]</f>
        <v>15748.182246292801</v>
      </c>
      <c r="Q7">
        <v>6</v>
      </c>
      <c r="R7">
        <v>192.7724</v>
      </c>
      <c r="S7">
        <f>Tabel9[[#This Row],[Rank]]/(1+COUNTA(Tabel9[TimeSorted]))</f>
        <v>0.15</v>
      </c>
      <c r="T7">
        <f>_xlfn.NORM.INV(Tabel9[[#This Row],[P]],0,1)</f>
        <v>-1.0364333894937898</v>
      </c>
    </row>
    <row r="8" spans="1:20" x14ac:dyDescent="0.35">
      <c r="A8">
        <v>194.21719999999999</v>
      </c>
      <c r="B8">
        <v>5071</v>
      </c>
      <c r="C8">
        <v>1165.7239999999999</v>
      </c>
      <c r="D8">
        <v>0</v>
      </c>
      <c r="E8">
        <f>S1PRP2[[#This Row],[ Distance]]*20</f>
        <v>23314.48</v>
      </c>
      <c r="F8">
        <f t="shared" si="0"/>
        <v>2826.1521225000001</v>
      </c>
      <c r="G8">
        <f>SQRT(((Mass*g)^3)/(2*PI()*Density*Radius^2))*S1PRP2[[#This Row],[Time]]</f>
        <v>15003.780578492415</v>
      </c>
      <c r="H8">
        <f>S1PRP2[[#This Row],[E_horizon(J)]]+S1PRP2[[#This Row],[E_hover(J)]]</f>
        <v>17829.932700992416</v>
      </c>
      <c r="Q8">
        <v>7</v>
      </c>
      <c r="R8">
        <v>194.21719999999999</v>
      </c>
      <c r="S8">
        <f>Tabel9[[#This Row],[Rank]]/(1+COUNTA(Tabel9[TimeSorted]))</f>
        <v>0.17499999999999999</v>
      </c>
      <c r="T8">
        <f>_xlfn.NORM.INV(Tabel9[[#This Row],[P]],0,1)</f>
        <v>-0.93458929107347943</v>
      </c>
    </row>
    <row r="9" spans="1:20" x14ac:dyDescent="0.35">
      <c r="A9">
        <v>352.85480000000001</v>
      </c>
      <c r="B9">
        <v>6506</v>
      </c>
      <c r="C9">
        <v>1448.356</v>
      </c>
      <c r="D9">
        <v>0</v>
      </c>
      <c r="E9">
        <f>S1PRP2[[#This Row],[ Distance]]*20</f>
        <v>28967.119999999999</v>
      </c>
      <c r="F9">
        <f t="shared" si="0"/>
        <v>3511.3580775</v>
      </c>
      <c r="G9">
        <f>SQRT(((Mass*g)^3)/(2*PI()*Density*Radius^2))*S1PRP2[[#This Row],[Time]]</f>
        <v>27258.945115405979</v>
      </c>
      <c r="H9">
        <f>S1PRP2[[#This Row],[E_horizon(J)]]+S1PRP2[[#This Row],[E_hover(J)]]</f>
        <v>30770.30319290598</v>
      </c>
      <c r="Q9">
        <v>8</v>
      </c>
      <c r="R9">
        <v>197.8974</v>
      </c>
      <c r="S9">
        <f>Tabel9[[#This Row],[Rank]]/(1+COUNTA(Tabel9[TimeSorted]))</f>
        <v>0.2</v>
      </c>
      <c r="T9">
        <f>_xlfn.NORM.INV(Tabel9[[#This Row],[P]],0,1)</f>
        <v>-0.84162123357291452</v>
      </c>
    </row>
    <row r="10" spans="1:20" x14ac:dyDescent="0.35">
      <c r="A10">
        <v>166.34610000000001</v>
      </c>
      <c r="B10">
        <v>4386</v>
      </c>
      <c r="C10">
        <v>991.31209999999999</v>
      </c>
      <c r="D10">
        <v>0</v>
      </c>
      <c r="E10">
        <f>S1PRP2[[#This Row],[ Distance]]*20</f>
        <v>19826.241999999998</v>
      </c>
      <c r="F10">
        <f t="shared" si="0"/>
        <v>2403.3122724374998</v>
      </c>
      <c r="G10">
        <f>SQRT(((Mass*g)^3)/(2*PI()*Density*Radius^2))*S1PRP2[[#This Row],[Time]]</f>
        <v>12850.666081520882</v>
      </c>
      <c r="H10">
        <f>S1PRP2[[#This Row],[E_horizon(J)]]+S1PRP2[[#This Row],[E_hover(J)]]</f>
        <v>15253.97835395838</v>
      </c>
      <c r="Q10">
        <v>9</v>
      </c>
      <c r="R10">
        <v>207.74709999999999</v>
      </c>
      <c r="S10">
        <f>Tabel9[[#This Row],[Rank]]/(1+COUNTA(Tabel9[TimeSorted]))</f>
        <v>0.22500000000000001</v>
      </c>
      <c r="T10">
        <f>_xlfn.NORM.INV(Tabel9[[#This Row],[P]],0,1)</f>
        <v>-0.75541502636046909</v>
      </c>
    </row>
    <row r="11" spans="1:20" x14ac:dyDescent="0.35">
      <c r="A11">
        <v>222.04740000000001</v>
      </c>
      <c r="B11">
        <v>5651</v>
      </c>
      <c r="C11">
        <v>1090.3679999999999</v>
      </c>
      <c r="D11">
        <v>0</v>
      </c>
      <c r="E11">
        <f>S1PRP2[[#This Row],[ Distance]]*20</f>
        <v>21807.360000000001</v>
      </c>
      <c r="F11">
        <f t="shared" si="0"/>
        <v>2643.46092</v>
      </c>
      <c r="G11">
        <f>SQRT(((Mass*g)^3)/(2*PI()*Density*Radius^2))*S1PRP2[[#This Row],[Time]]</f>
        <v>17153.735444773876</v>
      </c>
      <c r="H11">
        <f>S1PRP2[[#This Row],[E_horizon(J)]]+S1PRP2[[#This Row],[E_hover(J)]]</f>
        <v>19797.196364773878</v>
      </c>
      <c r="Q11">
        <v>10</v>
      </c>
      <c r="R11">
        <v>209.2876</v>
      </c>
      <c r="S11">
        <f>Tabel9[[#This Row],[Rank]]/(1+COUNTA(Tabel9[TimeSorted]))</f>
        <v>0.25</v>
      </c>
      <c r="T11">
        <f>_xlfn.NORM.INV(Tabel9[[#This Row],[P]],0,1)</f>
        <v>-0.67448975019608193</v>
      </c>
    </row>
    <row r="12" spans="1:20" x14ac:dyDescent="0.35">
      <c r="A12">
        <v>228.9205</v>
      </c>
      <c r="B12">
        <v>5472</v>
      </c>
      <c r="C12">
        <v>1155.6479999999999</v>
      </c>
      <c r="D12">
        <v>0</v>
      </c>
      <c r="E12">
        <f>S1PRP2[[#This Row],[ Distance]]*20</f>
        <v>23112.959999999999</v>
      </c>
      <c r="F12">
        <f t="shared" si="0"/>
        <v>2801.7241199999999</v>
      </c>
      <c r="G12">
        <f>SQRT(((Mass*g)^3)/(2*PI()*Density*Radius^2))*S1PRP2[[#This Row],[Time]]</f>
        <v>17684.700180616204</v>
      </c>
      <c r="H12">
        <f>S1PRP2[[#This Row],[E_horizon(J)]]+S1PRP2[[#This Row],[E_hover(J)]]</f>
        <v>20486.424300616203</v>
      </c>
      <c r="Q12">
        <v>11</v>
      </c>
      <c r="R12">
        <v>210.26939999999999</v>
      </c>
      <c r="S12">
        <f>Tabel9[[#This Row],[Rank]]/(1+COUNTA(Tabel9[TimeSorted]))</f>
        <v>0.27500000000000002</v>
      </c>
      <c r="T12">
        <f>_xlfn.NORM.INV(Tabel9[[#This Row],[P]],0,1)</f>
        <v>-0.59776012604247841</v>
      </c>
    </row>
    <row r="13" spans="1:20" x14ac:dyDescent="0.35">
      <c r="A13">
        <v>216.43029999999999</v>
      </c>
      <c r="B13">
        <v>5139</v>
      </c>
      <c r="C13">
        <v>1067.0119999999999</v>
      </c>
      <c r="D13">
        <v>0</v>
      </c>
      <c r="E13">
        <f>S1PRP2[[#This Row],[ Distance]]*20</f>
        <v>21340.239999999998</v>
      </c>
      <c r="F13">
        <f t="shared" si="0"/>
        <v>2586.8372174999995</v>
      </c>
      <c r="G13">
        <f>SQRT(((Mass*g)^3)/(2*PI()*Density*Radius^2))*S1PRP2[[#This Row],[Time]]</f>
        <v>16719.799954572958</v>
      </c>
      <c r="H13">
        <f>S1PRP2[[#This Row],[E_horizon(J)]]+S1PRP2[[#This Row],[E_hover(J)]]</f>
        <v>19306.637172072958</v>
      </c>
      <c r="Q13">
        <v>12</v>
      </c>
      <c r="R13">
        <v>213.00450000000001</v>
      </c>
      <c r="S13">
        <f>Tabel9[[#This Row],[Rank]]/(1+COUNTA(Tabel9[TimeSorted]))</f>
        <v>0.3</v>
      </c>
      <c r="T13">
        <f>_xlfn.NORM.INV(Tabel9[[#This Row],[P]],0,1)</f>
        <v>-0.52440051270804089</v>
      </c>
    </row>
    <row r="14" spans="1:20" x14ac:dyDescent="0.35">
      <c r="A14">
        <v>162.9186</v>
      </c>
      <c r="B14">
        <v>4189</v>
      </c>
      <c r="C14">
        <v>840.98910000000001</v>
      </c>
      <c r="D14">
        <v>0</v>
      </c>
      <c r="E14">
        <f>S1PRP2[[#This Row],[ Distance]]*20</f>
        <v>16819.781999999999</v>
      </c>
      <c r="F14">
        <f t="shared" si="0"/>
        <v>2038.8729493124997</v>
      </c>
      <c r="G14">
        <f>SQRT(((Mass*g)^3)/(2*PI()*Density*Radius^2))*S1PRP2[[#This Row],[Time]]</f>
        <v>12585.882849485908</v>
      </c>
      <c r="H14">
        <f>S1PRP2[[#This Row],[E_horizon(J)]]+S1PRP2[[#This Row],[E_hover(J)]]</f>
        <v>14624.755798798407</v>
      </c>
      <c r="Q14">
        <v>13</v>
      </c>
      <c r="R14">
        <v>213.50360000000001</v>
      </c>
      <c r="S14">
        <f>Tabel9[[#This Row],[Rank]]/(1+COUNTA(Tabel9[TimeSorted]))</f>
        <v>0.32500000000000001</v>
      </c>
      <c r="T14">
        <f>_xlfn.NORM.INV(Tabel9[[#This Row],[P]],0,1)</f>
        <v>-0.45376219016987951</v>
      </c>
    </row>
    <row r="15" spans="1:20" x14ac:dyDescent="0.35">
      <c r="A15">
        <v>225.22579999999999</v>
      </c>
      <c r="B15">
        <v>5346</v>
      </c>
      <c r="C15">
        <v>1090.624</v>
      </c>
      <c r="D15">
        <v>0</v>
      </c>
      <c r="E15">
        <f>S1PRP2[[#This Row],[ Distance]]*20</f>
        <v>21812.48</v>
      </c>
      <c r="F15">
        <f t="shared" si="0"/>
        <v>2644.0815600000001</v>
      </c>
      <c r="G15">
        <f>SQRT(((Mass*g)^3)/(2*PI()*Density*Radius^2))*S1PRP2[[#This Row],[Time]]</f>
        <v>17399.275058107196</v>
      </c>
      <c r="H15">
        <f>S1PRP2[[#This Row],[E_horizon(J)]]+S1PRP2[[#This Row],[E_hover(J)]]</f>
        <v>20043.356618107195</v>
      </c>
      <c r="Q15">
        <v>14</v>
      </c>
      <c r="R15">
        <v>213.58580000000001</v>
      </c>
      <c r="S15">
        <f>Tabel9[[#This Row],[Rank]]/(1+COUNTA(Tabel9[TimeSorted]))</f>
        <v>0.35</v>
      </c>
      <c r="T15">
        <f>_xlfn.NORM.INV(Tabel9[[#This Row],[P]],0,1)</f>
        <v>-0.38532046640756784</v>
      </c>
    </row>
    <row r="16" spans="1:20" x14ac:dyDescent="0.35">
      <c r="A16">
        <v>209.2876</v>
      </c>
      <c r="B16">
        <v>5240</v>
      </c>
      <c r="C16">
        <v>1062.8140000000001</v>
      </c>
      <c r="D16">
        <v>0</v>
      </c>
      <c r="E16">
        <f>S1PRP2[[#This Row],[ Distance]]*20</f>
        <v>21256.280000000002</v>
      </c>
      <c r="F16">
        <f t="shared" si="0"/>
        <v>2576.6596912500004</v>
      </c>
      <c r="G16">
        <f>SQRT(((Mass*g)^3)/(2*PI()*Density*Radius^2))*S1PRP2[[#This Row],[Time]]</f>
        <v>16168.007922054738</v>
      </c>
      <c r="H16">
        <f>S1PRP2[[#This Row],[E_horizon(J)]]+S1PRP2[[#This Row],[E_hover(J)]]</f>
        <v>18744.667613304737</v>
      </c>
      <c r="Q16">
        <v>15</v>
      </c>
      <c r="R16">
        <v>216.43029999999999</v>
      </c>
      <c r="S16">
        <f>Tabel9[[#This Row],[Rank]]/(1+COUNTA(Tabel9[TimeSorted]))</f>
        <v>0.375</v>
      </c>
      <c r="T16">
        <f>_xlfn.NORM.INV(Tabel9[[#This Row],[P]],0,1)</f>
        <v>-0.3186393639643752</v>
      </c>
    </row>
    <row r="17" spans="1:20" x14ac:dyDescent="0.35">
      <c r="A17">
        <v>247.15729999999999</v>
      </c>
      <c r="B17">
        <v>5374</v>
      </c>
      <c r="C17">
        <v>843.2079</v>
      </c>
      <c r="D17">
        <v>1</v>
      </c>
      <c r="E17">
        <f>S1PRP2[[#This Row],[ Distance]]*20</f>
        <v>16864.157999999999</v>
      </c>
      <c r="F17">
        <f t="shared" si="0"/>
        <v>2044.2521525625</v>
      </c>
      <c r="G17">
        <f>SQRT(((Mass*g)^3)/(2*PI()*Density*Radius^2))*S1PRP2[[#This Row],[Time]]</f>
        <v>19093.540106502533</v>
      </c>
      <c r="H17">
        <f>S1PRP2[[#This Row],[E_horizon(J)]]+S1PRP2[[#This Row],[E_hover(J)]]</f>
        <v>21137.792259065034</v>
      </c>
      <c r="Q17">
        <v>16</v>
      </c>
      <c r="R17">
        <v>220.49889999999999</v>
      </c>
      <c r="S17">
        <f>Tabel9[[#This Row],[Rank]]/(1+COUNTA(Tabel9[TimeSorted]))</f>
        <v>0.4</v>
      </c>
      <c r="T17">
        <f>_xlfn.NORM.INV(Tabel9[[#This Row],[P]],0,1)</f>
        <v>-0.25334710313579978</v>
      </c>
    </row>
    <row r="18" spans="1:20" x14ac:dyDescent="0.35">
      <c r="A18">
        <v>233.32149999999999</v>
      </c>
      <c r="B18">
        <v>5436</v>
      </c>
      <c r="C18">
        <v>1127.8489999999999</v>
      </c>
      <c r="D18">
        <v>0</v>
      </c>
      <c r="E18">
        <f>S1PRP2[[#This Row],[ Distance]]*20</f>
        <v>22556.98</v>
      </c>
      <c r="F18">
        <f t="shared" si="0"/>
        <v>2734.3289193749997</v>
      </c>
      <c r="G18">
        <f>SQRT(((Mass*g)^3)/(2*PI()*Density*Radius^2))*S1PRP2[[#This Row],[Time]]</f>
        <v>18024.688803281679</v>
      </c>
      <c r="H18">
        <f>S1PRP2[[#This Row],[E_horizon(J)]]+S1PRP2[[#This Row],[E_hover(J)]]</f>
        <v>20759.017722656678</v>
      </c>
      <c r="Q18">
        <v>17</v>
      </c>
      <c r="R18">
        <v>220.51140000000001</v>
      </c>
      <c r="S18">
        <f>Tabel9[[#This Row],[Rank]]/(1+COUNTA(Tabel9[TimeSorted]))</f>
        <v>0.42499999999999999</v>
      </c>
      <c r="T18">
        <f>_xlfn.NORM.INV(Tabel9[[#This Row],[P]],0,1)</f>
        <v>-0.18911842627279254</v>
      </c>
    </row>
    <row r="19" spans="1:20" x14ac:dyDescent="0.35">
      <c r="A19">
        <v>319.72640000000001</v>
      </c>
      <c r="B19">
        <v>6035</v>
      </c>
      <c r="C19">
        <v>1330.2190000000001</v>
      </c>
      <c r="D19">
        <v>0</v>
      </c>
      <c r="E19">
        <f>S1PRP2[[#This Row],[ Distance]]*20</f>
        <v>26604.38</v>
      </c>
      <c r="F19">
        <f t="shared" si="0"/>
        <v>3224.9496881249997</v>
      </c>
      <c r="G19">
        <f>SQRT(((Mass*g)^3)/(2*PI()*Density*Radius^2))*S1PRP2[[#This Row],[Time]]</f>
        <v>24699.69060799609</v>
      </c>
      <c r="H19">
        <f>S1PRP2[[#This Row],[E_horizon(J)]]+S1PRP2[[#This Row],[E_hover(J)]]</f>
        <v>27924.640296121092</v>
      </c>
      <c r="Q19">
        <v>18</v>
      </c>
      <c r="R19">
        <v>221.1206</v>
      </c>
      <c r="S19">
        <f>Tabel9[[#This Row],[Rank]]/(1+COUNTA(Tabel9[TimeSorted]))</f>
        <v>0.45</v>
      </c>
      <c r="T19">
        <f>_xlfn.NORM.INV(Tabel9[[#This Row],[P]],0,1)</f>
        <v>-0.12566134685507402</v>
      </c>
    </row>
    <row r="20" spans="1:20" x14ac:dyDescent="0.35">
      <c r="A20">
        <v>160.35429999999999</v>
      </c>
      <c r="B20">
        <v>4134</v>
      </c>
      <c r="C20">
        <v>840.43880000000001</v>
      </c>
      <c r="D20">
        <v>0</v>
      </c>
      <c r="E20">
        <f>S1PRP2[[#This Row],[ Distance]]*20</f>
        <v>16808.776000000002</v>
      </c>
      <c r="F20">
        <f t="shared" si="0"/>
        <v>2037.5388157500001</v>
      </c>
      <c r="G20">
        <f>SQRT(((Mass*g)^3)/(2*PI()*Density*Radius^2))*S1PRP2[[#This Row],[Time]]</f>
        <v>12387.784048054171</v>
      </c>
      <c r="H20">
        <f>S1PRP2[[#This Row],[E_horizon(J)]]+S1PRP2[[#This Row],[E_hover(J)]]</f>
        <v>14425.322863804171</v>
      </c>
      <c r="Q20">
        <v>19</v>
      </c>
      <c r="R20">
        <v>222.04740000000001</v>
      </c>
      <c r="S20">
        <f>Tabel9[[#This Row],[Rank]]/(1+COUNTA(Tabel9[TimeSorted]))</f>
        <v>0.47499999999999998</v>
      </c>
      <c r="T20">
        <f>_xlfn.NORM.INV(Tabel9[[#This Row],[P]],0,1)</f>
        <v>-6.2706777943213846E-2</v>
      </c>
    </row>
    <row r="21" spans="1:20" x14ac:dyDescent="0.35">
      <c r="A21">
        <v>290.05919999999998</v>
      </c>
      <c r="B21">
        <v>5872</v>
      </c>
      <c r="C21">
        <v>1244.6890000000001</v>
      </c>
      <c r="D21">
        <v>0</v>
      </c>
      <c r="E21">
        <f>S1PRP2[[#This Row],[ Distance]]*20</f>
        <v>24893.780000000002</v>
      </c>
      <c r="F21">
        <f t="shared" si="0"/>
        <v>3017.5928943750005</v>
      </c>
      <c r="G21">
        <f>SQRT(((Mass*g)^3)/(2*PI()*Density*Radius^2))*S1PRP2[[#This Row],[Time]]</f>
        <v>22407.822744705656</v>
      </c>
      <c r="H21">
        <f>S1PRP2[[#This Row],[E_horizon(J)]]+S1PRP2[[#This Row],[E_hover(J)]]</f>
        <v>25425.415639080657</v>
      </c>
      <c r="Q21">
        <v>20</v>
      </c>
      <c r="R21">
        <v>223.65520000000001</v>
      </c>
      <c r="S21">
        <f>Tabel9[[#This Row],[Rank]]/(1+COUNTA(Tabel9[TimeSorted]))</f>
        <v>0.5</v>
      </c>
      <c r="T21">
        <f>_xlfn.NORM.INV(Tabel9[[#This Row],[P]],0,1)</f>
        <v>0</v>
      </c>
    </row>
    <row r="22" spans="1:20" x14ac:dyDescent="0.35">
      <c r="A22">
        <v>232.82140000000001</v>
      </c>
      <c r="B22">
        <v>5434</v>
      </c>
      <c r="C22">
        <v>1068.856</v>
      </c>
      <c r="D22">
        <v>0</v>
      </c>
      <c r="E22">
        <f>S1PRP2[[#This Row],[ Distance]]*20</f>
        <v>21377.119999999999</v>
      </c>
      <c r="F22">
        <f t="shared" si="0"/>
        <v>2591.307765</v>
      </c>
      <c r="G22">
        <f>SQRT(((Mass*g)^3)/(2*PI()*Density*Radius^2))*S1PRP2[[#This Row],[Time]]</f>
        <v>17986.054785968568</v>
      </c>
      <c r="H22">
        <f>S1PRP2[[#This Row],[E_horizon(J)]]+S1PRP2[[#This Row],[E_hover(J)]]</f>
        <v>20577.36255096857</v>
      </c>
      <c r="Q22">
        <v>21</v>
      </c>
      <c r="R22">
        <v>225.22579999999999</v>
      </c>
      <c r="S22">
        <f>Tabel9[[#This Row],[Rank]]/(1+COUNTA(Tabel9[TimeSorted]))</f>
        <v>0.52500000000000002</v>
      </c>
      <c r="T22">
        <f>_xlfn.NORM.INV(Tabel9[[#This Row],[P]],0,1)</f>
        <v>6.2706777943213846E-2</v>
      </c>
    </row>
    <row r="23" spans="1:20" x14ac:dyDescent="0.35">
      <c r="A23">
        <v>221.1206</v>
      </c>
      <c r="B23">
        <v>5317</v>
      </c>
      <c r="C23">
        <v>1104.557</v>
      </c>
      <c r="D23">
        <v>0</v>
      </c>
      <c r="E23">
        <f>S1PRP2[[#This Row],[ Distance]]*20</f>
        <v>22091.14</v>
      </c>
      <c r="F23">
        <f t="shared" si="0"/>
        <v>2677.8603768749999</v>
      </c>
      <c r="G23">
        <f>SQRT(((Mass*g)^3)/(2*PI()*Density*Radius^2))*S1PRP2[[#This Row],[Time]]</f>
        <v>17082.137749821282</v>
      </c>
      <c r="H23">
        <f>S1PRP2[[#This Row],[E_horizon(J)]]+S1PRP2[[#This Row],[E_hover(J)]]</f>
        <v>19759.998126696282</v>
      </c>
      <c r="Q23">
        <v>22</v>
      </c>
      <c r="R23">
        <v>225.4478</v>
      </c>
      <c r="S23">
        <f>Tabel9[[#This Row],[Rank]]/(1+COUNTA(Tabel9[TimeSorted]))</f>
        <v>0.55000000000000004</v>
      </c>
      <c r="T23">
        <f>_xlfn.NORM.INV(Tabel9[[#This Row],[P]],0,1)</f>
        <v>0.12566134685507416</v>
      </c>
    </row>
    <row r="24" spans="1:20" x14ac:dyDescent="0.35">
      <c r="A24">
        <v>235.60419999999999</v>
      </c>
      <c r="B24">
        <v>5392</v>
      </c>
      <c r="C24">
        <v>1113.826</v>
      </c>
      <c r="D24">
        <v>0</v>
      </c>
      <c r="E24">
        <f>S1PRP2[[#This Row],[ Distance]]*20</f>
        <v>22276.52</v>
      </c>
      <c r="F24">
        <f t="shared" si="0"/>
        <v>2700.3319087499999</v>
      </c>
      <c r="G24">
        <f>SQRT(((Mass*g)^3)/(2*PI()*Density*Radius^2))*S1PRP2[[#This Row],[Time]]</f>
        <v>18201.033277028208</v>
      </c>
      <c r="H24">
        <f>S1PRP2[[#This Row],[E_horizon(J)]]+S1PRP2[[#This Row],[E_hover(J)]]</f>
        <v>20901.365185778206</v>
      </c>
      <c r="Q24">
        <v>23</v>
      </c>
      <c r="R24">
        <v>227.99979999999999</v>
      </c>
      <c r="S24">
        <f>Tabel9[[#This Row],[Rank]]/(1+COUNTA(Tabel9[TimeSorted]))</f>
        <v>0.57499999999999996</v>
      </c>
      <c r="T24">
        <f>_xlfn.NORM.INV(Tabel9[[#This Row],[P]],0,1)</f>
        <v>0.18911842627279243</v>
      </c>
    </row>
    <row r="25" spans="1:20" x14ac:dyDescent="0.35">
      <c r="A25">
        <v>220.49889999999999</v>
      </c>
      <c r="B25">
        <v>5442</v>
      </c>
      <c r="C25">
        <v>1084.0340000000001</v>
      </c>
      <c r="D25">
        <v>0</v>
      </c>
      <c r="E25">
        <f>S1PRP2[[#This Row],[ Distance]]*20</f>
        <v>21680.68</v>
      </c>
      <c r="F25">
        <f t="shared" si="0"/>
        <v>2628.10492875</v>
      </c>
      <c r="G25">
        <f>SQRT(((Mass*g)^3)/(2*PI()*Density*Radius^2))*S1PRP2[[#This Row],[Time]]</f>
        <v>17034.109818280467</v>
      </c>
      <c r="H25">
        <f>S1PRP2[[#This Row],[E_horizon(J)]]+S1PRP2[[#This Row],[E_hover(J)]]</f>
        <v>19662.214747030466</v>
      </c>
      <c r="Q25">
        <v>24</v>
      </c>
      <c r="R25">
        <v>228.17230000000001</v>
      </c>
      <c r="S25">
        <f>Tabel9[[#This Row],[Rank]]/(1+COUNTA(Tabel9[TimeSorted]))</f>
        <v>0.6</v>
      </c>
      <c r="T25">
        <f>_xlfn.NORM.INV(Tabel9[[#This Row],[P]],0,1)</f>
        <v>0.25334710313579978</v>
      </c>
    </row>
    <row r="26" spans="1:20" x14ac:dyDescent="0.35">
      <c r="A26">
        <v>230.47559999999999</v>
      </c>
      <c r="B26">
        <v>5541</v>
      </c>
      <c r="C26">
        <v>1137.5360000000001</v>
      </c>
      <c r="D26">
        <v>0</v>
      </c>
      <c r="E26">
        <f>S1PRP2[[#This Row],[ Distance]]*20</f>
        <v>22750.720000000001</v>
      </c>
      <c r="F26">
        <f t="shared" si="0"/>
        <v>2757.8138399999998</v>
      </c>
      <c r="G26">
        <f>SQRT(((Mass*g)^3)/(2*PI()*Density*Radius^2))*S1PRP2[[#This Row],[Time]]</f>
        <v>17804.835674164733</v>
      </c>
      <c r="H26">
        <f>S1PRP2[[#This Row],[E_horizon(J)]]+S1PRP2[[#This Row],[E_hover(J)]]</f>
        <v>20562.649514164732</v>
      </c>
      <c r="Q26">
        <v>25</v>
      </c>
      <c r="R26">
        <v>228.9205</v>
      </c>
      <c r="S26">
        <f>Tabel9[[#This Row],[Rank]]/(1+COUNTA(Tabel9[TimeSorted]))</f>
        <v>0.625</v>
      </c>
      <c r="T26">
        <f>_xlfn.NORM.INV(Tabel9[[#This Row],[P]],0,1)</f>
        <v>0.3186393639643752</v>
      </c>
    </row>
    <row r="27" spans="1:20" x14ac:dyDescent="0.35">
      <c r="A27">
        <v>213.58580000000001</v>
      </c>
      <c r="B27">
        <v>5349</v>
      </c>
      <c r="C27">
        <v>1086.175</v>
      </c>
      <c r="D27">
        <v>0</v>
      </c>
      <c r="E27">
        <f>S1PRP2[[#This Row],[ Distance]]*20</f>
        <v>21723.5</v>
      </c>
      <c r="F27">
        <f t="shared" si="0"/>
        <v>2633.295515625</v>
      </c>
      <c r="G27">
        <f>SQRT(((Mass*g)^3)/(2*PI()*Density*Radius^2))*S1PRP2[[#This Row],[Time]]</f>
        <v>16500.054979073768</v>
      </c>
      <c r="H27">
        <f>S1PRP2[[#This Row],[E_horizon(J)]]+S1PRP2[[#This Row],[E_hover(J)]]</f>
        <v>19133.350494698767</v>
      </c>
      <c r="Q27">
        <v>26</v>
      </c>
      <c r="R27">
        <v>230.47559999999999</v>
      </c>
      <c r="S27">
        <f>Tabel9[[#This Row],[Rank]]/(1+COUNTA(Tabel9[TimeSorted]))</f>
        <v>0.65</v>
      </c>
      <c r="T27">
        <f>_xlfn.NORM.INV(Tabel9[[#This Row],[P]],0,1)</f>
        <v>0.38532046640756784</v>
      </c>
    </row>
    <row r="28" spans="1:20" x14ac:dyDescent="0.35">
      <c r="A28">
        <v>236.2159</v>
      </c>
      <c r="B28">
        <v>5663</v>
      </c>
      <c r="C28">
        <v>1167.8</v>
      </c>
      <c r="D28">
        <v>0</v>
      </c>
      <c r="E28">
        <f>S1PRP2[[#This Row],[ Distance]]*20</f>
        <v>23356</v>
      </c>
      <c r="F28">
        <f t="shared" si="0"/>
        <v>2831.185125</v>
      </c>
      <c r="G28">
        <f>SQRT(((Mass*g)^3)/(2*PI()*Density*Radius^2))*S1PRP2[[#This Row],[Time]]</f>
        <v>18248.288682727929</v>
      </c>
      <c r="H28">
        <f>S1PRP2[[#This Row],[E_horizon(J)]]+S1PRP2[[#This Row],[E_hover(J)]]</f>
        <v>21079.473807727929</v>
      </c>
      <c r="Q28">
        <v>27</v>
      </c>
      <c r="R28">
        <v>232.82140000000001</v>
      </c>
      <c r="S28">
        <f>Tabel9[[#This Row],[Rank]]/(1+COUNTA(Tabel9[TimeSorted]))</f>
        <v>0.67500000000000004</v>
      </c>
      <c r="T28">
        <f>_xlfn.NORM.INV(Tabel9[[#This Row],[P]],0,1)</f>
        <v>0.45376219016987968</v>
      </c>
    </row>
    <row r="29" spans="1:20" x14ac:dyDescent="0.35">
      <c r="A29">
        <v>172.79740000000001</v>
      </c>
      <c r="B29">
        <v>4314</v>
      </c>
      <c r="C29">
        <v>891.01369999999997</v>
      </c>
      <c r="D29">
        <v>0</v>
      </c>
      <c r="E29">
        <f>S1PRP2[[#This Row],[ Distance]]*20</f>
        <v>17820.273999999998</v>
      </c>
      <c r="F29">
        <f t="shared" si="0"/>
        <v>2160.1513389374995</v>
      </c>
      <c r="G29">
        <f>SQRT(((Mass*g)^3)/(2*PI()*Density*Radius^2))*S1PRP2[[#This Row],[Time]]</f>
        <v>13349.045677385862</v>
      </c>
      <c r="H29">
        <f>S1PRP2[[#This Row],[E_horizon(J)]]+S1PRP2[[#This Row],[E_hover(J)]]</f>
        <v>15509.197016323362</v>
      </c>
      <c r="Q29">
        <v>28</v>
      </c>
      <c r="R29">
        <v>233.32149999999999</v>
      </c>
      <c r="S29">
        <f>Tabel9[[#This Row],[Rank]]/(1+COUNTA(Tabel9[TimeSorted]))</f>
        <v>0.7</v>
      </c>
      <c r="T29">
        <f>_xlfn.NORM.INV(Tabel9[[#This Row],[P]],0,1)</f>
        <v>0.52440051270804078</v>
      </c>
    </row>
    <row r="30" spans="1:20" x14ac:dyDescent="0.35">
      <c r="A30">
        <v>260.60090000000002</v>
      </c>
      <c r="B30">
        <v>5672</v>
      </c>
      <c r="C30">
        <v>1060.5640000000001</v>
      </c>
      <c r="D30">
        <v>0</v>
      </c>
      <c r="E30">
        <f>S1PRP2[[#This Row],[ Distance]]*20</f>
        <v>21211.280000000002</v>
      </c>
      <c r="F30">
        <f t="shared" si="0"/>
        <v>2571.2048475000001</v>
      </c>
      <c r="G30">
        <f>SQRT(((Mass*g)^3)/(2*PI()*Density*Radius^2))*S1PRP2[[#This Row],[Time]]</f>
        <v>20132.092946235683</v>
      </c>
      <c r="H30">
        <f>S1PRP2[[#This Row],[E_horizon(J)]]+S1PRP2[[#This Row],[E_hover(J)]]</f>
        <v>22703.297793735685</v>
      </c>
      <c r="Q30">
        <v>29</v>
      </c>
      <c r="R30">
        <v>235.60419999999999</v>
      </c>
      <c r="S30">
        <f>Tabel9[[#This Row],[Rank]]/(1+COUNTA(Tabel9[TimeSorted]))</f>
        <v>0.72499999999999998</v>
      </c>
      <c r="T30">
        <f>_xlfn.NORM.INV(Tabel9[[#This Row],[P]],0,1)</f>
        <v>0.59776012604247841</v>
      </c>
    </row>
    <row r="31" spans="1:20" x14ac:dyDescent="0.35">
      <c r="A31">
        <v>227.99979999999999</v>
      </c>
      <c r="B31">
        <v>5430</v>
      </c>
      <c r="C31">
        <v>1082.9960000000001</v>
      </c>
      <c r="D31">
        <v>0</v>
      </c>
      <c r="E31">
        <f>S1PRP2[[#This Row],[ Distance]]*20</f>
        <v>21659.920000000002</v>
      </c>
      <c r="F31">
        <f t="shared" si="0"/>
        <v>2625.5884275000003</v>
      </c>
      <c r="G31">
        <f>SQRT(((Mass*g)^3)/(2*PI()*Density*Radius^2))*S1PRP2[[#This Row],[Time]]</f>
        <v>17613.573726426675</v>
      </c>
      <c r="H31">
        <f>S1PRP2[[#This Row],[E_horizon(J)]]+S1PRP2[[#This Row],[E_hover(J)]]</f>
        <v>20239.162153926674</v>
      </c>
      <c r="Q31">
        <v>30</v>
      </c>
      <c r="R31">
        <v>236.2159</v>
      </c>
      <c r="S31">
        <f>Tabel9[[#This Row],[Rank]]/(1+COUNTA(Tabel9[TimeSorted]))</f>
        <v>0.75</v>
      </c>
      <c r="T31">
        <f>_xlfn.NORM.INV(Tabel9[[#This Row],[P]],0,1)</f>
        <v>0.67448975019608193</v>
      </c>
    </row>
    <row r="32" spans="1:20" x14ac:dyDescent="0.35">
      <c r="A32">
        <v>207.74709999999999</v>
      </c>
      <c r="B32">
        <v>5102</v>
      </c>
      <c r="C32">
        <v>1062.1199999999999</v>
      </c>
      <c r="D32">
        <v>0</v>
      </c>
      <c r="E32">
        <f>S1PRP2[[#This Row],[ Distance]]*20</f>
        <v>21242.399999999998</v>
      </c>
      <c r="F32">
        <f t="shared" si="0"/>
        <v>2574.9771749999995</v>
      </c>
      <c r="G32">
        <f>SQRT(((Mass*g)^3)/(2*PI()*Density*Radius^2))*S1PRP2[[#This Row],[Time]]</f>
        <v>16049.000316234204</v>
      </c>
      <c r="H32">
        <f>S1PRP2[[#This Row],[E_horizon(J)]]+S1PRP2[[#This Row],[E_hover(J)]]</f>
        <v>18623.977491234204</v>
      </c>
      <c r="Q32">
        <v>31</v>
      </c>
      <c r="R32">
        <v>236.69</v>
      </c>
      <c r="S32">
        <f>Tabel9[[#This Row],[Rank]]/(1+COUNTA(Tabel9[TimeSorted]))</f>
        <v>0.77500000000000002</v>
      </c>
      <c r="T32">
        <f>_xlfn.NORM.INV(Tabel9[[#This Row],[P]],0,1)</f>
        <v>0.75541502636046909</v>
      </c>
    </row>
    <row r="33" spans="1:20" x14ac:dyDescent="0.35">
      <c r="A33">
        <v>228.17230000000001</v>
      </c>
      <c r="B33">
        <v>5366</v>
      </c>
      <c r="C33">
        <v>1167.6510000000001</v>
      </c>
      <c r="D33">
        <v>0</v>
      </c>
      <c r="E33">
        <f>S1PRP2[[#This Row],[ Distance]]*20</f>
        <v>23353.02</v>
      </c>
      <c r="F33">
        <f t="shared" si="0"/>
        <v>2830.8238931249998</v>
      </c>
      <c r="G33">
        <f>SQRT(((Mass*g)^3)/(2*PI()*Density*Radius^2))*S1PRP2[[#This Row],[Time]]</f>
        <v>17626.89979718555</v>
      </c>
      <c r="H33">
        <f>S1PRP2[[#This Row],[E_horizon(J)]]+S1PRP2[[#This Row],[E_hover(J)]]</f>
        <v>20457.723690310551</v>
      </c>
      <c r="Q33">
        <v>32</v>
      </c>
      <c r="R33">
        <v>247.15729999999999</v>
      </c>
      <c r="S33">
        <f>Tabel9[[#This Row],[Rank]]/(1+COUNTA(Tabel9[TimeSorted]))</f>
        <v>0.8</v>
      </c>
      <c r="T33">
        <f>_xlfn.NORM.INV(Tabel9[[#This Row],[P]],0,1)</f>
        <v>0.84162123357291474</v>
      </c>
    </row>
    <row r="34" spans="1:20" x14ac:dyDescent="0.35">
      <c r="A34">
        <v>236.69</v>
      </c>
      <c r="B34">
        <v>5493</v>
      </c>
      <c r="C34">
        <v>1132.884</v>
      </c>
      <c r="D34">
        <v>0</v>
      </c>
      <c r="E34">
        <f>S1PRP2[[#This Row],[ Distance]]*20</f>
        <v>22657.68</v>
      </c>
      <c r="F34">
        <f t="shared" si="0"/>
        <v>2746.5356475000003</v>
      </c>
      <c r="G34">
        <f>SQRT(((Mass*g)^3)/(2*PI()*Density*Radius^2))*S1PRP2[[#This Row],[Time]]</f>
        <v>18284.914132854195</v>
      </c>
      <c r="H34">
        <f>S1PRP2[[#This Row],[E_horizon(J)]]+S1PRP2[[#This Row],[E_hover(J)]]</f>
        <v>21031.449780354196</v>
      </c>
      <c r="Q34">
        <v>33</v>
      </c>
      <c r="R34">
        <v>260.60090000000002</v>
      </c>
      <c r="S34">
        <f>Tabel9[[#This Row],[Rank]]/(1+COUNTA(Tabel9[TimeSorted]))</f>
        <v>0.82499999999999996</v>
      </c>
      <c r="T34">
        <f>_xlfn.NORM.INV(Tabel9[[#This Row],[P]],0,1)</f>
        <v>0.9345892910734801</v>
      </c>
    </row>
    <row r="35" spans="1:20" x14ac:dyDescent="0.35">
      <c r="A35">
        <v>223.65520000000001</v>
      </c>
      <c r="B35">
        <v>5468</v>
      </c>
      <c r="C35">
        <v>1130.5060000000001</v>
      </c>
      <c r="D35">
        <v>0</v>
      </c>
      <c r="E35">
        <f>S1PRP2[[#This Row],[ Distance]]*20</f>
        <v>22610.120000000003</v>
      </c>
      <c r="F35">
        <f t="shared" si="0"/>
        <v>2740.7704837500005</v>
      </c>
      <c r="G35">
        <f>SQRT(((Mass*g)^3)/(2*PI()*Density*Radius^2))*S1PRP2[[#This Row],[Time]]</f>
        <v>17277.942149504972</v>
      </c>
      <c r="H35">
        <f>S1PRP2[[#This Row],[E_horizon(J)]]+S1PRP2[[#This Row],[E_hover(J)]]</f>
        <v>20018.712633254974</v>
      </c>
      <c r="Q35">
        <v>34</v>
      </c>
      <c r="R35">
        <v>286.27929999999998</v>
      </c>
      <c r="S35">
        <f>Tabel9[[#This Row],[Rank]]/(1+COUNTA(Tabel9[TimeSorted]))</f>
        <v>0.85</v>
      </c>
      <c r="T35">
        <f>_xlfn.NORM.INV(Tabel9[[#This Row],[P]],0,1)</f>
        <v>1.0364333894937898</v>
      </c>
    </row>
    <row r="36" spans="1:20" x14ac:dyDescent="0.35">
      <c r="A36">
        <v>220.51140000000001</v>
      </c>
      <c r="B36">
        <v>5281</v>
      </c>
      <c r="C36">
        <v>1114.8330000000001</v>
      </c>
      <c r="D36">
        <v>0</v>
      </c>
      <c r="E36">
        <f>S1PRP2[[#This Row],[ Distance]]*20</f>
        <v>22296.660000000003</v>
      </c>
      <c r="F36">
        <f t="shared" si="0"/>
        <v>2702.7732543750003</v>
      </c>
      <c r="G36">
        <f>SQRT(((Mass*g)^3)/(2*PI()*Density*Radius^2))*S1PRP2[[#This Row],[Time]]</f>
        <v>17035.075475581838</v>
      </c>
      <c r="H36">
        <f>S1PRP2[[#This Row],[E_horizon(J)]]+S1PRP2[[#This Row],[E_hover(J)]]</f>
        <v>19737.848729956837</v>
      </c>
      <c r="Q36">
        <v>35</v>
      </c>
      <c r="R36">
        <v>290.05919999999998</v>
      </c>
      <c r="S36">
        <f>Tabel9[[#This Row],[Rank]]/(1+COUNTA(Tabel9[TimeSorted]))</f>
        <v>0.875</v>
      </c>
      <c r="T36">
        <f>_xlfn.NORM.INV(Tabel9[[#This Row],[P]],0,1)</f>
        <v>1.1503493803760083</v>
      </c>
    </row>
    <row r="37" spans="1:20" x14ac:dyDescent="0.35">
      <c r="A37">
        <v>192.7724</v>
      </c>
      <c r="B37">
        <v>5002</v>
      </c>
      <c r="C37">
        <v>1003.164</v>
      </c>
      <c r="D37">
        <v>0</v>
      </c>
      <c r="E37">
        <f>S1PRP2[[#This Row],[ Distance]]*20</f>
        <v>20063.28</v>
      </c>
      <c r="F37">
        <f t="shared" si="0"/>
        <v>2432.0457224999996</v>
      </c>
      <c r="G37">
        <f>SQRT(((Mass*g)^3)/(2*PI()*Density*Radius^2))*S1PRP2[[#This Row],[Time]]</f>
        <v>14892.166044971154</v>
      </c>
      <c r="H37">
        <f>S1PRP2[[#This Row],[E_horizon(J)]]+S1PRP2[[#This Row],[E_hover(J)]]</f>
        <v>17324.211767471155</v>
      </c>
      <c r="Q37">
        <v>36</v>
      </c>
      <c r="R37">
        <v>319.72640000000001</v>
      </c>
      <c r="S37">
        <f>Tabel9[[#This Row],[Rank]]/(1+COUNTA(Tabel9[TimeSorted]))</f>
        <v>0.9</v>
      </c>
      <c r="T37">
        <f>_xlfn.NORM.INV(Tabel9[[#This Row],[P]],0,1)</f>
        <v>1.2815515655446006</v>
      </c>
    </row>
    <row r="38" spans="1:20" x14ac:dyDescent="0.35">
      <c r="A38">
        <v>213.00450000000001</v>
      </c>
      <c r="B38">
        <v>5218</v>
      </c>
      <c r="C38">
        <v>1046.8979999999999</v>
      </c>
      <c r="D38">
        <v>0</v>
      </c>
      <c r="E38">
        <f>S1PRP2[[#This Row],[ Distance]]*20</f>
        <v>20937.96</v>
      </c>
      <c r="F38">
        <f t="shared" si="0"/>
        <v>2538.0733387499999</v>
      </c>
      <c r="G38">
        <f>SQRT(((Mass*g)^3)/(2*PI()*Density*Radius^2))*S1PRP2[[#This Row],[Time]]</f>
        <v>16455.148051930973</v>
      </c>
      <c r="H38">
        <f>S1PRP2[[#This Row],[E_horizon(J)]]+S1PRP2[[#This Row],[E_hover(J)]]</f>
        <v>18993.221390680974</v>
      </c>
      <c r="Q38">
        <v>37</v>
      </c>
      <c r="R38">
        <v>352.85480000000001</v>
      </c>
      <c r="S38">
        <f>Tabel9[[#This Row],[Rank]]/(1+COUNTA(Tabel9[TimeSorted]))</f>
        <v>0.92500000000000004</v>
      </c>
      <c r="T38">
        <f>_xlfn.NORM.INV(Tabel9[[#This Row],[P]],0,1)</f>
        <v>1.4395314709384563</v>
      </c>
    </row>
    <row r="39" spans="1:20" x14ac:dyDescent="0.35">
      <c r="A39">
        <v>213.50360000000001</v>
      </c>
      <c r="B39">
        <v>5282</v>
      </c>
      <c r="C39">
        <v>1059.5450000000001</v>
      </c>
      <c r="D39">
        <v>0</v>
      </c>
      <c r="E39">
        <f>S1PRP2[[#This Row],[ Distance]]*20</f>
        <v>21190.9</v>
      </c>
      <c r="F39">
        <f t="shared" si="0"/>
        <v>2568.7344093749998</v>
      </c>
      <c r="G39">
        <f>SQRT(((Mass*g)^3)/(2*PI()*Density*Radius^2))*S1PRP2[[#This Row],[Time]]</f>
        <v>16493.704816659974</v>
      </c>
      <c r="H39">
        <f>S1PRP2[[#This Row],[E_horizon(J)]]+S1PRP2[[#This Row],[E_hover(J)]]</f>
        <v>19062.439226034974</v>
      </c>
      <c r="Q39">
        <v>38</v>
      </c>
      <c r="R39">
        <v>353.56599999999997</v>
      </c>
      <c r="S39">
        <f>Tabel9[[#This Row],[Rank]]/(1+COUNTA(Tabel9[TimeSorted]))</f>
        <v>0.95</v>
      </c>
      <c r="T39">
        <f>_xlfn.NORM.INV(Tabel9[[#This Row],[P]],0,1)</f>
        <v>1.6448536269514715</v>
      </c>
    </row>
    <row r="40" spans="1:20" x14ac:dyDescent="0.35">
      <c r="A40">
        <v>286.27929999999998</v>
      </c>
      <c r="B40">
        <v>6124</v>
      </c>
      <c r="C40">
        <v>1349.5940000000001</v>
      </c>
      <c r="D40">
        <v>0</v>
      </c>
      <c r="E40">
        <f>S1PRP2[[#This Row],[ Distance]]*20</f>
        <v>26991.88</v>
      </c>
      <c r="F40">
        <f t="shared" si="0"/>
        <v>3271.9219537499998</v>
      </c>
      <c r="G40">
        <f>SQRT(((Mass*g)^3)/(2*PI()*Density*Radius^2))*S1PRP2[[#This Row],[Time]]</f>
        <v>22115.81570203053</v>
      </c>
      <c r="H40">
        <f>S1PRP2[[#This Row],[E_horizon(J)]]+S1PRP2[[#This Row],[E_hover(J)]]</f>
        <v>25387.737655780529</v>
      </c>
      <c r="Q40">
        <v>39</v>
      </c>
      <c r="R40">
        <v>432.43700000000001</v>
      </c>
      <c r="S40">
        <f>Tabel9[[#This Row],[Rank]]/(1+COUNTA(Tabel9[TimeSorted]))</f>
        <v>0.97499999999999998</v>
      </c>
      <c r="T40">
        <f>_xlfn.NORM.INV(Tabel9[[#This Row],[P]],0,1)</f>
        <v>1.9599639845400536</v>
      </c>
    </row>
  </sheetData>
  <sortState xmlns:xlrd2="http://schemas.microsoft.com/office/spreadsheetml/2017/richdata2" ref="Q2:R40">
    <sortCondition ref="R2:R40"/>
  </sortState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4E3-C501-4895-B7F2-7DA8DAB3BB9F}">
  <dimension ref="A1:U41"/>
  <sheetViews>
    <sheetView topLeftCell="A29" workbookViewId="0">
      <selection activeCell="P69" sqref="P69"/>
    </sheetView>
  </sheetViews>
  <sheetFormatPr defaultRowHeight="14.5" x14ac:dyDescent="0.35"/>
  <cols>
    <col min="1" max="1" width="8.9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90625" bestFit="1" customWidth="1"/>
    <col min="9" max="9" width="13.08984375" bestFit="1" customWidth="1"/>
    <col min="16" max="16" width="10" bestFit="1" customWidth="1"/>
    <col min="19" max="19" width="12.6328125" customWidth="1"/>
    <col min="20" max="20" width="12" bestFit="1" customWidth="1"/>
    <col min="21" max="21" width="10.90625" customWidth="1"/>
  </cols>
  <sheetData>
    <row r="1" spans="1:21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49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  <c r="P1" t="s">
        <v>55</v>
      </c>
      <c r="R1" t="s">
        <v>56</v>
      </c>
      <c r="S1" t="s">
        <v>52</v>
      </c>
      <c r="T1" t="s">
        <v>54</v>
      </c>
      <c r="U1" t="s">
        <v>50</v>
      </c>
    </row>
    <row r="2" spans="1:21" x14ac:dyDescent="0.35">
      <c r="A2">
        <v>176.40780000000001</v>
      </c>
      <c r="B2">
        <v>4630</v>
      </c>
      <c r="C2">
        <v>914.35739999999998</v>
      </c>
      <c r="D2">
        <v>0</v>
      </c>
      <c r="E2">
        <f>S1PRP3[[#This Row],[ Distance]]*20</f>
        <v>18287.148000000001</v>
      </c>
      <c r="F2" cm="1">
        <f t="array" ref="F2">E2*Drag_Constant*Area*Density/2</f>
        <v>2216.7452216249999</v>
      </c>
      <c r="G2">
        <f>SQRT(((Mass*g)^3)/(2*PI()*Density*Radius^2))*S1PRP3[[#This Row],[Time]]</f>
        <v>13627.958407054446</v>
      </c>
      <c r="H2">
        <f>S1PRP3[[#This Row],[E_horizon(J)]]+S1PRP3[[#This Row],[E_hover(J)]]</f>
        <v>15844.703628679446</v>
      </c>
      <c r="I2">
        <f>AVERAGE(S1PRP3[Time])</f>
        <v>187.22927749999999</v>
      </c>
      <c r="J2">
        <f>AVERAGE(S1PRP3[[ NumMsgSent]])</f>
        <v>4648.8500000000004</v>
      </c>
      <c r="K2">
        <f>AVERAGE(S1PRP3[[ Distance]])</f>
        <v>960.09056249999981</v>
      </c>
      <c r="L2">
        <f>AVERAGE(S1PRP3[[ NodesLost]])</f>
        <v>2.5000000000000001E-2</v>
      </c>
      <c r="M2">
        <f>COUNTIF(S1PRP3[[ NodesLost]],"&gt;0")/COUNT(S1PRP3[[ NodesLost]])</f>
        <v>2.5000000000000001E-2</v>
      </c>
      <c r="N2">
        <f>AVERAGE(S1PRP3[E_horizon(J)])</f>
        <v>2327.6195574609374</v>
      </c>
      <c r="O2">
        <f>AVERAGE(S1PRP3[E_hover(J)])</f>
        <v>14463.94550781119</v>
      </c>
      <c r="P2">
        <f>N2+O2</f>
        <v>16791.565065272127</v>
      </c>
      <c r="R2">
        <v>1</v>
      </c>
      <c r="S2">
        <v>163.45359999999999</v>
      </c>
      <c r="T2">
        <f>Tabel11[[#This Row],[R+R1:U41ank]]/(1+COUNTA(Tabel11[TimeSorted]))</f>
        <v>2.4390243902439025E-2</v>
      </c>
      <c r="U2">
        <f>_xlfn.NORM.INV(Tabel11[[#This Row],[P]],0,1)</f>
        <v>-1.9705053031703286</v>
      </c>
    </row>
    <row r="3" spans="1:21" x14ac:dyDescent="0.35">
      <c r="A3">
        <v>200.4983</v>
      </c>
      <c r="B3">
        <v>4844</v>
      </c>
      <c r="C3">
        <v>1056.579</v>
      </c>
      <c r="D3">
        <v>0</v>
      </c>
      <c r="E3">
        <f>S1PRP3[[#This Row],[ Distance]]*20</f>
        <v>21131.579999999998</v>
      </c>
      <c r="F3" cm="1">
        <f t="array" ref="F3">E3*Drag_Constant*Area*Density/2</f>
        <v>2561.5437131249996</v>
      </c>
      <c r="G3">
        <f>SQRT(((Mass*g)^3)/(2*PI()*Density*Radius^2))*S1PRP3[[#This Row],[Time]]</f>
        <v>15489.011784541977</v>
      </c>
      <c r="H3">
        <f>S1PRP3[[#This Row],[E_horizon(J)]]+S1PRP3[[#This Row],[E_hover(J)]]</f>
        <v>18050.555497666977</v>
      </c>
      <c r="R3">
        <v>2</v>
      </c>
      <c r="S3">
        <v>163.6046</v>
      </c>
      <c r="T3">
        <f>Tabel11[[#This Row],[R+R1:U41ank]]/(1+COUNTA(Tabel11[TimeSorted]))</f>
        <v>4.878048780487805E-2</v>
      </c>
      <c r="U3">
        <f>_xlfn.NORM.INV(Tabel11[[#This Row],[P]],0,1)</f>
        <v>-1.6567947658159807</v>
      </c>
    </row>
    <row r="4" spans="1:21" x14ac:dyDescent="0.35">
      <c r="A4">
        <v>197.5505</v>
      </c>
      <c r="B4">
        <v>4777</v>
      </c>
      <c r="C4">
        <v>934.05820000000006</v>
      </c>
      <c r="D4">
        <v>0</v>
      </c>
      <c r="E4">
        <f>S1PRP3[[#This Row],[ Distance]]*20</f>
        <v>18681.164000000001</v>
      </c>
      <c r="F4" cm="1">
        <f t="array" ref="F4">E4*Drag_Constant*Area*Density/2</f>
        <v>2264.5073486249998</v>
      </c>
      <c r="G4">
        <f>SQRT(((Mass*g)^3)/(2*PI()*Density*Radius^2))*S1PRP3[[#This Row],[Time]]</f>
        <v>15261.286617104284</v>
      </c>
      <c r="H4">
        <f>S1PRP3[[#This Row],[E_horizon(J)]]+S1PRP3[[#This Row],[E_hover(J)]]</f>
        <v>17525.793965729285</v>
      </c>
      <c r="R4">
        <v>3</v>
      </c>
      <c r="S4">
        <v>164.38579999999999</v>
      </c>
      <c r="T4">
        <f>Tabel11[[#This Row],[R+R1:U41ank]]/(1+COUNTA(Tabel11[TimeSorted]))</f>
        <v>7.3170731707317069E-2</v>
      </c>
      <c r="U4">
        <f>_xlfn.NORM.INV(Tabel11[[#This Row],[P]],0,1)</f>
        <v>-1.4525761808120043</v>
      </c>
    </row>
    <row r="5" spans="1:21" x14ac:dyDescent="0.35">
      <c r="A5">
        <v>170.12</v>
      </c>
      <c r="B5">
        <v>4620</v>
      </c>
      <c r="C5">
        <v>879.1925</v>
      </c>
      <c r="D5">
        <v>0</v>
      </c>
      <c r="E5">
        <f>S1PRP3[[#This Row],[ Distance]]*20</f>
        <v>17583.849999999999</v>
      </c>
      <c r="F5" cm="1">
        <f t="array" ref="F5">E5*Drag_Constant*Area*Density/2</f>
        <v>2131.4923171874998</v>
      </c>
      <c r="G5">
        <f>SQRT(((Mass*g)^3)/(2*PI()*Density*Radius^2))*S1PRP3[[#This Row],[Time]]</f>
        <v>13142.209608691352</v>
      </c>
      <c r="H5">
        <f>S1PRP3[[#This Row],[E_horizon(J)]]+S1PRP3[[#This Row],[E_hover(J)]]</f>
        <v>15273.701925878851</v>
      </c>
      <c r="R5">
        <v>4</v>
      </c>
      <c r="S5">
        <v>167.2028</v>
      </c>
      <c r="T5">
        <f>Tabel11[[#This Row],[R+R1:U41ank]]/(1+COUNTA(Tabel11[TimeSorted]))</f>
        <v>9.7560975609756101E-2</v>
      </c>
      <c r="U5">
        <f>_xlfn.NORM.INV(Tabel11[[#This Row],[P]],0,1)</f>
        <v>-1.2955749870976874</v>
      </c>
    </row>
    <row r="6" spans="1:21" x14ac:dyDescent="0.35">
      <c r="A6">
        <v>207.2841</v>
      </c>
      <c r="B6">
        <v>4918</v>
      </c>
      <c r="C6">
        <v>1042.854</v>
      </c>
      <c r="D6">
        <v>0</v>
      </c>
      <c r="E6">
        <f>S1PRP3[[#This Row],[ Distance]]*20</f>
        <v>20857.080000000002</v>
      </c>
      <c r="F6" cm="1">
        <f t="array" ref="F6">E6*Drag_Constant*Area*Density/2</f>
        <v>2528.2691662500001</v>
      </c>
      <c r="G6">
        <f>SQRT(((Mass*g)^3)/(2*PI()*Density*Radius^2))*S1PRP3[[#This Row],[Time]]</f>
        <v>16013.232369791553</v>
      </c>
      <c r="H6">
        <f>S1PRP3[[#This Row],[E_horizon(J)]]+S1PRP3[[#This Row],[E_hover(J)]]</f>
        <v>18541.501536041553</v>
      </c>
      <c r="R6">
        <v>5</v>
      </c>
      <c r="S6">
        <v>167.5883</v>
      </c>
      <c r="T6">
        <f>Tabel11[[#This Row],[R+R1:U41ank]]/(1+COUNTA(Tabel11[TimeSorted]))</f>
        <v>0.12195121951219512</v>
      </c>
      <c r="U6">
        <f>_xlfn.NORM.INV(Tabel11[[#This Row],[P]],0,1)</f>
        <v>-1.1652879896966826</v>
      </c>
    </row>
    <row r="7" spans="1:21" x14ac:dyDescent="0.35">
      <c r="A7">
        <v>175.5881</v>
      </c>
      <c r="B7">
        <v>4615</v>
      </c>
      <c r="C7">
        <v>936.06560000000002</v>
      </c>
      <c r="D7">
        <v>0</v>
      </c>
      <c r="E7">
        <f>S1PRP3[[#This Row],[ Distance]]*20</f>
        <v>18721.312000000002</v>
      </c>
      <c r="F7" cm="1">
        <f t="array" ref="F7">E7*Drag_Constant*Area*Density/2</f>
        <v>2269.3740389999998</v>
      </c>
      <c r="G7">
        <f>SQRT(((Mass*g)^3)/(2*PI()*Density*Radius^2))*S1PRP3[[#This Row],[Time]]</f>
        <v>13564.634463859968</v>
      </c>
      <c r="H7">
        <f>S1PRP3[[#This Row],[E_horizon(J)]]+S1PRP3[[#This Row],[E_hover(J)]]</f>
        <v>15834.008502859968</v>
      </c>
      <c r="R7">
        <v>6</v>
      </c>
      <c r="S7">
        <v>168.61969999999999</v>
      </c>
      <c r="T7">
        <f>Tabel11[[#This Row],[R+R1:U41ank]]/(1+COUNTA(Tabel11[TimeSorted]))</f>
        <v>0.14634146341463414</v>
      </c>
      <c r="U7">
        <f>_xlfn.NORM.INV(Tabel11[[#This Row],[P]],0,1)</f>
        <v>-1.0522542255562288</v>
      </c>
    </row>
    <row r="8" spans="1:21" x14ac:dyDescent="0.35">
      <c r="A8">
        <v>164.38579999999999</v>
      </c>
      <c r="B8">
        <v>4338</v>
      </c>
      <c r="C8">
        <v>850.22900000000004</v>
      </c>
      <c r="D8">
        <v>0</v>
      </c>
      <c r="E8">
        <f>S1PRP3[[#This Row],[ Distance]]*20</f>
        <v>17004.580000000002</v>
      </c>
      <c r="F8" cm="1">
        <f t="array" ref="F8">E8*Drag_Constant*Area*Density/2</f>
        <v>2061.273931875</v>
      </c>
      <c r="G8">
        <f>SQRT(((Mass*g)^3)/(2*PI()*Density*Radius^2))*S1PRP3[[#This Row],[Time]]</f>
        <v>12699.227840891221</v>
      </c>
      <c r="H8">
        <f>S1PRP3[[#This Row],[E_horizon(J)]]+S1PRP3[[#This Row],[E_hover(J)]]</f>
        <v>14760.50177276622</v>
      </c>
      <c r="R8">
        <v>7</v>
      </c>
      <c r="S8">
        <v>170.12</v>
      </c>
      <c r="T8">
        <f>Tabel11[[#This Row],[R+R1:U41ank]]/(1+COUNTA(Tabel11[TimeSorted]))</f>
        <v>0.17073170731707318</v>
      </c>
      <c r="U8">
        <f>_xlfn.NORM.INV(Tabel11[[#This Row],[P]],0,1)</f>
        <v>-0.95127771872909239</v>
      </c>
    </row>
    <row r="9" spans="1:21" x14ac:dyDescent="0.35">
      <c r="A9">
        <v>172.98500000000001</v>
      </c>
      <c r="B9">
        <v>4637</v>
      </c>
      <c r="C9">
        <v>889.85829999999999</v>
      </c>
      <c r="D9">
        <v>0</v>
      </c>
      <c r="E9">
        <f>S1PRP3[[#This Row],[ Distance]]*20</f>
        <v>17797.166000000001</v>
      </c>
      <c r="F9" cm="1">
        <f t="array" ref="F9">E9*Drag_Constant*Area*Density/2</f>
        <v>2157.3502160625003</v>
      </c>
      <c r="G9">
        <f>SQRT(((Mass*g)^3)/(2*PI()*Density*Radius^2))*S1PRP3[[#This Row],[Time]]</f>
        <v>13363.538262164788</v>
      </c>
      <c r="H9">
        <f>S1PRP3[[#This Row],[E_horizon(J)]]+S1PRP3[[#This Row],[E_hover(J)]]</f>
        <v>15520.888478227287</v>
      </c>
      <c r="R9">
        <v>8</v>
      </c>
      <c r="S9">
        <v>172.1559</v>
      </c>
      <c r="T9">
        <f>Tabel11[[#This Row],[R+R1:U41ank]]/(1+COUNTA(Tabel11[TimeSorted]))</f>
        <v>0.1951219512195122</v>
      </c>
      <c r="U9">
        <f>_xlfn.NORM.INV(Tabel11[[#This Row],[P]],0,1)</f>
        <v>-0.85917512959584974</v>
      </c>
    </row>
    <row r="10" spans="1:21" x14ac:dyDescent="0.35">
      <c r="A10">
        <v>197.57339999999999</v>
      </c>
      <c r="B10">
        <v>4898</v>
      </c>
      <c r="C10">
        <v>999.15380000000005</v>
      </c>
      <c r="D10">
        <v>0</v>
      </c>
      <c r="E10">
        <f>S1PRP3[[#This Row],[ Distance]]*20</f>
        <v>19983.076000000001</v>
      </c>
      <c r="F10" cm="1">
        <f t="array" ref="F10">E10*Drag_Constant*Area*Density/2</f>
        <v>2422.3234938750002</v>
      </c>
      <c r="G10">
        <f>SQRT(((Mass*g)^3)/(2*PI()*Density*Radius^2))*S1PRP3[[#This Row],[Time]]</f>
        <v>15263.055701280389</v>
      </c>
      <c r="H10">
        <f>S1PRP3[[#This Row],[E_horizon(J)]]+S1PRP3[[#This Row],[E_hover(J)]]</f>
        <v>17685.37919515539</v>
      </c>
      <c r="R10">
        <v>9</v>
      </c>
      <c r="S10">
        <v>172.869</v>
      </c>
      <c r="T10">
        <f>Tabel11[[#This Row],[R+R1:U41ank]]/(1+COUNTA(Tabel11[TimeSorted]))</f>
        <v>0.21951219512195122</v>
      </c>
      <c r="U10">
        <f>_xlfn.NORM.INV(Tabel11[[#This Row],[P]],0,1)</f>
        <v>-0.77384173233725317</v>
      </c>
    </row>
    <row r="11" spans="1:21" x14ac:dyDescent="0.35">
      <c r="A11">
        <v>184.048</v>
      </c>
      <c r="B11">
        <v>4717</v>
      </c>
      <c r="C11">
        <v>972.23109999999997</v>
      </c>
      <c r="D11">
        <v>0</v>
      </c>
      <c r="E11">
        <f>S1PRP3[[#This Row],[ Distance]]*20</f>
        <v>19444.621999999999</v>
      </c>
      <c r="F11" cm="1">
        <f t="array" ref="F11">E11*Drag_Constant*Area*Density/2</f>
        <v>2357.0527730624995</v>
      </c>
      <c r="G11">
        <f>SQRT(((Mass*g)^3)/(2*PI()*Density*Radius^2))*S1PRP3[[#This Row],[Time]]</f>
        <v>14218.183600167093</v>
      </c>
      <c r="H11">
        <f>S1PRP3[[#This Row],[E_horizon(J)]]+S1PRP3[[#This Row],[E_hover(J)]]</f>
        <v>16575.236373229593</v>
      </c>
      <c r="R11">
        <v>10</v>
      </c>
      <c r="S11">
        <v>172.98500000000001</v>
      </c>
      <c r="T11">
        <f>Tabel11[[#This Row],[R+R1:U41ank]]/(1+COUNTA(Tabel11[TimeSorted]))</f>
        <v>0.24390243902439024</v>
      </c>
      <c r="U11">
        <f>_xlfn.NORM.INV(Tabel11[[#This Row],[P]],0,1)</f>
        <v>-0.69380440773636831</v>
      </c>
    </row>
    <row r="12" spans="1:21" x14ac:dyDescent="0.35">
      <c r="A12">
        <v>163.6046</v>
      </c>
      <c r="B12">
        <v>4348</v>
      </c>
      <c r="C12">
        <v>829.98099999999999</v>
      </c>
      <c r="D12">
        <v>0</v>
      </c>
      <c r="E12">
        <f>S1PRP3[[#This Row],[ Distance]]*20</f>
        <v>16599.62</v>
      </c>
      <c r="F12" cm="1">
        <f t="array" ref="F12">E12*Drag_Constant*Area*Density/2</f>
        <v>2012.185186875</v>
      </c>
      <c r="G12">
        <f>SQRT(((Mass*g)^3)/(2*PI()*Density*Radius^2))*S1PRP3[[#This Row],[Time]]</f>
        <v>12638.878122184959</v>
      </c>
      <c r="H12">
        <f>S1PRP3[[#This Row],[E_horizon(J)]]+S1PRP3[[#This Row],[E_hover(J)]]</f>
        <v>14651.063309059959</v>
      </c>
      <c r="R12">
        <v>11</v>
      </c>
      <c r="S12">
        <v>173.5729</v>
      </c>
      <c r="T12">
        <f>Tabel11[[#This Row],[R+R1:U41ank]]/(1+COUNTA(Tabel11[TimeSorted]))</f>
        <v>0.26829268292682928</v>
      </c>
      <c r="U12">
        <f>_xlfn.NORM.INV(Tabel11[[#This Row],[P]],0,1)</f>
        <v>-0.6179847884685038</v>
      </c>
    </row>
    <row r="13" spans="1:21" x14ac:dyDescent="0.35">
      <c r="A13">
        <v>178.22550000000001</v>
      </c>
      <c r="B13">
        <v>4663</v>
      </c>
      <c r="C13">
        <v>952.79319999999996</v>
      </c>
      <c r="D13">
        <v>0</v>
      </c>
      <c r="E13">
        <f>S1PRP3[[#This Row],[ Distance]]*20</f>
        <v>19055.863999999998</v>
      </c>
      <c r="F13" cm="1">
        <f t="array" ref="F13">E13*Drag_Constant*Area*Density/2</f>
        <v>2309.9280142499993</v>
      </c>
      <c r="G13">
        <f>SQRT(((Mass*g)^3)/(2*PI()*Density*Radius^2))*S1PRP3[[#This Row],[Time]]</f>
        <v>13768.380429190105</v>
      </c>
      <c r="H13">
        <f>S1PRP3[[#This Row],[E_horizon(J)]]+S1PRP3[[#This Row],[E_hover(J)]]</f>
        <v>16078.308443440104</v>
      </c>
      <c r="R13">
        <v>12</v>
      </c>
      <c r="S13">
        <v>173.72149999999999</v>
      </c>
      <c r="T13">
        <f>Tabel11[[#This Row],[R+R1:U41ank]]/(1+COUNTA(Tabel11[TimeSorted]))</f>
        <v>0.29268292682926828</v>
      </c>
      <c r="U13">
        <f>_xlfn.NORM.INV(Tabel11[[#This Row],[P]],0,1)</f>
        <v>-0.54556374182259537</v>
      </c>
    </row>
    <row r="14" spans="1:21" x14ac:dyDescent="0.35">
      <c r="A14">
        <v>172.869</v>
      </c>
      <c r="B14">
        <v>4608</v>
      </c>
      <c r="C14">
        <v>959.30129999999997</v>
      </c>
      <c r="D14">
        <v>0</v>
      </c>
      <c r="E14">
        <f>S1PRP3[[#This Row],[ Distance]]*20</f>
        <v>19186.025999999998</v>
      </c>
      <c r="F14" cm="1">
        <f t="array" ref="F14">E14*Drag_Constant*Area*Density/2</f>
        <v>2325.7060891874999</v>
      </c>
      <c r="G14">
        <f>SQRT(((Mass*g)^3)/(2*PI()*Density*Radius^2))*S1PRP3[[#This Row],[Time]]</f>
        <v>13354.576962408095</v>
      </c>
      <c r="H14">
        <f>S1PRP3[[#This Row],[E_horizon(J)]]+S1PRP3[[#This Row],[E_hover(J)]]</f>
        <v>15680.283051595594</v>
      </c>
      <c r="R14">
        <v>13</v>
      </c>
      <c r="S14">
        <v>173.83260000000001</v>
      </c>
      <c r="T14">
        <f>Tabel11[[#This Row],[R+R1:U41ank]]/(1+COUNTA(Tabel11[TimeSorted]))</f>
        <v>0.31707317073170732</v>
      </c>
      <c r="U14">
        <f>_xlfn.NORM.INV(Tabel11[[#This Row],[P]],0,1)</f>
        <v>-0.47589899043667888</v>
      </c>
    </row>
    <row r="15" spans="1:21" x14ac:dyDescent="0.35">
      <c r="A15">
        <v>173.953</v>
      </c>
      <c r="B15">
        <v>4533</v>
      </c>
      <c r="C15">
        <v>903.37519999999995</v>
      </c>
      <c r="D15">
        <v>0</v>
      </c>
      <c r="E15">
        <f>S1PRP3[[#This Row],[ Distance]]*20</f>
        <v>18067.504000000001</v>
      </c>
      <c r="F15" cm="1">
        <f t="array" ref="F15">E15*Drag_Constant*Area*Density/2</f>
        <v>2190.1202505000001</v>
      </c>
      <c r="G15">
        <f>SQRT(((Mass*g)^3)/(2*PI()*Density*Radius^2))*S1PRP3[[#This Row],[Time]]</f>
        <v>13438.318763582687</v>
      </c>
      <c r="H15">
        <f>S1PRP3[[#This Row],[E_horizon(J)]]+S1PRP3[[#This Row],[E_hover(J)]]</f>
        <v>15628.439014082687</v>
      </c>
      <c r="R15">
        <v>14</v>
      </c>
      <c r="S15">
        <v>173.953</v>
      </c>
      <c r="T15">
        <f>Tabel11[[#This Row],[R+R1:U41ank]]/(1+COUNTA(Tabel11[TimeSorted]))</f>
        <v>0.34146341463414637</v>
      </c>
      <c r="U15">
        <f>_xlfn.NORM.INV(Tabel11[[#This Row],[P]],0,1)</f>
        <v>-0.40847248197412372</v>
      </c>
    </row>
    <row r="16" spans="1:21" x14ac:dyDescent="0.35">
      <c r="A16">
        <v>173.72149999999999</v>
      </c>
      <c r="B16">
        <v>4537</v>
      </c>
      <c r="C16">
        <v>909.27229999999997</v>
      </c>
      <c r="D16">
        <v>0</v>
      </c>
      <c r="E16">
        <f>S1PRP3[[#This Row],[ Distance]]*20</f>
        <v>18185.446</v>
      </c>
      <c r="F16" cm="1">
        <f t="array" ref="F16">E16*Drag_Constant*Area*Density/2</f>
        <v>2204.4170323124999</v>
      </c>
      <c r="G16">
        <f>SQRT(((Mass*g)^3)/(2*PI()*Density*Radius^2))*S1PRP3[[#This Row],[Time]]</f>
        <v>13420.43479036136</v>
      </c>
      <c r="H16">
        <f>S1PRP3[[#This Row],[E_horizon(J)]]+S1PRP3[[#This Row],[E_hover(J)]]</f>
        <v>15624.85182267386</v>
      </c>
      <c r="R16">
        <v>15</v>
      </c>
      <c r="S16">
        <v>175.5881</v>
      </c>
      <c r="T16">
        <f>Tabel11[[#This Row],[R+R1:U41ank]]/(1+COUNTA(Tabel11[TimeSorted]))</f>
        <v>0.36585365853658536</v>
      </c>
      <c r="U16">
        <f>_xlfn.NORM.INV(Tabel11[[#This Row],[P]],0,1)</f>
        <v>-0.34285530539032705</v>
      </c>
    </row>
    <row r="17" spans="1:21" x14ac:dyDescent="0.35">
      <c r="A17">
        <v>163.45359999999999</v>
      </c>
      <c r="B17">
        <v>4441</v>
      </c>
      <c r="C17">
        <v>891.91610000000003</v>
      </c>
      <c r="D17">
        <v>0</v>
      </c>
      <c r="E17">
        <f>S1PRP3[[#This Row],[ Distance]]*20</f>
        <v>17838.322</v>
      </c>
      <c r="F17" cm="1">
        <f t="array" ref="F17">E17*Drag_Constant*Area*Density/2</f>
        <v>2162.3390949374998</v>
      </c>
      <c r="G17">
        <f>SQRT(((Mass*g)^3)/(2*PI()*Density*Radius^2))*S1PRP3[[#This Row],[Time]]</f>
        <v>12627.212981984438</v>
      </c>
      <c r="H17">
        <f>S1PRP3[[#This Row],[E_horizon(J)]]+S1PRP3[[#This Row],[E_hover(J)]]</f>
        <v>14789.552076921937</v>
      </c>
      <c r="R17">
        <v>16</v>
      </c>
      <c r="S17">
        <v>176.40780000000001</v>
      </c>
      <c r="T17">
        <f>Tabel11[[#This Row],[R+R1:U41ank]]/(1+COUNTA(Tabel11[TimeSorted]))</f>
        <v>0.3902439024390244</v>
      </c>
      <c r="U17">
        <f>_xlfn.NORM.INV(Tabel11[[#This Row],[P]],0,1)</f>
        <v>-0.27868339741721943</v>
      </c>
    </row>
    <row r="18" spans="1:21" x14ac:dyDescent="0.35">
      <c r="A18">
        <v>180.81960000000001</v>
      </c>
      <c r="B18">
        <v>4496</v>
      </c>
      <c r="C18">
        <v>931.25160000000005</v>
      </c>
      <c r="D18">
        <v>0</v>
      </c>
      <c r="E18">
        <f>S1PRP3[[#This Row],[ Distance]]*20</f>
        <v>18625.031999999999</v>
      </c>
      <c r="F18" cm="1">
        <f t="array" ref="F18">E18*Drag_Constant*Area*Density/2</f>
        <v>2257.7030977499999</v>
      </c>
      <c r="G18">
        <f>SQRT(((Mass*g)^3)/(2*PI()*Density*Radius^2))*S1PRP3[[#This Row],[Time]]</f>
        <v>13968.781357628302</v>
      </c>
      <c r="H18">
        <f>S1PRP3[[#This Row],[E_horizon(J)]]+S1PRP3[[#This Row],[E_hover(J)]]</f>
        <v>16226.484455378302</v>
      </c>
      <c r="R18">
        <v>17</v>
      </c>
      <c r="S18">
        <v>178.22550000000001</v>
      </c>
      <c r="T18">
        <f>Tabel11[[#This Row],[R+R1:U41ank]]/(1+COUNTA(Tabel11[TimeSorted]))</f>
        <v>0.41463414634146339</v>
      </c>
      <c r="U18">
        <f>_xlfn.NORM.INV(Tabel11[[#This Row],[P]],0,1)</f>
        <v>-0.21564010401258188</v>
      </c>
    </row>
    <row r="19" spans="1:21" x14ac:dyDescent="0.35">
      <c r="A19">
        <v>197.0204</v>
      </c>
      <c r="B19">
        <v>4716</v>
      </c>
      <c r="C19">
        <v>1013.298</v>
      </c>
      <c r="D19">
        <v>0</v>
      </c>
      <c r="E19">
        <f>S1PRP3[[#This Row],[ Distance]]*20</f>
        <v>20265.96</v>
      </c>
      <c r="F19" cm="1">
        <f t="array" ref="F19">E19*Drag_Constant*Area*Density/2</f>
        <v>2456.6143387499997</v>
      </c>
      <c r="G19">
        <f>SQRT(((Mass*g)^3)/(2*PI()*Density*Radius^2))*S1PRP3[[#This Row],[Time]]</f>
        <v>15220.335022267889</v>
      </c>
      <c r="H19">
        <f>S1PRP3[[#This Row],[E_horizon(J)]]+S1PRP3[[#This Row],[E_hover(J)]]</f>
        <v>17676.949361017891</v>
      </c>
      <c r="R19">
        <v>18</v>
      </c>
      <c r="S19">
        <v>180.81960000000001</v>
      </c>
      <c r="T19">
        <f>Tabel11[[#This Row],[R+R1:U41ank]]/(1+COUNTA(Tabel11[TimeSorted]))</f>
        <v>0.43902439024390244</v>
      </c>
      <c r="U19">
        <f>_xlfn.NORM.INV(Tabel11[[#This Row],[P]],0,1)</f>
        <v>-0.15344319882333432</v>
      </c>
    </row>
    <row r="20" spans="1:21" x14ac:dyDescent="0.35">
      <c r="A20">
        <v>206.68620000000001</v>
      </c>
      <c r="B20">
        <v>4797</v>
      </c>
      <c r="C20">
        <v>1083.962</v>
      </c>
      <c r="D20">
        <v>0</v>
      </c>
      <c r="E20">
        <f>S1PRP3[[#This Row],[ Distance]]*20</f>
        <v>21679.239999999998</v>
      </c>
      <c r="F20" cm="1">
        <f t="array" ref="F20">E20*Drag_Constant*Area*Density/2</f>
        <v>2627.9303737499995</v>
      </c>
      <c r="G20">
        <f>SQRT(((Mass*g)^3)/(2*PI()*Density*Radius^2))*S1PRP3[[#This Row],[Time]]</f>
        <v>15967.043049752543</v>
      </c>
      <c r="H20">
        <f>S1PRP3[[#This Row],[E_horizon(J)]]+S1PRP3[[#This Row],[E_hover(J)]]</f>
        <v>18594.973423502543</v>
      </c>
      <c r="R20">
        <v>19</v>
      </c>
      <c r="S20">
        <v>183.6292</v>
      </c>
      <c r="T20">
        <f>Tabel11[[#This Row],[R+R1:U41ank]]/(1+COUNTA(Tabel11[TimeSorted]))</f>
        <v>0.46341463414634149</v>
      </c>
      <c r="U20">
        <f>_xlfn.NORM.INV(Tabel11[[#This Row],[P]],0,1)</f>
        <v>-9.1834832954222234E-2</v>
      </c>
    </row>
    <row r="21" spans="1:21" x14ac:dyDescent="0.35">
      <c r="A21">
        <v>198.33260000000001</v>
      </c>
      <c r="B21">
        <v>4756</v>
      </c>
      <c r="C21">
        <v>1015.28</v>
      </c>
      <c r="D21">
        <v>0</v>
      </c>
      <c r="E21">
        <f>S1PRP3[[#This Row],[ Distance]]*20</f>
        <v>20305.599999999999</v>
      </c>
      <c r="F21" cm="1">
        <f t="array" ref="F21">E21*Drag_Constant*Area*Density/2</f>
        <v>2461.4194499999999</v>
      </c>
      <c r="G21">
        <f>SQRT(((Mass*g)^3)/(2*PI()*Density*Radius^2))*S1PRP3[[#This Row],[Time]]</f>
        <v>15321.705863136247</v>
      </c>
      <c r="H21">
        <f>S1PRP3[[#This Row],[E_horizon(J)]]+S1PRP3[[#This Row],[E_hover(J)]]</f>
        <v>17783.125313136246</v>
      </c>
      <c r="R21">
        <v>20</v>
      </c>
      <c r="S21">
        <v>183.85839999999999</v>
      </c>
      <c r="T21">
        <f>Tabel11[[#This Row],[R+R1:U41ank]]/(1+COUNTA(Tabel11[TimeSorted]))</f>
        <v>0.48780487804878048</v>
      </c>
      <c r="U21">
        <f>_xlfn.NORM.INV(Tabel11[[#This Row],[P]],0,1)</f>
        <v>-3.0573399820906299E-2</v>
      </c>
    </row>
    <row r="22" spans="1:21" x14ac:dyDescent="0.35">
      <c r="A22">
        <v>168.61969999999999</v>
      </c>
      <c r="B22">
        <v>4482</v>
      </c>
      <c r="C22">
        <v>884.20489999999995</v>
      </c>
      <c r="D22">
        <v>0</v>
      </c>
      <c r="E22">
        <f>S1PRP3[[#This Row],[ Distance]]*20</f>
        <v>17684.097999999998</v>
      </c>
      <c r="F22" cm="1">
        <f t="array" ref="F22">E22*Drag_Constant*Area*Density/2</f>
        <v>2143.6442544374995</v>
      </c>
      <c r="G22">
        <f>SQRT(((Mass*g)^3)/(2*PI()*Density*Radius^2))*S1PRP3[[#This Row],[Time]]</f>
        <v>13026.307556752015</v>
      </c>
      <c r="H22">
        <f>S1PRP3[[#This Row],[E_horizon(J)]]+S1PRP3[[#This Row],[E_hover(J)]]</f>
        <v>15169.951811189516</v>
      </c>
      <c r="R22">
        <v>21</v>
      </c>
      <c r="S22">
        <v>184.048</v>
      </c>
      <c r="T22">
        <f>Tabel11[[#This Row],[R+R1:U41ank]]/(1+COUNTA(Tabel11[TimeSorted]))</f>
        <v>0.51219512195121952</v>
      </c>
      <c r="U22">
        <f>_xlfn.NORM.INV(Tabel11[[#This Row],[P]],0,1)</f>
        <v>3.0573399820906299E-2</v>
      </c>
    </row>
    <row r="23" spans="1:21" x14ac:dyDescent="0.35">
      <c r="A23">
        <v>196.3201</v>
      </c>
      <c r="B23">
        <v>4706</v>
      </c>
      <c r="C23">
        <v>992.9316</v>
      </c>
      <c r="D23">
        <v>0</v>
      </c>
      <c r="E23">
        <f>S1PRP3[[#This Row],[ Distance]]*20</f>
        <v>19858.632000000001</v>
      </c>
      <c r="F23" cm="1">
        <f t="array" ref="F23">E23*Drag_Constant*Area*Density/2</f>
        <v>2407.2385477500002</v>
      </c>
      <c r="G23">
        <f>SQRT(((Mass*g)^3)/(2*PI()*Density*Radius^2))*S1PRP3[[#This Row],[Time]]</f>
        <v>15166.235037616076</v>
      </c>
      <c r="H23">
        <f>S1PRP3[[#This Row],[E_horizon(J)]]+S1PRP3[[#This Row],[E_hover(J)]]</f>
        <v>17573.473585366075</v>
      </c>
      <c r="R23">
        <v>22</v>
      </c>
      <c r="S23">
        <v>185.23390000000001</v>
      </c>
      <c r="T23">
        <f>Tabel11[[#This Row],[R+R1:U41ank]]/(1+COUNTA(Tabel11[TimeSorted]))</f>
        <v>0.53658536585365857</v>
      </c>
      <c r="U23">
        <f>_xlfn.NORM.INV(Tabel11[[#This Row],[P]],0,1)</f>
        <v>9.1834832954222387E-2</v>
      </c>
    </row>
    <row r="24" spans="1:21" x14ac:dyDescent="0.35">
      <c r="A24">
        <v>167.5883</v>
      </c>
      <c r="B24">
        <v>4396</v>
      </c>
      <c r="C24">
        <v>928.25459999999998</v>
      </c>
      <c r="D24">
        <v>0</v>
      </c>
      <c r="E24">
        <f>S1PRP3[[#This Row],[ Distance]]*20</f>
        <v>18565.092000000001</v>
      </c>
      <c r="F24" cm="1">
        <f t="array" ref="F24">E24*Drag_Constant*Area*Density/2</f>
        <v>2250.4372458749999</v>
      </c>
      <c r="G24">
        <f>SQRT(((Mass*g)^3)/(2*PI()*Density*Radius^2))*S1PRP3[[#This Row],[Time]]</f>
        <v>12946.62924150158</v>
      </c>
      <c r="H24">
        <f>S1PRP3[[#This Row],[E_horizon(J)]]+S1PRP3[[#This Row],[E_hover(J)]]</f>
        <v>15197.06648737658</v>
      </c>
      <c r="R24">
        <v>23</v>
      </c>
      <c r="S24">
        <v>186.1514</v>
      </c>
      <c r="T24">
        <f>Tabel11[[#This Row],[R+R1:U41ank]]/(1+COUNTA(Tabel11[TimeSorted]))</f>
        <v>0.56097560975609762</v>
      </c>
      <c r="U24">
        <f>_xlfn.NORM.INV(Tabel11[[#This Row],[P]],0,1)</f>
        <v>0.15344319882333449</v>
      </c>
    </row>
    <row r="25" spans="1:21" x14ac:dyDescent="0.35">
      <c r="A25">
        <v>172.1559</v>
      </c>
      <c r="B25">
        <v>4449</v>
      </c>
      <c r="C25">
        <v>946.27679999999998</v>
      </c>
      <c r="D25">
        <v>0</v>
      </c>
      <c r="E25">
        <f>S1PRP3[[#This Row],[ Distance]]*20</f>
        <v>18925.536</v>
      </c>
      <c r="F25" cm="1">
        <f t="array" ref="F25">E25*Drag_Constant*Area*Density/2</f>
        <v>2294.129817</v>
      </c>
      <c r="G25">
        <f>SQRT(((Mass*g)^3)/(2*PI()*Density*Radius^2))*S1PRP3[[#This Row],[Time]]</f>
        <v>13299.488144679681</v>
      </c>
      <c r="H25">
        <f>S1PRP3[[#This Row],[E_horizon(J)]]+S1PRP3[[#This Row],[E_hover(J)]]</f>
        <v>15593.61796167968</v>
      </c>
      <c r="R25">
        <v>24</v>
      </c>
      <c r="S25">
        <v>189.5181</v>
      </c>
      <c r="T25">
        <f>Tabel11[[#This Row],[R+R1:U41ank]]/(1+COUNTA(Tabel11[TimeSorted]))</f>
        <v>0.58536585365853655</v>
      </c>
      <c r="U25">
        <f>_xlfn.NORM.INV(Tabel11[[#This Row],[P]],0,1)</f>
        <v>0.21564010401258171</v>
      </c>
    </row>
    <row r="26" spans="1:21" x14ac:dyDescent="0.35">
      <c r="A26">
        <v>183.85839999999999</v>
      </c>
      <c r="B26">
        <v>4621</v>
      </c>
      <c r="C26">
        <v>939.33939999999996</v>
      </c>
      <c r="D26">
        <v>0</v>
      </c>
      <c r="E26">
        <f>S1PRP3[[#This Row],[ Distance]]*20</f>
        <v>18786.788</v>
      </c>
      <c r="F26" cm="1">
        <f t="array" ref="F26">E26*Drag_Constant*Area*Density/2</f>
        <v>2277.310957875</v>
      </c>
      <c r="G26">
        <f>SQRT(((Mass*g)^3)/(2*PI()*Density*Radius^2))*S1PRP3[[#This Row],[Time]]</f>
        <v>14203.536510219948</v>
      </c>
      <c r="H26">
        <f>S1PRP3[[#This Row],[E_horizon(J)]]+S1PRP3[[#This Row],[E_hover(J)]]</f>
        <v>16480.847468094948</v>
      </c>
      <c r="R26">
        <v>25</v>
      </c>
      <c r="S26">
        <v>190.34450000000001</v>
      </c>
      <c r="T26">
        <f>Tabel11[[#This Row],[R+R1:U41ank]]/(1+COUNTA(Tabel11[TimeSorted]))</f>
        <v>0.6097560975609756</v>
      </c>
      <c r="U26">
        <f>_xlfn.NORM.INV(Tabel11[[#This Row],[P]],0,1)</f>
        <v>0.27868339741721943</v>
      </c>
    </row>
    <row r="27" spans="1:21" x14ac:dyDescent="0.35">
      <c r="A27">
        <v>212.65260000000001</v>
      </c>
      <c r="B27">
        <v>4851</v>
      </c>
      <c r="C27">
        <v>978.79110000000003</v>
      </c>
      <c r="D27">
        <v>0</v>
      </c>
      <c r="E27">
        <f>S1PRP3[[#This Row],[ Distance]]*20</f>
        <v>19575.822</v>
      </c>
      <c r="F27" cm="1">
        <f t="array" ref="F27">E27*Drag_Constant*Area*Density/2</f>
        <v>2372.9566730624997</v>
      </c>
      <c r="G27">
        <f>SQRT(((Mass*g)^3)/(2*PI()*Density*Radius^2))*S1PRP3[[#This Row],[Time]]</f>
        <v>16427.962867582875</v>
      </c>
      <c r="H27">
        <f>S1PRP3[[#This Row],[E_horizon(J)]]+S1PRP3[[#This Row],[E_hover(J)]]</f>
        <v>18800.919540645376</v>
      </c>
      <c r="R27">
        <v>26</v>
      </c>
      <c r="S27">
        <v>192.8424</v>
      </c>
      <c r="T27">
        <f>Tabel11[[#This Row],[R+R1:U41ank]]/(1+COUNTA(Tabel11[TimeSorted]))</f>
        <v>0.63414634146341464</v>
      </c>
      <c r="U27">
        <f>_xlfn.NORM.INV(Tabel11[[#This Row],[P]],0,1)</f>
        <v>0.34285530539032705</v>
      </c>
    </row>
    <row r="28" spans="1:21" x14ac:dyDescent="0.35">
      <c r="A28">
        <v>173.83260000000001</v>
      </c>
      <c r="B28">
        <v>4503</v>
      </c>
      <c r="C28">
        <v>933.65539999999999</v>
      </c>
      <c r="D28">
        <v>0</v>
      </c>
      <c r="E28">
        <f>S1PRP3[[#This Row],[ Distance]]*20</f>
        <v>18673.108</v>
      </c>
      <c r="F28" cm="1">
        <f t="array" ref="F28">E28*Drag_Constant*Area*Density/2</f>
        <v>2263.5308103749999</v>
      </c>
      <c r="G28">
        <f>SQRT(((Mass*g)^3)/(2*PI()*Density*Radius^2))*S1PRP3[[#This Row],[Time]]</f>
        <v>13429.017552455916</v>
      </c>
      <c r="H28">
        <f>S1PRP3[[#This Row],[E_horizon(J)]]+S1PRP3[[#This Row],[E_hover(J)]]</f>
        <v>15692.548362830916</v>
      </c>
      <c r="R28">
        <v>27</v>
      </c>
      <c r="S28">
        <v>193.2046</v>
      </c>
      <c r="T28">
        <f>Tabel11[[#This Row],[R+R1:U41ank]]/(1+COUNTA(Tabel11[TimeSorted]))</f>
        <v>0.65853658536585369</v>
      </c>
      <c r="U28">
        <f>_xlfn.NORM.INV(Tabel11[[#This Row],[P]],0,1)</f>
        <v>0.40847248197412389</v>
      </c>
    </row>
    <row r="29" spans="1:21" x14ac:dyDescent="0.35">
      <c r="A29">
        <v>189.5181</v>
      </c>
      <c r="B29">
        <v>4637</v>
      </c>
      <c r="C29">
        <v>950.99300000000005</v>
      </c>
      <c r="D29">
        <v>0</v>
      </c>
      <c r="E29">
        <f>S1PRP3[[#This Row],[ Distance]]*20</f>
        <v>19019.86</v>
      </c>
      <c r="F29" cm="1">
        <f t="array" ref="F29">E29*Drag_Constant*Area*Density/2</f>
        <v>2305.5636543749997</v>
      </c>
      <c r="G29">
        <f>SQRT(((Mass*g)^3)/(2*PI()*Density*Radius^2))*S1PRP3[[#This Row],[Time]]</f>
        <v>14640.762960503929</v>
      </c>
      <c r="H29">
        <f>S1PRP3[[#This Row],[E_horizon(J)]]+S1PRP3[[#This Row],[E_hover(J)]]</f>
        <v>16946.32661487893</v>
      </c>
      <c r="R29">
        <v>28</v>
      </c>
      <c r="S29">
        <v>196.3201</v>
      </c>
      <c r="T29">
        <f>Tabel11[[#This Row],[R+R1:U41ank]]/(1+COUNTA(Tabel11[TimeSorted]))</f>
        <v>0.68292682926829273</v>
      </c>
      <c r="U29">
        <f>_xlfn.NORM.INV(Tabel11[[#This Row],[P]],0,1)</f>
        <v>0.47589899043667905</v>
      </c>
    </row>
    <row r="30" spans="1:21" x14ac:dyDescent="0.35">
      <c r="A30">
        <v>219.85659999999999</v>
      </c>
      <c r="B30">
        <v>4930</v>
      </c>
      <c r="C30">
        <v>1100.702</v>
      </c>
      <c r="D30">
        <v>0</v>
      </c>
      <c r="E30">
        <f>S1PRP3[[#This Row],[ Distance]]*20</f>
        <v>22014.04</v>
      </c>
      <c r="F30" cm="1">
        <f t="array" ref="F30">E30*Drag_Constant*Area*Density/2</f>
        <v>2668.5144112499997</v>
      </c>
      <c r="G30">
        <f>SQRT(((Mass*g)^3)/(2*PI()*Density*Radius^2))*S1PRP3[[#This Row],[Time]]</f>
        <v>16984.490483507001</v>
      </c>
      <c r="H30">
        <f>S1PRP3[[#This Row],[E_horizon(J)]]+S1PRP3[[#This Row],[E_hover(J)]]</f>
        <v>19653.004894756999</v>
      </c>
      <c r="R30">
        <v>29</v>
      </c>
      <c r="S30">
        <v>197.0204</v>
      </c>
      <c r="T30">
        <f>Tabel11[[#This Row],[R+R1:U41ank]]/(1+COUNTA(Tabel11[TimeSorted]))</f>
        <v>0.70731707317073167</v>
      </c>
      <c r="U30">
        <f>_xlfn.NORM.INV(Tabel11[[#This Row],[P]],0,1)</f>
        <v>0.54556374182259537</v>
      </c>
    </row>
    <row r="31" spans="1:21" x14ac:dyDescent="0.35">
      <c r="A31">
        <v>185.23390000000001</v>
      </c>
      <c r="B31">
        <v>4462</v>
      </c>
      <c r="C31">
        <v>968.5598</v>
      </c>
      <c r="D31">
        <v>0</v>
      </c>
      <c r="E31">
        <f>S1PRP3[[#This Row],[ Distance]]*20</f>
        <v>19371.196</v>
      </c>
      <c r="F31" cm="1">
        <f t="array" ref="F31">E31*Drag_Constant*Area*Density/2</f>
        <v>2348.152165125</v>
      </c>
      <c r="G31">
        <f>SQRT(((Mass*g)^3)/(2*PI()*Density*Radius^2))*S1PRP3[[#This Row],[Time]]</f>
        <v>14309.797439662432</v>
      </c>
      <c r="H31">
        <f>S1PRP3[[#This Row],[E_horizon(J)]]+S1PRP3[[#This Row],[E_hover(J)]]</f>
        <v>16657.949604787431</v>
      </c>
      <c r="R31">
        <v>30</v>
      </c>
      <c r="S31">
        <v>197.5505</v>
      </c>
      <c r="T31">
        <f>Tabel11[[#This Row],[R+R1:U41ank]]/(1+COUNTA(Tabel11[TimeSorted]))</f>
        <v>0.73170731707317072</v>
      </c>
      <c r="U31">
        <f>_xlfn.NORM.INV(Tabel11[[#This Row],[P]],0,1)</f>
        <v>0.6179847884685038</v>
      </c>
    </row>
    <row r="32" spans="1:21" x14ac:dyDescent="0.35">
      <c r="A32">
        <v>190.34450000000001</v>
      </c>
      <c r="B32">
        <v>4704</v>
      </c>
      <c r="C32">
        <v>977.8442</v>
      </c>
      <c r="D32">
        <v>0</v>
      </c>
      <c r="E32">
        <f>S1PRP3[[#This Row],[ Distance]]*20</f>
        <v>19556.883999999998</v>
      </c>
      <c r="F32" cm="1">
        <f t="array" ref="F32">E32*Drag_Constant*Area*Density/2</f>
        <v>2370.6610323749996</v>
      </c>
      <c r="G32">
        <f>SQRT(((Mass*g)^3)/(2*PI()*Density*Radius^2))*S1PRP3[[#This Row],[Time]]</f>
        <v>14704.604496011938</v>
      </c>
      <c r="H32">
        <f>S1PRP3[[#This Row],[E_horizon(J)]]+S1PRP3[[#This Row],[E_hover(J)]]</f>
        <v>17075.265528386939</v>
      </c>
      <c r="R32">
        <v>31</v>
      </c>
      <c r="S32">
        <v>197.57339999999999</v>
      </c>
      <c r="T32">
        <f>Tabel11[[#This Row],[R+R1:U41ank]]/(1+COUNTA(Tabel11[TimeSorted]))</f>
        <v>0.75609756097560976</v>
      </c>
      <c r="U32">
        <f>_xlfn.NORM.INV(Tabel11[[#This Row],[P]],0,1)</f>
        <v>0.69380440773636831</v>
      </c>
    </row>
    <row r="33" spans="1:21" x14ac:dyDescent="0.35">
      <c r="A33">
        <v>199.70760000000001</v>
      </c>
      <c r="B33">
        <v>4648</v>
      </c>
      <c r="C33">
        <v>1067.1659999999999</v>
      </c>
      <c r="D33">
        <v>0</v>
      </c>
      <c r="E33">
        <f>S1PRP3[[#This Row],[ Distance]]*20</f>
        <v>21343.32</v>
      </c>
      <c r="F33" cm="1">
        <f t="array" ref="F33">E33*Drag_Constant*Area*Density/2</f>
        <v>2587.2105712499997</v>
      </c>
      <c r="G33">
        <f>SQRT(((Mass*g)^3)/(2*PI()*Density*Radius^2))*S1PRP3[[#This Row],[Time]]</f>
        <v>15427.928166286674</v>
      </c>
      <c r="H33">
        <f>S1PRP3[[#This Row],[E_horizon(J)]]+S1PRP3[[#This Row],[E_hover(J)]]</f>
        <v>18015.138737536676</v>
      </c>
      <c r="R33">
        <v>32</v>
      </c>
      <c r="S33">
        <v>198.33260000000001</v>
      </c>
      <c r="T33">
        <f>Tabel11[[#This Row],[R+R1:U41ank]]/(1+COUNTA(Tabel11[TimeSorted]))</f>
        <v>0.78048780487804881</v>
      </c>
      <c r="U33">
        <f>_xlfn.NORM.INV(Tabel11[[#This Row],[P]],0,1)</f>
        <v>0.77384173233725317</v>
      </c>
    </row>
    <row r="34" spans="1:21" x14ac:dyDescent="0.35">
      <c r="A34">
        <v>173.5729</v>
      </c>
      <c r="B34">
        <v>4543</v>
      </c>
      <c r="C34">
        <v>892.19489999999996</v>
      </c>
      <c r="D34">
        <v>0</v>
      </c>
      <c r="E34">
        <f>S1PRP3[[#This Row],[ Distance]]*20</f>
        <v>17843.898000000001</v>
      </c>
      <c r="F34" cm="1">
        <f t="array" ref="F34">E34*Drag_Constant*Area*Density/2</f>
        <v>2163.0150106874999</v>
      </c>
      <c r="G34">
        <f>SQRT(((Mass*g)^3)/(2*PI()*Density*Radius^2))*S1PRP3[[#This Row],[Time]]</f>
        <v>13408.955056362704</v>
      </c>
      <c r="H34">
        <f>S1PRP3[[#This Row],[E_horizon(J)]]+S1PRP3[[#This Row],[E_hover(J)]]</f>
        <v>15571.970067050202</v>
      </c>
      <c r="R34">
        <v>33</v>
      </c>
      <c r="S34">
        <v>199.70760000000001</v>
      </c>
      <c r="T34">
        <f>Tabel11[[#This Row],[R+R1:U41ank]]/(1+COUNTA(Tabel11[TimeSorted]))</f>
        <v>0.80487804878048785</v>
      </c>
      <c r="U34">
        <f>_xlfn.NORM.INV(Tabel11[[#This Row],[P]],0,1)</f>
        <v>0.85917512959585085</v>
      </c>
    </row>
    <row r="35" spans="1:21" x14ac:dyDescent="0.35">
      <c r="A35">
        <v>167.2028</v>
      </c>
      <c r="B35">
        <v>4510</v>
      </c>
      <c r="C35">
        <v>868.87429999999995</v>
      </c>
      <c r="D35">
        <v>0</v>
      </c>
      <c r="E35">
        <f>S1PRP3[[#This Row],[ Distance]]*20</f>
        <v>17377.485999999997</v>
      </c>
      <c r="F35" cm="1">
        <f t="array" ref="F35">E35*Drag_Constant*Area*Density/2</f>
        <v>2106.4771310624997</v>
      </c>
      <c r="G35">
        <f>SQRT(((Mass*g)^3)/(2*PI()*Density*Radius^2))*S1PRP3[[#This Row],[Time]]</f>
        <v>12916.848370327405</v>
      </c>
      <c r="H35">
        <f>S1PRP3[[#This Row],[E_horizon(J)]]+S1PRP3[[#This Row],[E_hover(J)]]</f>
        <v>15023.325501389905</v>
      </c>
      <c r="R35">
        <v>34</v>
      </c>
      <c r="S35">
        <v>200.4983</v>
      </c>
      <c r="T35">
        <f>Tabel11[[#This Row],[R+R1:U41ank]]/(1+COUNTA(Tabel11[TimeSorted]))</f>
        <v>0.82926829268292679</v>
      </c>
      <c r="U35">
        <f>_xlfn.NORM.INV(Tabel11[[#This Row],[P]],0,1)</f>
        <v>0.95127771872909239</v>
      </c>
    </row>
    <row r="36" spans="1:21" x14ac:dyDescent="0.35">
      <c r="A36">
        <v>186.1514</v>
      </c>
      <c r="B36">
        <v>4537</v>
      </c>
      <c r="C36">
        <v>1011.752</v>
      </c>
      <c r="D36">
        <v>0</v>
      </c>
      <c r="E36">
        <f>S1PRP3[[#This Row],[ Distance]]*20</f>
        <v>20235.04</v>
      </c>
      <c r="F36" cm="1">
        <f t="array" ref="F36">E36*Drag_Constant*Area*Density/2</f>
        <v>2452.8662549999999</v>
      </c>
      <c r="G36">
        <f>SQRT(((Mass*g)^3)/(2*PI()*Density*Radius^2))*S1PRP3[[#This Row],[Time]]</f>
        <v>14380.676685582806</v>
      </c>
      <c r="H36">
        <f>S1PRP3[[#This Row],[E_horizon(J)]]+S1PRP3[[#This Row],[E_hover(J)]]</f>
        <v>16833.542940582807</v>
      </c>
      <c r="R36">
        <v>35</v>
      </c>
      <c r="S36">
        <v>206.41229999999999</v>
      </c>
      <c r="T36">
        <f>Tabel11[[#This Row],[R+R1:U41ank]]/(1+COUNTA(Tabel11[TimeSorted]))</f>
        <v>0.85365853658536583</v>
      </c>
      <c r="U36">
        <f>_xlfn.NORM.INV(Tabel11[[#This Row],[P]],0,1)</f>
        <v>1.0522542255562288</v>
      </c>
    </row>
    <row r="37" spans="1:21" x14ac:dyDescent="0.35">
      <c r="A37">
        <v>183.6292</v>
      </c>
      <c r="B37">
        <v>4627</v>
      </c>
      <c r="C37">
        <v>909.42150000000004</v>
      </c>
      <c r="D37">
        <v>0</v>
      </c>
      <c r="E37">
        <f>S1PRP3[[#This Row],[ Distance]]*20</f>
        <v>18188.43</v>
      </c>
      <c r="F37" cm="1">
        <f t="array" ref="F37">E37*Drag_Constant*Area*Density/2</f>
        <v>2204.7787490625001</v>
      </c>
      <c r="G37">
        <f>SQRT(((Mass*g)^3)/(2*PI()*Density*Radius^2))*S1PRP3[[#This Row],[Time]]</f>
        <v>14185.830217942075</v>
      </c>
      <c r="H37">
        <f>S1PRP3[[#This Row],[E_horizon(J)]]+S1PRP3[[#This Row],[E_hover(J)]]</f>
        <v>16390.608967004577</v>
      </c>
      <c r="R37">
        <v>36</v>
      </c>
      <c r="S37">
        <v>206.68620000000001</v>
      </c>
      <c r="T37">
        <f>Tabel11[[#This Row],[R+R1:U41ank]]/(1+COUNTA(Tabel11[TimeSorted]))</f>
        <v>0.87804878048780488</v>
      </c>
      <c r="U37">
        <f>_xlfn.NORM.INV(Tabel11[[#This Row],[P]],0,1)</f>
        <v>1.1652879896966826</v>
      </c>
    </row>
    <row r="38" spans="1:21" x14ac:dyDescent="0.35">
      <c r="A38">
        <v>206.41229999999999</v>
      </c>
      <c r="B38">
        <v>4775</v>
      </c>
      <c r="C38">
        <v>1081.954</v>
      </c>
      <c r="D38">
        <v>0</v>
      </c>
      <c r="E38">
        <f>S1PRP3[[#This Row],[ Distance]]*20</f>
        <v>21639.079999999998</v>
      </c>
      <c r="F38" cm="1">
        <f t="array" ref="F38">E38*Drag_Constant*Area*Density/2</f>
        <v>2623.0622287499996</v>
      </c>
      <c r="G38">
        <f>SQRT(((Mass*g)^3)/(2*PI()*Density*Radius^2))*S1PRP3[[#This Row],[Time]]</f>
        <v>15945.883566964976</v>
      </c>
      <c r="H38">
        <f>S1PRP3[[#This Row],[E_horizon(J)]]+S1PRP3[[#This Row],[E_hover(J)]]</f>
        <v>18568.945795714975</v>
      </c>
      <c r="R38">
        <v>37</v>
      </c>
      <c r="S38">
        <v>207.2841</v>
      </c>
      <c r="T38">
        <f>Tabel11[[#This Row],[R+R1:U41ank]]/(1+COUNTA(Tabel11[TimeSorted]))</f>
        <v>0.90243902439024393</v>
      </c>
      <c r="U38">
        <f>_xlfn.NORM.INV(Tabel11[[#This Row],[P]],0,1)</f>
        <v>1.2955749870976874</v>
      </c>
    </row>
    <row r="39" spans="1:21" x14ac:dyDescent="0.35">
      <c r="A39">
        <v>193.2046</v>
      </c>
      <c r="B39">
        <v>4715</v>
      </c>
      <c r="C39">
        <v>1055.9570000000001</v>
      </c>
      <c r="D39">
        <v>0</v>
      </c>
      <c r="E39">
        <f>S1PRP3[[#This Row],[ Distance]]*20</f>
        <v>21119.140000000003</v>
      </c>
      <c r="F39" cm="1">
        <f t="array" ref="F39">E39*Drag_Constant*Area*Density/2</f>
        <v>2560.0357518750002</v>
      </c>
      <c r="G39">
        <f>SQRT(((Mass*g)^3)/(2*PI()*Density*Radius^2))*S1PRP3[[#This Row],[Time]]</f>
        <v>14925.554611823236</v>
      </c>
      <c r="H39">
        <f>S1PRP3[[#This Row],[E_horizon(J)]]+S1PRP3[[#This Row],[E_hover(J)]]</f>
        <v>17485.590363698237</v>
      </c>
      <c r="R39">
        <v>38</v>
      </c>
      <c r="S39">
        <v>212.65260000000001</v>
      </c>
      <c r="T39">
        <f>Tabel11[[#This Row],[R+R1:U41ank]]/(1+COUNTA(Tabel11[TimeSorted]))</f>
        <v>0.92682926829268297</v>
      </c>
      <c r="U39">
        <f>_xlfn.NORM.INV(Tabel11[[#This Row],[P]],0,1)</f>
        <v>1.4525761808120046</v>
      </c>
    </row>
    <row r="40" spans="1:21" x14ac:dyDescent="0.35">
      <c r="A40">
        <v>271.34019999999998</v>
      </c>
      <c r="B40">
        <v>5225</v>
      </c>
      <c r="C40">
        <v>933.04740000000004</v>
      </c>
      <c r="D40">
        <v>1</v>
      </c>
      <c r="E40">
        <f>S1PRP3[[#This Row],[ Distance]]*20</f>
        <v>18660.948</v>
      </c>
      <c r="F40" cm="1">
        <f t="array" ref="F40">E40*Drag_Constant*Area*Density/2</f>
        <v>2262.0567903749998</v>
      </c>
      <c r="G40">
        <f>SQRT(((Mass*g)^3)/(2*PI()*Density*Radius^2))*S1PRP3[[#This Row],[Time]]</f>
        <v>20961.731622761774</v>
      </c>
      <c r="H40">
        <f>S1PRP3[[#This Row],[E_horizon(J)]]+S1PRP3[[#This Row],[E_hover(J)]]</f>
        <v>23223.788413136775</v>
      </c>
      <c r="R40">
        <v>39</v>
      </c>
      <c r="S40">
        <v>219.85659999999999</v>
      </c>
      <c r="T40">
        <f>Tabel11[[#This Row],[R+R1:U41ank]]/(1+COUNTA(Tabel11[TimeSorted]))</f>
        <v>0.95121951219512191</v>
      </c>
      <c r="U40">
        <f>_xlfn.NORM.INV(Tabel11[[#This Row],[P]],0,1)</f>
        <v>1.6567947658159803</v>
      </c>
    </row>
    <row r="41" spans="1:21" x14ac:dyDescent="0.35">
      <c r="A41">
        <v>192.8424</v>
      </c>
      <c r="B41">
        <v>4744</v>
      </c>
      <c r="C41">
        <v>1016.693</v>
      </c>
      <c r="D41">
        <v>0</v>
      </c>
      <c r="E41">
        <f>S1PRP3[[#This Row],[ Distance]]*20</f>
        <v>20333.86</v>
      </c>
      <c r="F41" cm="1">
        <f t="array" ref="F41">E41*Drag_Constant*Area*Density/2</f>
        <v>2464.845091875</v>
      </c>
      <c r="G41">
        <f>SQRT(((Mass*g)^3)/(2*PI()*Density*Radius^2))*S1PRP3[[#This Row],[Time]]</f>
        <v>14897.573725858811</v>
      </c>
      <c r="H41">
        <f>S1PRP3[[#This Row],[E_horizon(J)]]+S1PRP3[[#This Row],[E_hover(J)]]</f>
        <v>17362.418817733811</v>
      </c>
      <c r="R41">
        <v>40</v>
      </c>
      <c r="S41">
        <v>271.34019999999998</v>
      </c>
      <c r="T41">
        <f>Tabel11[[#This Row],[R+R1:U41ank]]/(1+COUNTA(Tabel11[TimeSorted]))</f>
        <v>0.97560975609756095</v>
      </c>
      <c r="U41">
        <f>_xlfn.NORM.INV(Tabel11[[#This Row],[P]],0,1)</f>
        <v>1.9705053031703283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B94-3149-405C-A52B-01E6B4A3C2A4}">
  <dimension ref="A1:B9"/>
  <sheetViews>
    <sheetView workbookViewId="0">
      <selection activeCell="R15" sqref="R15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47</v>
      </c>
      <c r="B1" t="s">
        <v>46</v>
      </c>
    </row>
    <row r="2" spans="1:2" x14ac:dyDescent="0.35">
      <c r="A2">
        <v>75</v>
      </c>
      <c r="B2">
        <f>SQRT(((A2/1000*g)^3)/(2*PI()*Density*Radius^2))*S1PRP1!I2</f>
        <v>473.24581741052839</v>
      </c>
    </row>
    <row r="3" spans="1:2" x14ac:dyDescent="0.35">
      <c r="A3">
        <v>150</v>
      </c>
      <c r="B3">
        <f>SQRT(((A3/1000*g)^3)/(2*PI()*Density*Radius^2))*S1PRP1!$I$2</f>
        <v>1338.5413066366214</v>
      </c>
    </row>
    <row r="4" spans="1:2" x14ac:dyDescent="0.35">
      <c r="A4">
        <v>300</v>
      </c>
      <c r="B4">
        <f>SQRT(((A4/1000*g)^3)/(2*PI()*Density*Radius^2))*S1PRP1!$I$2</f>
        <v>3785.9665392842271</v>
      </c>
    </row>
    <row r="5" spans="1:2" x14ac:dyDescent="0.35">
      <c r="A5">
        <v>600</v>
      </c>
      <c r="B5">
        <f>SQRT(((A5/1000*g)^3)/(2*PI()*Density*Radius^2))*S1PRP1!$I$2</f>
        <v>10708.330453092971</v>
      </c>
    </row>
    <row r="6" spans="1:2" x14ac:dyDescent="0.35">
      <c r="A6">
        <v>750</v>
      </c>
      <c r="B6">
        <f>SQRT(((A6/1000*g)^3)/(2*PI()*Density*Radius^2))*S1PRP1!$I$2</f>
        <v>14965.346761654377</v>
      </c>
    </row>
    <row r="7" spans="1:2" x14ac:dyDescent="0.35">
      <c r="A7">
        <v>1000</v>
      </c>
      <c r="B7">
        <f>SQRT(((A7/1000*g)^3)/(2*PI()*Density*Radius^2))*S1PRP1!$I$2</f>
        <v>23040.658616952667</v>
      </c>
    </row>
    <row r="8" spans="1:2" x14ac:dyDescent="0.35">
      <c r="A8">
        <v>2000</v>
      </c>
      <c r="B8">
        <f>SQRT(((A8/1000*g)^3)/(2*PI()*Density*Radius^2))*S1PRP1!$I$2</f>
        <v>65168.823804205946</v>
      </c>
    </row>
    <row r="9" spans="1:2" x14ac:dyDescent="0.35">
      <c r="A9">
        <v>3000</v>
      </c>
      <c r="B9">
        <f>SQRT(((A9/1000*g)^3)/(2*PI()*Density*Radius^2))*S1PRP1!$I$2</f>
        <v>119722.77409323501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E9E3-0DC0-4C1B-AA77-438859ABD3CC}">
  <dimension ref="A1:O51"/>
  <sheetViews>
    <sheetView topLeftCell="A16" zoomScale="70" zoomScaleNormal="70" workbookViewId="0">
      <selection activeCell="T52" sqref="T52"/>
    </sheetView>
  </sheetViews>
  <sheetFormatPr defaultRowHeight="14.5" x14ac:dyDescent="0.35"/>
  <cols>
    <col min="1" max="1" width="9.81640625" bestFit="1" customWidth="1"/>
    <col min="2" max="2" width="16.36328125" bestFit="1" customWidth="1"/>
    <col min="3" max="3" width="12" bestFit="1" customWidth="1"/>
    <col min="4" max="4" width="13.81640625" bestFit="1" customWidth="1"/>
    <col min="5" max="6" width="14.36328125" bestFit="1" customWidth="1"/>
    <col min="7" max="8" width="13.0898437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313.20089999999999</v>
      </c>
      <c r="B2">
        <v>3633</v>
      </c>
      <c r="C2">
        <v>1288.327</v>
      </c>
      <c r="D2">
        <v>1</v>
      </c>
      <c r="E2">
        <f>S2PRP1[[#This Row],[ Distance]]*20</f>
        <v>25766.54</v>
      </c>
      <c r="F2" cm="1">
        <f t="array" ref="F2">E2*Drag_Constant*Area*Density/2</f>
        <v>3123.3877706249996</v>
      </c>
      <c r="G2">
        <f>SQRT(((Mass*g)^3)/(2*PI()*Density*Radius^2))*S2PRP1[[#This Row],[Time]]</f>
        <v>24195.578870390189</v>
      </c>
      <c r="H2">
        <f>S2PRP1[[#This Row],[E_horizon(J)]]+S2PRP1[[#This Row],[E_hover(J)]]</f>
        <v>27318.966641015188</v>
      </c>
      <c r="I2">
        <f>AVERAGE(S2PRP1[Time])</f>
        <v>275.95175600000005</v>
      </c>
      <c r="J2">
        <f>AVERAGE(S2PRP1[[ NumMsgSent]])</f>
        <v>3266.36</v>
      </c>
      <c r="K2">
        <f>AVERAGE(S2PRP1[[ Distance]])</f>
        <v>1190.7172739999999</v>
      </c>
      <c r="L2">
        <f>AVERAGE(S2PRP1[[ NodesLost]])</f>
        <v>1.38</v>
      </c>
      <c r="M2">
        <f>COUNTIF(S2PRP1[[ NodesLost]],"&gt;0")/COUNT(S2PRP1[[ NodesLost]])</f>
        <v>0.52</v>
      </c>
      <c r="N2">
        <f>AVERAGE(S2PRP1[E_horizon(J)])</f>
        <v>2886.7451911537501</v>
      </c>
      <c r="O2">
        <f>AVERAGE(S2PRP1[E_hover(J)])</f>
        <v>21317.986240526989</v>
      </c>
    </row>
    <row r="3" spans="1:15" x14ac:dyDescent="0.35">
      <c r="A3">
        <v>193.14490000000001</v>
      </c>
      <c r="B3">
        <v>2622</v>
      </c>
      <c r="C3">
        <v>844.28740000000005</v>
      </c>
      <c r="D3">
        <v>1</v>
      </c>
      <c r="E3">
        <f>S2PRP1[[#This Row],[ Distance]]*20</f>
        <v>16885.748</v>
      </c>
      <c r="F3" cm="1">
        <f t="array" ref="F3">E3*Drag_Constant*Area*Density/2</f>
        <v>2046.8692653749999</v>
      </c>
      <c r="G3">
        <f>SQRT(((Mass*g)^3)/(2*PI()*Density*Radius^2))*S2PRP1[[#This Row],[Time]]</f>
        <v>14920.942632551905</v>
      </c>
      <c r="H3">
        <f>S2PRP1[[#This Row],[E_horizon(J)]]+S2PRP1[[#This Row],[E_hover(J)]]</f>
        <v>16967.811897926906</v>
      </c>
    </row>
    <row r="4" spans="1:15" x14ac:dyDescent="0.35">
      <c r="A4">
        <v>140.5256</v>
      </c>
      <c r="B4">
        <v>2175</v>
      </c>
      <c r="C4">
        <v>726.48950000000002</v>
      </c>
      <c r="D4">
        <v>0</v>
      </c>
      <c r="E4">
        <f>S2PRP1[[#This Row],[ Distance]]*20</f>
        <v>14529.79</v>
      </c>
      <c r="F4" cm="1">
        <f t="array" ref="F4">E4*Drag_Constant*Area*Density/2</f>
        <v>1761.2829815625</v>
      </c>
      <c r="G4">
        <f>SQRT(((Mass*g)^3)/(2*PI()*Density*Radius^2))*S2PRP1[[#This Row],[Time]]</f>
        <v>10855.965733524084</v>
      </c>
      <c r="H4">
        <f>S2PRP1[[#This Row],[E_horizon(J)]]+S2PRP1[[#This Row],[E_hover(J)]]</f>
        <v>12617.248715086585</v>
      </c>
    </row>
    <row r="5" spans="1:15" x14ac:dyDescent="0.35">
      <c r="A5">
        <v>173.9864</v>
      </c>
      <c r="B5">
        <v>2534</v>
      </c>
      <c r="C5">
        <v>724.89260000000002</v>
      </c>
      <c r="D5">
        <v>1</v>
      </c>
      <c r="E5">
        <f>S2PRP1[[#This Row],[ Distance]]*20</f>
        <v>14497.852000000001</v>
      </c>
      <c r="F5" cm="1">
        <f t="array" ref="F5">E5*Drag_Constant*Area*Density/2</f>
        <v>1757.4114971250001</v>
      </c>
      <c r="G5">
        <f>SQRT(((Mass*g)^3)/(2*PI()*Density*Radius^2))*S2PRP1[[#This Row],[Time]]</f>
        <v>13440.898999891941</v>
      </c>
      <c r="H5">
        <f>S2PRP1[[#This Row],[E_horizon(J)]]+S2PRP1[[#This Row],[E_hover(J)]]</f>
        <v>15198.310497016941</v>
      </c>
      <c r="I5" t="s">
        <v>32</v>
      </c>
    </row>
    <row r="6" spans="1:15" x14ac:dyDescent="0.35">
      <c r="A6">
        <v>135.81960000000001</v>
      </c>
      <c r="B6">
        <v>2155</v>
      </c>
      <c r="C6">
        <v>596.71500000000003</v>
      </c>
      <c r="D6">
        <v>1</v>
      </c>
      <c r="E6">
        <f>S2PRP1[[#This Row],[ Distance]]*20</f>
        <v>11934.300000000001</v>
      </c>
      <c r="F6" cm="1">
        <f t="array" ref="F6">E6*Drag_Constant*Area*Density/2</f>
        <v>1446.6609281250001</v>
      </c>
      <c r="G6">
        <f>SQRT(((Mass*g)^3)/(2*PI()*Density*Radius^2))*S2PRP1[[#This Row],[Time]]</f>
        <v>10492.415072705244</v>
      </c>
      <c r="H6">
        <f>S2PRP1[[#This Row],[E_horizon(J)]]+S2PRP1[[#This Row],[E_hover(J)]]</f>
        <v>11939.076000830244</v>
      </c>
      <c r="I6" t="s">
        <v>34</v>
      </c>
      <c r="J6">
        <f>_xlfn.QUARTILE.INC(S2PRP1[Time],0)</f>
        <v>120.6048</v>
      </c>
    </row>
    <row r="7" spans="1:15" x14ac:dyDescent="0.35">
      <c r="A7">
        <v>600.03399999999999</v>
      </c>
      <c r="B7">
        <v>5930</v>
      </c>
      <c r="C7">
        <v>2672.1669999999999</v>
      </c>
      <c r="D7">
        <v>6</v>
      </c>
      <c r="E7">
        <f>S2PRP1[[#This Row],[ Distance]]*20</f>
        <v>53443.34</v>
      </c>
      <c r="F7" cm="1">
        <f t="array" ref="F7">E7*Drag_Constant*Area*Density/2</f>
        <v>6478.334870624999</v>
      </c>
      <c r="G7">
        <f>SQRT(((Mass*g)^3)/(2*PI()*Density*Radius^2))*S2PRP1[[#This Row],[Time]]</f>
        <v>46354.177053500505</v>
      </c>
      <c r="H7">
        <f>S2PRP1[[#This Row],[E_horizon(J)]]+S2PRP1[[#This Row],[E_hover(J)]]</f>
        <v>52832.511924125502</v>
      </c>
      <c r="I7" t="s">
        <v>33</v>
      </c>
      <c r="J7">
        <f>_xlfn.QUARTILE.INC(S2PRP1[Time],1)</f>
        <v>136.99610000000001</v>
      </c>
    </row>
    <row r="8" spans="1:15" x14ac:dyDescent="0.35">
      <c r="A8">
        <v>600.024</v>
      </c>
      <c r="B8">
        <v>5915</v>
      </c>
      <c r="C8">
        <v>2948.12</v>
      </c>
      <c r="D8">
        <v>6</v>
      </c>
      <c r="E8">
        <f>S2PRP1[[#This Row],[ Distance]]*20</f>
        <v>58962.399999999994</v>
      </c>
      <c r="F8" cm="1">
        <f t="array" ref="F8">E8*Drag_Constant*Area*Density/2</f>
        <v>7147.3484249999992</v>
      </c>
      <c r="G8">
        <f>SQRT(((Mass*g)^3)/(2*PI()*Density*Radius^2))*S2PRP1[[#This Row],[Time]]</f>
        <v>46353.404527659412</v>
      </c>
      <c r="H8">
        <f>S2PRP1[[#This Row],[E_horizon(J)]]+S2PRP1[[#This Row],[E_hover(J)]]</f>
        <v>53500.752952659408</v>
      </c>
      <c r="I8" t="s">
        <v>35</v>
      </c>
      <c r="J8">
        <f>_xlfn.QUARTILE.INC(S2PRP1[Time],2)</f>
        <v>202.7072</v>
      </c>
    </row>
    <row r="9" spans="1:15" x14ac:dyDescent="0.35">
      <c r="A9">
        <v>600.00459999999998</v>
      </c>
      <c r="B9">
        <v>5952</v>
      </c>
      <c r="C9">
        <v>3058.1109999999999</v>
      </c>
      <c r="D9">
        <v>6</v>
      </c>
      <c r="E9">
        <f>S2PRP1[[#This Row],[ Distance]]*20</f>
        <v>61162.22</v>
      </c>
      <c r="F9" cm="1">
        <f t="array" ref="F9">E9*Drag_Constant*Area*Density/2</f>
        <v>7414.007855625</v>
      </c>
      <c r="G9">
        <f>SQRT(((Mass*g)^3)/(2*PI()*Density*Radius^2))*S2PRP1[[#This Row],[Time]]</f>
        <v>46351.905827527691</v>
      </c>
      <c r="H9">
        <f>S2PRP1[[#This Row],[E_horizon(J)]]+S2PRP1[[#This Row],[E_hover(J)]]</f>
        <v>53765.913683152692</v>
      </c>
      <c r="I9" t="s">
        <v>36</v>
      </c>
      <c r="J9">
        <f>_xlfn.QUARTILE.INC(S2PRP1[Time],3)</f>
        <v>321.01215000000002</v>
      </c>
    </row>
    <row r="10" spans="1:15" x14ac:dyDescent="0.35">
      <c r="A10">
        <v>207.56790000000001</v>
      </c>
      <c r="B10">
        <v>2668</v>
      </c>
      <c r="C10">
        <v>1070.194</v>
      </c>
      <c r="D10">
        <v>0</v>
      </c>
      <c r="E10">
        <f>S2PRP1[[#This Row],[ Distance]]*20</f>
        <v>21403.879999999997</v>
      </c>
      <c r="F10" cm="1">
        <f t="array" ref="F10">E10*Drag_Constant*Area*Density/2</f>
        <v>2594.5515787499994</v>
      </c>
      <c r="G10">
        <f>SQRT(((Mass*g)^3)/(2*PI()*Density*Radius^2))*S2PRP1[[#This Row],[Time]]</f>
        <v>16035.156653161801</v>
      </c>
      <c r="H10">
        <f>S2PRP1[[#This Row],[E_horizon(J)]]+S2PRP1[[#This Row],[E_hover(J)]]</f>
        <v>18629.708231911802</v>
      </c>
      <c r="I10" t="s">
        <v>37</v>
      </c>
      <c r="J10">
        <f>_xlfn.QUARTILE.INC(S2PRP1[Time],4)</f>
        <v>600.03399999999999</v>
      </c>
    </row>
    <row r="11" spans="1:15" x14ac:dyDescent="0.35">
      <c r="A11">
        <v>196.08170000000001</v>
      </c>
      <c r="B11">
        <v>2595</v>
      </c>
      <c r="C11">
        <v>992.47550000000001</v>
      </c>
      <c r="D11">
        <v>0</v>
      </c>
      <c r="E11">
        <f>S2PRP1[[#This Row],[ Distance]]*20</f>
        <v>19849.510000000002</v>
      </c>
      <c r="F11" cm="1">
        <f t="array" ref="F11">E11*Drag_Constant*Area*Density/2</f>
        <v>2406.1327903125002</v>
      </c>
      <c r="G11">
        <f>SQRT(((Mass*g)^3)/(2*PI()*Density*Radius^2))*S2PRP1[[#This Row],[Time]]</f>
        <v>15147.818021564397</v>
      </c>
      <c r="H11">
        <f>S2PRP1[[#This Row],[E_horizon(J)]]+S2PRP1[[#This Row],[E_hover(J)]]</f>
        <v>17553.950811876897</v>
      </c>
    </row>
    <row r="12" spans="1:15" x14ac:dyDescent="0.35">
      <c r="A12">
        <v>600.00670000000002</v>
      </c>
      <c r="B12">
        <v>6616</v>
      </c>
      <c r="C12">
        <v>2179.973</v>
      </c>
      <c r="D12">
        <v>6</v>
      </c>
      <c r="E12">
        <f>S2PRP1[[#This Row],[ Distance]]*20</f>
        <v>43599.46</v>
      </c>
      <c r="F12" cm="1">
        <f t="array" ref="F12">E12*Drag_Constant*Area*Density/2</f>
        <v>5285.0720418749997</v>
      </c>
      <c r="G12">
        <f>SQRT(((Mass*g)^3)/(2*PI()*Density*Radius^2))*S2PRP1[[#This Row],[Time]]</f>
        <v>46352.068057954319</v>
      </c>
      <c r="H12">
        <f>S2PRP1[[#This Row],[E_horizon(J)]]+S2PRP1[[#This Row],[E_hover(J)]]</f>
        <v>51637.140099829317</v>
      </c>
    </row>
    <row r="13" spans="1:15" x14ac:dyDescent="0.35">
      <c r="A13">
        <v>447.66219999999998</v>
      </c>
      <c r="B13">
        <v>4574</v>
      </c>
      <c r="C13">
        <v>1904.1669999999999</v>
      </c>
      <c r="D13">
        <v>1</v>
      </c>
      <c r="E13">
        <f>S2PRP1[[#This Row],[ Distance]]*20</f>
        <v>38083.339999999997</v>
      </c>
      <c r="F13" cm="1">
        <f t="array" ref="F13">E13*Drag_Constant*Area*Density/2</f>
        <v>4616.4148706249989</v>
      </c>
      <c r="G13">
        <f>SQRT(((Mass*g)^3)/(2*PI()*Density*Radius^2))*S2PRP1[[#This Row],[Time]]</f>
        <v>34583.061758099633</v>
      </c>
      <c r="H13">
        <f>S2PRP1[[#This Row],[E_horizon(J)]]+S2PRP1[[#This Row],[E_hover(J)]]</f>
        <v>39199.476628724631</v>
      </c>
    </row>
    <row r="14" spans="1:15" x14ac:dyDescent="0.35">
      <c r="A14">
        <v>600.00350000000003</v>
      </c>
      <c r="B14">
        <v>6122</v>
      </c>
      <c r="C14">
        <v>3014.1019999999999</v>
      </c>
      <c r="D14">
        <v>6</v>
      </c>
      <c r="E14">
        <f>S2PRP1[[#This Row],[ Distance]]*20</f>
        <v>60282.039999999994</v>
      </c>
      <c r="F14" cm="1">
        <f t="array" ref="F14">E14*Drag_Constant*Area*Density/2</f>
        <v>7307.3135362499997</v>
      </c>
      <c r="G14">
        <f>SQRT(((Mass*g)^3)/(2*PI()*Density*Radius^2))*S2PRP1[[#This Row],[Time]]</f>
        <v>46351.820849685173</v>
      </c>
      <c r="H14">
        <f>S2PRP1[[#This Row],[E_horizon(J)]]+S2PRP1[[#This Row],[E_hover(J)]]</f>
        <v>53659.134385935176</v>
      </c>
    </row>
    <row r="15" spans="1:15" x14ac:dyDescent="0.35">
      <c r="A15">
        <v>600.01660000000004</v>
      </c>
      <c r="B15">
        <v>5454</v>
      </c>
      <c r="C15">
        <v>3061.9360000000001</v>
      </c>
      <c r="D15">
        <v>6</v>
      </c>
      <c r="E15">
        <f>S2PRP1[[#This Row],[ Distance]]*20</f>
        <v>61238.720000000001</v>
      </c>
      <c r="F15" cm="1">
        <f t="array" ref="F15">E15*Drag_Constant*Area*Density/2</f>
        <v>7423.2810899999995</v>
      </c>
      <c r="G15">
        <f>SQRT(((Mass*g)^3)/(2*PI()*Density*Radius^2))*S2PRP1[[#This Row],[Time]]</f>
        <v>46352.832858537004</v>
      </c>
      <c r="H15">
        <f>S2PRP1[[#This Row],[E_horizon(J)]]+S2PRP1[[#This Row],[E_hover(J)]]</f>
        <v>53776.113948537</v>
      </c>
    </row>
    <row r="16" spans="1:15" x14ac:dyDescent="0.35">
      <c r="A16">
        <v>600.01949999999999</v>
      </c>
      <c r="B16">
        <v>5932</v>
      </c>
      <c r="C16">
        <v>2943.8829999999998</v>
      </c>
      <c r="D16">
        <v>6</v>
      </c>
      <c r="E16">
        <f>S2PRP1[[#This Row],[ Distance]]*20</f>
        <v>58877.659999999996</v>
      </c>
      <c r="F16" cm="1">
        <f t="array" ref="F16">E16*Drag_Constant*Area*Density/2</f>
        <v>7137.0763481249987</v>
      </c>
      <c r="G16">
        <f>SQRT(((Mass*g)^3)/(2*PI()*Density*Radius^2))*S2PRP1[[#This Row],[Time]]</f>
        <v>46353.056891030923</v>
      </c>
      <c r="H16">
        <f>S2PRP1[[#This Row],[E_horizon(J)]]+S2PRP1[[#This Row],[E_hover(J)]]</f>
        <v>53490.133239155919</v>
      </c>
    </row>
    <row r="17" spans="1:8" x14ac:dyDescent="0.35">
      <c r="A17">
        <v>174.34960000000001</v>
      </c>
      <c r="B17">
        <v>2411</v>
      </c>
      <c r="C17">
        <v>615.1404</v>
      </c>
      <c r="D17">
        <v>2</v>
      </c>
      <c r="E17">
        <f>S2PRP1[[#This Row],[ Distance]]*20</f>
        <v>12302.808000000001</v>
      </c>
      <c r="F17" cm="1">
        <f t="array" ref="F17">E17*Drag_Constant*Area*Density/2</f>
        <v>1491.3310072499999</v>
      </c>
      <c r="G17">
        <f>SQRT(((Mass*g)^3)/(2*PI()*Density*Radius^2))*S2PRP1[[#This Row],[Time]]</f>
        <v>13468.957138440475</v>
      </c>
      <c r="H17">
        <f>S2PRP1[[#This Row],[E_horizon(J)]]+S2PRP1[[#This Row],[E_hover(J)]]</f>
        <v>14960.288145690476</v>
      </c>
    </row>
    <row r="18" spans="1:8" x14ac:dyDescent="0.35">
      <c r="A18">
        <v>120.77589999999999</v>
      </c>
      <c r="B18">
        <v>1972</v>
      </c>
      <c r="C18">
        <v>593.76229999999998</v>
      </c>
      <c r="D18">
        <v>0</v>
      </c>
      <c r="E18">
        <f>S2PRP1[[#This Row],[ Distance]]*20</f>
        <v>11875.245999999999</v>
      </c>
      <c r="F18" cm="1">
        <f t="array" ref="F18">E18*Drag_Constant*Area*Density/2</f>
        <v>1439.5024760624999</v>
      </c>
      <c r="G18">
        <f>SQRT(((Mass*g)^3)/(2*PI()*Density*Radius^2))*S2PRP1[[#This Row],[Time]]</f>
        <v>9330.2503731386405</v>
      </c>
      <c r="H18">
        <f>S2PRP1[[#This Row],[E_horizon(J)]]+S2PRP1[[#This Row],[E_hover(J)]]</f>
        <v>10769.752849201141</v>
      </c>
    </row>
    <row r="19" spans="1:8" x14ac:dyDescent="0.35">
      <c r="A19">
        <v>413.46120000000002</v>
      </c>
      <c r="B19">
        <v>4305</v>
      </c>
      <c r="C19">
        <v>1667.3530000000001</v>
      </c>
      <c r="D19">
        <v>0</v>
      </c>
      <c r="E19">
        <f>S2PRP1[[#This Row],[ Distance]]*20</f>
        <v>33347.06</v>
      </c>
      <c r="F19" cm="1">
        <f t="array" ref="F19">E19*Drag_Constant*Area*Density/2</f>
        <v>4042.2889293749995</v>
      </c>
      <c r="G19">
        <f>SQRT(((Mass*g)^3)/(2*PI()*Density*Radius^2))*S2PRP1[[#This Row],[Time]]</f>
        <v>31940.946128973999</v>
      </c>
      <c r="H19">
        <f>S2PRP1[[#This Row],[E_horizon(J)]]+S2PRP1[[#This Row],[E_hover(J)]]</f>
        <v>35983.235058348997</v>
      </c>
    </row>
    <row r="20" spans="1:8" x14ac:dyDescent="0.35">
      <c r="A20">
        <v>296.37790000000001</v>
      </c>
      <c r="B20">
        <v>3348</v>
      </c>
      <c r="C20">
        <v>1103.703</v>
      </c>
      <c r="D20">
        <v>1</v>
      </c>
      <c r="E20">
        <f>S2PRP1[[#This Row],[ Distance]]*20</f>
        <v>22074.059999999998</v>
      </c>
      <c r="F20" cm="1">
        <f t="array" ref="F20">E20*Drag_Constant*Area*Density/2</f>
        <v>2675.7899606249994</v>
      </c>
      <c r="G20">
        <f>SQRT(((Mass*g)^3)/(2*PI()*Density*Radius^2))*S2PRP1[[#This Row],[Time]]</f>
        <v>22895.958647917731</v>
      </c>
      <c r="H20">
        <f>S2PRP1[[#This Row],[E_horizon(J)]]+S2PRP1[[#This Row],[E_hover(J)]]</f>
        <v>25571.74860854273</v>
      </c>
    </row>
    <row r="21" spans="1:8" x14ac:dyDescent="0.35">
      <c r="A21">
        <v>120.6879</v>
      </c>
      <c r="B21">
        <v>1972</v>
      </c>
      <c r="C21">
        <v>592.14350000000002</v>
      </c>
      <c r="D21">
        <v>0</v>
      </c>
      <c r="E21">
        <f>S2PRP1[[#This Row],[ Distance]]*20</f>
        <v>11842.87</v>
      </c>
      <c r="F21" cm="1">
        <f t="array" ref="F21">E21*Drag_Constant*Area*Density/2</f>
        <v>1435.5778978124999</v>
      </c>
      <c r="G21">
        <f>SQRT(((Mass*g)^3)/(2*PI()*Density*Radius^2))*S2PRP1[[#This Row],[Time]]</f>
        <v>9323.4521457370138</v>
      </c>
      <c r="H21">
        <f>S2PRP1[[#This Row],[E_horizon(J)]]+S2PRP1[[#This Row],[E_hover(J)]]</f>
        <v>10759.030043549514</v>
      </c>
    </row>
    <row r="22" spans="1:8" x14ac:dyDescent="0.35">
      <c r="A22">
        <v>147.66390000000001</v>
      </c>
      <c r="B22">
        <v>2243</v>
      </c>
      <c r="C22">
        <v>695.60440000000006</v>
      </c>
      <c r="D22">
        <v>0</v>
      </c>
      <c r="E22">
        <f>S2PRP1[[#This Row],[ Distance]]*20</f>
        <v>13912.088000000002</v>
      </c>
      <c r="F22" cm="1">
        <f t="array" ref="F22">E22*Drag_Constant*Area*Density/2</f>
        <v>1686.4059172500001</v>
      </c>
      <c r="G22">
        <f>SQRT(((Mass*g)^3)/(2*PI()*Density*Radius^2))*S2PRP1[[#This Row],[Time]]</f>
        <v>11407.417854672225</v>
      </c>
      <c r="H22">
        <f>S2PRP1[[#This Row],[E_horizon(J)]]+S2PRP1[[#This Row],[E_hover(J)]]</f>
        <v>13093.823771922225</v>
      </c>
    </row>
    <row r="23" spans="1:8" x14ac:dyDescent="0.35">
      <c r="A23">
        <v>120.667</v>
      </c>
      <c r="B23">
        <v>1972</v>
      </c>
      <c r="C23">
        <v>591.96770000000004</v>
      </c>
      <c r="D23">
        <v>0</v>
      </c>
      <c r="E23">
        <f>S2PRP1[[#This Row],[ Distance]]*20</f>
        <v>11839.354000000001</v>
      </c>
      <c r="F23" cm="1">
        <f t="array" ref="F23">E23*Drag_Constant*Area*Density/2</f>
        <v>1435.1516926875001</v>
      </c>
      <c r="G23">
        <f>SQRT(((Mass*g)^3)/(2*PI()*Density*Radius^2))*S2PRP1[[#This Row],[Time]]</f>
        <v>9321.8375667291275</v>
      </c>
      <c r="H23">
        <f>S2PRP1[[#This Row],[E_horizon(J)]]+S2PRP1[[#This Row],[E_hover(J)]]</f>
        <v>10756.989259416627</v>
      </c>
    </row>
    <row r="24" spans="1:8" x14ac:dyDescent="0.35">
      <c r="A24">
        <v>252.15299999999999</v>
      </c>
      <c r="B24">
        <v>2962</v>
      </c>
      <c r="C24">
        <v>1106.4459999999999</v>
      </c>
      <c r="D24">
        <v>1</v>
      </c>
      <c r="E24">
        <f>S2PRP1[[#This Row],[ Distance]]*20</f>
        <v>22128.92</v>
      </c>
      <c r="F24" cm="1">
        <f t="array" ref="F24">E24*Drag_Constant*Area*Density/2</f>
        <v>2682.4400212499995</v>
      </c>
      <c r="G24">
        <f>SQRT(((Mass*g)^3)/(2*PI()*Density*Radius^2))*S2PRP1[[#This Row],[Time]]</f>
        <v>19479.470840937869</v>
      </c>
      <c r="H24">
        <f>S2PRP1[[#This Row],[E_horizon(J)]]+S2PRP1[[#This Row],[E_hover(J)]]</f>
        <v>22161.910862187869</v>
      </c>
    </row>
    <row r="25" spans="1:8" x14ac:dyDescent="0.35">
      <c r="A25">
        <v>143.22659999999999</v>
      </c>
      <c r="B25">
        <v>2213</v>
      </c>
      <c r="C25">
        <v>684.9932</v>
      </c>
      <c r="D25">
        <v>0</v>
      </c>
      <c r="E25">
        <f>S2PRP1[[#This Row],[ Distance]]*20</f>
        <v>13699.864</v>
      </c>
      <c r="F25" cm="1">
        <f t="array" ref="F25">E25*Drag_Constant*Area*Density/2</f>
        <v>1660.6803892499997</v>
      </c>
      <c r="G25">
        <f>SQRT(((Mass*g)^3)/(2*PI()*Density*Radius^2))*S2PRP1[[#This Row],[Time]]</f>
        <v>11064.624963203578</v>
      </c>
      <c r="H25">
        <f>S2PRP1[[#This Row],[E_horizon(J)]]+S2PRP1[[#This Row],[E_hover(J)]]</f>
        <v>12725.305352453577</v>
      </c>
    </row>
    <row r="26" spans="1:8" x14ac:dyDescent="0.35">
      <c r="A26">
        <v>127.5853</v>
      </c>
      <c r="B26">
        <v>2024</v>
      </c>
      <c r="C26">
        <v>637.14700000000005</v>
      </c>
      <c r="D26">
        <v>0</v>
      </c>
      <c r="E26">
        <f>S2PRP1[[#This Row],[ Distance]]*20</f>
        <v>12742.94</v>
      </c>
      <c r="F26" cm="1">
        <f t="array" ref="F26">E26*Drag_Constant*Area*Density/2</f>
        <v>1544.6832581249998</v>
      </c>
      <c r="G26">
        <f>SQRT(((Mass*g)^3)/(2*PI()*Density*Radius^2))*S2PRP1[[#This Row],[Time]]</f>
        <v>9856.2941193731986</v>
      </c>
      <c r="H26">
        <f>S2PRP1[[#This Row],[E_horizon(J)]]+S2PRP1[[#This Row],[E_hover(J)]]</f>
        <v>11400.977377498199</v>
      </c>
    </row>
    <row r="27" spans="1:8" x14ac:dyDescent="0.35">
      <c r="A27">
        <v>131.5214</v>
      </c>
      <c r="B27">
        <v>2028</v>
      </c>
      <c r="C27">
        <v>691.01840000000004</v>
      </c>
      <c r="D27">
        <v>0</v>
      </c>
      <c r="E27">
        <f>S2PRP1[[#This Row],[ Distance]]*20</f>
        <v>13820.368</v>
      </c>
      <c r="F27" cm="1">
        <f t="array" ref="F27">E27*Drag_Constant*Area*Density/2</f>
        <v>1675.2877334999998</v>
      </c>
      <c r="G27">
        <f>SQRT(((Mass*g)^3)/(2*PI()*Density*Radius^2))*S2PRP1[[#This Row],[Time]]</f>
        <v>10160.368015686214</v>
      </c>
      <c r="H27">
        <f>S2PRP1[[#This Row],[E_horizon(J)]]+S2PRP1[[#This Row],[E_hover(J)]]</f>
        <v>11835.655749186213</v>
      </c>
    </row>
    <row r="28" spans="1:8" x14ac:dyDescent="0.35">
      <c r="A28">
        <v>256.5027</v>
      </c>
      <c r="B28">
        <v>3062</v>
      </c>
      <c r="C28">
        <v>1225.646</v>
      </c>
      <c r="D28">
        <v>0</v>
      </c>
      <c r="E28">
        <f>S2PRP1[[#This Row],[ Distance]]*20</f>
        <v>24512.92</v>
      </c>
      <c r="F28" cm="1">
        <f t="array" ref="F28">E28*Drag_Constant*Area*Density/2</f>
        <v>2971.4255212499997</v>
      </c>
      <c r="G28">
        <f>SQRT(((Mass*g)^3)/(2*PI()*Density*Radius^2))*S2PRP1[[#This Row],[Time]]</f>
        <v>19815.496406038532</v>
      </c>
      <c r="H28">
        <f>S2PRP1[[#This Row],[E_horizon(J)]]+S2PRP1[[#This Row],[E_hover(J)]]</f>
        <v>22786.921927288531</v>
      </c>
    </row>
    <row r="29" spans="1:8" x14ac:dyDescent="0.35">
      <c r="A29">
        <v>209.1251</v>
      </c>
      <c r="B29">
        <v>2755</v>
      </c>
      <c r="C29">
        <v>715.03269999999998</v>
      </c>
      <c r="D29">
        <v>1</v>
      </c>
      <c r="E29">
        <f>S2PRP1[[#This Row],[ Distance]]*20</f>
        <v>14300.653999999999</v>
      </c>
      <c r="F29" cm="1">
        <f t="array" ref="F29">E29*Drag_Constant*Area*Density/2</f>
        <v>1733.5074020625</v>
      </c>
      <c r="G29">
        <f>SQRT(((Mass*g)^3)/(2*PI()*Density*Radius^2))*S2PRP1[[#This Row],[Time]]</f>
        <v>16155.454377136961</v>
      </c>
      <c r="H29">
        <f>S2PRP1[[#This Row],[E_horizon(J)]]+S2PRP1[[#This Row],[E_hover(J)]]</f>
        <v>17888.961779199461</v>
      </c>
    </row>
    <row r="30" spans="1:8" x14ac:dyDescent="0.35">
      <c r="A30">
        <v>130.45400000000001</v>
      </c>
      <c r="B30">
        <v>2019</v>
      </c>
      <c r="C30">
        <v>678.13520000000005</v>
      </c>
      <c r="D30">
        <v>0</v>
      </c>
      <c r="E30">
        <f>S2PRP1[[#This Row],[ Distance]]*20</f>
        <v>13562.704000000002</v>
      </c>
      <c r="F30" cm="1">
        <f t="array" ref="F30">E30*Drag_Constant*Area*Density/2</f>
        <v>1644.0540255000003</v>
      </c>
      <c r="G30">
        <f>SQRT(((Mass*g)^3)/(2*PI()*Density*Radius^2))*S2PRP1[[#This Row],[Time]]</f>
        <v>10077.908607407839</v>
      </c>
      <c r="H30">
        <f>S2PRP1[[#This Row],[E_horizon(J)]]+S2PRP1[[#This Row],[E_hover(J)]]</f>
        <v>11721.962632907838</v>
      </c>
    </row>
    <row r="31" spans="1:8" x14ac:dyDescent="0.35">
      <c r="A31">
        <v>120.65479999999999</v>
      </c>
      <c r="B31">
        <v>1972</v>
      </c>
      <c r="C31">
        <v>594.55709999999999</v>
      </c>
      <c r="D31">
        <v>0</v>
      </c>
      <c r="E31">
        <f>S2PRP1[[#This Row],[ Distance]]*20</f>
        <v>11891.142</v>
      </c>
      <c r="F31" cm="1">
        <f t="array" ref="F31">E31*Drag_Constant*Area*Density/2</f>
        <v>1441.4293693124998</v>
      </c>
      <c r="G31">
        <f>SQRT(((Mass*g)^3)/(2*PI()*Density*Radius^2))*S2PRP1[[#This Row],[Time]]</f>
        <v>9320.895085202992</v>
      </c>
      <c r="H31">
        <f>S2PRP1[[#This Row],[E_horizon(J)]]+S2PRP1[[#This Row],[E_hover(J)]]</f>
        <v>10762.324454515492</v>
      </c>
    </row>
    <row r="32" spans="1:8" x14ac:dyDescent="0.35">
      <c r="A32">
        <v>120.6048</v>
      </c>
      <c r="B32">
        <v>1972</v>
      </c>
      <c r="C32">
        <v>594.42250000000001</v>
      </c>
      <c r="D32">
        <v>0</v>
      </c>
      <c r="E32">
        <f>S2PRP1[[#This Row],[ Distance]]*20</f>
        <v>11888.45</v>
      </c>
      <c r="F32" cm="1">
        <f t="array" ref="F32">E32*Drag_Constant*Area*Density/2</f>
        <v>1441.1030484375001</v>
      </c>
      <c r="G32">
        <f>SQRT(((Mass*g)^3)/(2*PI()*Density*Radius^2))*S2PRP1[[#This Row],[Time]]</f>
        <v>9317.0324559975234</v>
      </c>
      <c r="H32">
        <f>S2PRP1[[#This Row],[E_horizon(J)]]+S2PRP1[[#This Row],[E_hover(J)]]</f>
        <v>10758.135504435024</v>
      </c>
    </row>
    <row r="33" spans="1:8" x14ac:dyDescent="0.35">
      <c r="A33">
        <v>123.1973</v>
      </c>
      <c r="B33">
        <v>1981</v>
      </c>
      <c r="C33">
        <v>640.90219999999999</v>
      </c>
      <c r="D33">
        <v>0</v>
      </c>
      <c r="E33">
        <f>S2PRP1[[#This Row],[ Distance]]*20</f>
        <v>12818.044</v>
      </c>
      <c r="F33" cm="1">
        <f t="array" ref="F33">E33*Drag_Constant*Area*Density/2</f>
        <v>1553.7872711249997</v>
      </c>
      <c r="G33">
        <f>SQRT(((Mass*g)^3)/(2*PI()*Density*Radius^2))*S2PRP1[[#This Row],[Time]]</f>
        <v>9517.309780301146</v>
      </c>
      <c r="H33">
        <f>S2PRP1[[#This Row],[E_horizon(J)]]+S2PRP1[[#This Row],[E_hover(J)]]</f>
        <v>11071.097051426146</v>
      </c>
    </row>
    <row r="34" spans="1:8" x14ac:dyDescent="0.35">
      <c r="A34">
        <v>210.9624</v>
      </c>
      <c r="B34">
        <v>2797</v>
      </c>
      <c r="C34">
        <v>705.51769999999999</v>
      </c>
      <c r="D34">
        <v>1</v>
      </c>
      <c r="E34">
        <f>S2PRP1[[#This Row],[ Distance]]*20</f>
        <v>14110.353999999999</v>
      </c>
      <c r="F34" cm="1">
        <f t="array" ref="F34">E34*Drag_Constant*Area*Density/2</f>
        <v>1710.4394739374998</v>
      </c>
      <c r="G34">
        <f>SQRT(((Mass*g)^3)/(2*PI()*Density*Radius^2))*S2PRP1[[#This Row],[Time]]</f>
        <v>16297.390549921163</v>
      </c>
      <c r="H34">
        <f>S2PRP1[[#This Row],[E_horizon(J)]]+S2PRP1[[#This Row],[E_hover(J)]]</f>
        <v>18007.830023858663</v>
      </c>
    </row>
    <row r="35" spans="1:8" x14ac:dyDescent="0.35">
      <c r="A35">
        <v>200.9915</v>
      </c>
      <c r="B35">
        <v>2462</v>
      </c>
      <c r="C35">
        <v>614.91</v>
      </c>
      <c r="D35">
        <v>2</v>
      </c>
      <c r="E35">
        <f>S2PRP1[[#This Row],[ Distance]]*20</f>
        <v>12298.199999999999</v>
      </c>
      <c r="F35" cm="1">
        <f t="array" ref="F35">E35*Drag_Constant*Area*Density/2</f>
        <v>1490.77243125</v>
      </c>
      <c r="G35">
        <f>SQRT(((Mass*g)^3)/(2*PI()*Density*Radius^2))*S2PRP1[[#This Row],[Time]]</f>
        <v>15527.112759024734</v>
      </c>
      <c r="H35">
        <f>S2PRP1[[#This Row],[E_horizon(J)]]+S2PRP1[[#This Row],[E_hover(J)]]</f>
        <v>17017.885190274734</v>
      </c>
    </row>
    <row r="36" spans="1:8" x14ac:dyDescent="0.35">
      <c r="A36">
        <v>120.6574</v>
      </c>
      <c r="B36">
        <v>1972</v>
      </c>
      <c r="C36">
        <v>593.22850000000005</v>
      </c>
      <c r="D36">
        <v>0</v>
      </c>
      <c r="E36">
        <f>S2PRP1[[#This Row],[ Distance]]*20</f>
        <v>11864.570000000002</v>
      </c>
      <c r="F36" cm="1">
        <f t="array" ref="F36">E36*Drag_Constant*Area*Density/2</f>
        <v>1438.2083446875001</v>
      </c>
      <c r="G36">
        <f>SQRT(((Mass*g)^3)/(2*PI()*Density*Radius^2))*S2PRP1[[#This Row],[Time]]</f>
        <v>9321.0959419216779</v>
      </c>
      <c r="H36">
        <f>S2PRP1[[#This Row],[E_horizon(J)]]+S2PRP1[[#This Row],[E_hover(J)]]</f>
        <v>10759.304286609178</v>
      </c>
    </row>
    <row r="37" spans="1:8" x14ac:dyDescent="0.35">
      <c r="A37">
        <v>254.26070000000001</v>
      </c>
      <c r="B37">
        <v>3112</v>
      </c>
      <c r="C37">
        <v>1178.9690000000001</v>
      </c>
      <c r="D37">
        <v>0</v>
      </c>
      <c r="E37">
        <f>S2PRP1[[#This Row],[ Distance]]*20</f>
        <v>23579.38</v>
      </c>
      <c r="F37" cm="1">
        <f t="array" ref="F37">E37*Drag_Constant*Area*Density/2</f>
        <v>2858.262969375</v>
      </c>
      <c r="G37">
        <f>SQRT(((Mass*g)^3)/(2*PI()*Density*Radius^2))*S2PRP1[[#This Row],[Time]]</f>
        <v>19642.296112465254</v>
      </c>
      <c r="H37">
        <f>S2PRP1[[#This Row],[E_horizon(J)]]+S2PRP1[[#This Row],[E_hover(J)]]</f>
        <v>22500.559081840252</v>
      </c>
    </row>
    <row r="38" spans="1:8" x14ac:dyDescent="0.35">
      <c r="A38">
        <v>120.61969999999999</v>
      </c>
      <c r="B38">
        <v>1972</v>
      </c>
      <c r="C38">
        <v>590.39940000000001</v>
      </c>
      <c r="D38">
        <v>0</v>
      </c>
      <c r="E38">
        <f>S2PRP1[[#This Row],[ Distance]]*20</f>
        <v>11807.988000000001</v>
      </c>
      <c r="F38" cm="1">
        <f t="array" ref="F38">E38*Drag_Constant*Area*Density/2</f>
        <v>1431.3495453750002</v>
      </c>
      <c r="G38">
        <f>SQRT(((Mass*g)^3)/(2*PI()*Density*Radius^2))*S2PRP1[[#This Row],[Time]]</f>
        <v>9318.1835195007534</v>
      </c>
      <c r="H38">
        <f>S2PRP1[[#This Row],[E_horizon(J)]]+S2PRP1[[#This Row],[E_hover(J)]]</f>
        <v>10749.533064875754</v>
      </c>
    </row>
    <row r="39" spans="1:8" x14ac:dyDescent="0.35">
      <c r="A39">
        <v>318.1524</v>
      </c>
      <c r="B39">
        <v>3931</v>
      </c>
      <c r="C39">
        <v>918.39200000000005</v>
      </c>
      <c r="D39">
        <v>1</v>
      </c>
      <c r="E39">
        <f>S2PRP1[[#This Row],[ Distance]]*20</f>
        <v>18367.84</v>
      </c>
      <c r="F39" cm="1">
        <f t="array" ref="F39">E39*Drag_Constant*Area*Density/2</f>
        <v>2226.526605</v>
      </c>
      <c r="G39">
        <f>SQRT(((Mass*g)^3)/(2*PI()*Density*Radius^2))*S2PRP1[[#This Row],[Time]]</f>
        <v>24578.095040607888</v>
      </c>
      <c r="H39">
        <f>S2PRP1[[#This Row],[E_horizon(J)]]+S2PRP1[[#This Row],[E_hover(J)]]</f>
        <v>26804.621645607887</v>
      </c>
    </row>
    <row r="40" spans="1:8" x14ac:dyDescent="0.35">
      <c r="A40">
        <v>204.4229</v>
      </c>
      <c r="B40">
        <v>2747</v>
      </c>
      <c r="C40">
        <v>684.58690000000001</v>
      </c>
      <c r="D40">
        <v>1</v>
      </c>
      <c r="E40">
        <f>S2PRP1[[#This Row],[ Distance]]*20</f>
        <v>13691.738000000001</v>
      </c>
      <c r="F40" cm="1">
        <f t="array" ref="F40">E40*Drag_Constant*Area*Density/2</f>
        <v>1659.6953656875003</v>
      </c>
      <c r="G40">
        <f>SQRT(((Mass*g)^3)/(2*PI()*Density*Radius^2))*S2PRP1[[#This Row],[Time]]</f>
        <v>15792.197276137733</v>
      </c>
      <c r="H40">
        <f>S2PRP1[[#This Row],[E_horizon(J)]]+S2PRP1[[#This Row],[E_hover(J)]]</f>
        <v>17451.892641825234</v>
      </c>
    </row>
    <row r="41" spans="1:8" x14ac:dyDescent="0.35">
      <c r="A41">
        <v>211.36619999999999</v>
      </c>
      <c r="B41">
        <v>2758</v>
      </c>
      <c r="C41">
        <v>974.84649999999999</v>
      </c>
      <c r="D41">
        <v>0</v>
      </c>
      <c r="E41">
        <f>S2PRP1[[#This Row],[ Distance]]*20</f>
        <v>19496.93</v>
      </c>
      <c r="F41" cm="1">
        <f t="array" ref="F41">E41*Drag_Constant*Area*Density/2</f>
        <v>2363.3934834375</v>
      </c>
      <c r="G41">
        <f>SQRT(((Mass*g)^3)/(2*PI()*Density*Radius^2))*S2PRP1[[#This Row],[Time]]</f>
        <v>16328.585143384538</v>
      </c>
      <c r="H41">
        <f>S2PRP1[[#This Row],[E_horizon(J)]]+S2PRP1[[#This Row],[E_hover(J)]]</f>
        <v>18691.978626822038</v>
      </c>
    </row>
    <row r="42" spans="1:8" x14ac:dyDescent="0.35">
      <c r="A42">
        <v>600.03150000000005</v>
      </c>
      <c r="B42">
        <v>5825</v>
      </c>
      <c r="C42">
        <v>2692.105</v>
      </c>
      <c r="D42">
        <v>6</v>
      </c>
      <c r="E42">
        <f>S2PRP1[[#This Row],[ Distance]]*20</f>
        <v>53842.1</v>
      </c>
      <c r="F42" cm="1">
        <f t="array" ref="F42">E42*Drag_Constant*Area*Density/2</f>
        <v>6526.6720593749988</v>
      </c>
      <c r="G42">
        <f>SQRT(((Mass*g)^3)/(2*PI()*Density*Radius^2))*S2PRP1[[#This Row],[Time]]</f>
        <v>46353.983922040235</v>
      </c>
      <c r="H42">
        <f>S2PRP1[[#This Row],[E_horizon(J)]]+S2PRP1[[#This Row],[E_hover(J)]]</f>
        <v>52880.655981415235</v>
      </c>
    </row>
    <row r="43" spans="1:8" x14ac:dyDescent="0.35">
      <c r="A43">
        <v>123.1537</v>
      </c>
      <c r="B43">
        <v>1981</v>
      </c>
      <c r="C43">
        <v>635.77800000000002</v>
      </c>
      <c r="D43">
        <v>0</v>
      </c>
      <c r="E43">
        <f>S2PRP1[[#This Row],[ Distance]]*20</f>
        <v>12715.560000000001</v>
      </c>
      <c r="F43" cm="1">
        <f t="array" ref="F43">E43*Drag_Constant*Area*Density/2</f>
        <v>1541.3642887500002</v>
      </c>
      <c r="G43">
        <f>SQRT(((Mass*g)^3)/(2*PI()*Density*Radius^2))*S2PRP1[[#This Row],[Time]]</f>
        <v>9513.9415676339759</v>
      </c>
      <c r="H43">
        <f>S2PRP1[[#This Row],[E_horizon(J)]]+S2PRP1[[#This Row],[E_hover(J)]]</f>
        <v>11055.305856383977</v>
      </c>
    </row>
    <row r="44" spans="1:8" x14ac:dyDescent="0.35">
      <c r="A44">
        <v>530.02350000000001</v>
      </c>
      <c r="B44">
        <v>5084</v>
      </c>
      <c r="C44">
        <v>1789.7629999999999</v>
      </c>
      <c r="D44">
        <v>1</v>
      </c>
      <c r="E44">
        <f>S2PRP1[[#This Row],[ Distance]]*20</f>
        <v>35795.259999999995</v>
      </c>
      <c r="F44" cm="1">
        <f t="array" ref="F44">E44*Drag_Constant*Area*Density/2</f>
        <v>4339.0566731249992</v>
      </c>
      <c r="G44">
        <f>SQRT(((Mass*g)^3)/(2*PI()*Density*Radius^2))*S2PRP1[[#This Row],[Time]]</f>
        <v>40945.68501370927</v>
      </c>
      <c r="H44">
        <f>S2PRP1[[#This Row],[E_horizon(J)]]+S2PRP1[[#This Row],[E_hover(J)]]</f>
        <v>45284.74168683427</v>
      </c>
    </row>
    <row r="45" spans="1:8" x14ac:dyDescent="0.35">
      <c r="A45">
        <v>172.7576</v>
      </c>
      <c r="B45">
        <v>2442</v>
      </c>
      <c r="C45">
        <v>795.36289999999997</v>
      </c>
      <c r="D45">
        <v>0</v>
      </c>
      <c r="E45">
        <f>S2PRP1[[#This Row],[ Distance]]*20</f>
        <v>15907.258</v>
      </c>
      <c r="F45" cm="1">
        <f t="array" ref="F45">E45*Drag_Constant*Area*Density/2</f>
        <v>1928.2579306874998</v>
      </c>
      <c r="G45">
        <f>SQRT(((Mass*g)^3)/(2*PI()*Density*Radius^2))*S2PRP1[[#This Row],[Time]]</f>
        <v>13345.971024538308</v>
      </c>
      <c r="H45">
        <f>S2PRP1[[#This Row],[E_horizon(J)]]+S2PRP1[[#This Row],[E_hover(J)]]</f>
        <v>15274.228955225808</v>
      </c>
    </row>
    <row r="46" spans="1:8" x14ac:dyDescent="0.35">
      <c r="A46">
        <v>577.80470000000003</v>
      </c>
      <c r="B46">
        <v>5314</v>
      </c>
      <c r="C46">
        <v>1575.0229999999999</v>
      </c>
      <c r="D46">
        <v>2</v>
      </c>
      <c r="E46">
        <f>S2PRP1[[#This Row],[ Distance]]*20</f>
        <v>31500.46</v>
      </c>
      <c r="F46" cm="1">
        <f t="array" ref="F46">E46*Drag_Constant*Area*Density/2</f>
        <v>3818.4463856249999</v>
      </c>
      <c r="G46">
        <f>SQRT(((Mass*g)^3)/(2*PI()*Density*Radius^2))*S2PRP1[[#This Row],[Time]]</f>
        <v>44636.906185557396</v>
      </c>
      <c r="H46">
        <f>S2PRP1[[#This Row],[E_horizon(J)]]+S2PRP1[[#This Row],[E_hover(J)]]</f>
        <v>48455.352571182397</v>
      </c>
    </row>
    <row r="47" spans="1:8" x14ac:dyDescent="0.35">
      <c r="A47">
        <v>193.0205</v>
      </c>
      <c r="B47">
        <v>2691</v>
      </c>
      <c r="C47">
        <v>974.31399999999996</v>
      </c>
      <c r="D47">
        <v>0</v>
      </c>
      <c r="E47">
        <f>S2PRP1[[#This Row],[ Distance]]*20</f>
        <v>19486.28</v>
      </c>
      <c r="F47" cm="1">
        <f t="array" ref="F47">E47*Drag_Constant*Area*Density/2</f>
        <v>2362.1025037499999</v>
      </c>
      <c r="G47">
        <f>SQRT(((Mass*g)^3)/(2*PI()*Density*Radius^2))*S2PRP1[[#This Row],[Time]]</f>
        <v>14911.332411088695</v>
      </c>
      <c r="H47">
        <f>S2PRP1[[#This Row],[E_horizon(J)]]+S2PRP1[[#This Row],[E_hover(J)]]</f>
        <v>17273.434914838694</v>
      </c>
    </row>
    <row r="48" spans="1:8" x14ac:dyDescent="0.35">
      <c r="A48">
        <v>184.11879999999999</v>
      </c>
      <c r="B48">
        <v>2437</v>
      </c>
      <c r="C48">
        <v>544.22659999999996</v>
      </c>
      <c r="D48">
        <v>1</v>
      </c>
      <c r="E48">
        <f>S2PRP1[[#This Row],[ Distance]]*20</f>
        <v>10884.531999999999</v>
      </c>
      <c r="F48" cm="1">
        <f t="array" ref="F48">E48*Drag_Constant*Area*Density/2</f>
        <v>1319.4093633749999</v>
      </c>
      <c r="G48">
        <f>SQRT(((Mass*g)^3)/(2*PI()*Density*Radius^2))*S2PRP1[[#This Row],[Time]]</f>
        <v>14223.653083122037</v>
      </c>
      <c r="H48">
        <f>S2PRP1[[#This Row],[E_horizon(J)]]+S2PRP1[[#This Row],[E_hover(J)]]</f>
        <v>15543.062446497037</v>
      </c>
    </row>
    <row r="49" spans="1:8" x14ac:dyDescent="0.35">
      <c r="A49">
        <v>152.3861</v>
      </c>
      <c r="B49">
        <v>2287</v>
      </c>
      <c r="C49">
        <v>699.64260000000002</v>
      </c>
      <c r="D49">
        <v>0</v>
      </c>
      <c r="E49">
        <f>S2PRP1[[#This Row],[ Distance]]*20</f>
        <v>13992.852000000001</v>
      </c>
      <c r="F49" cm="1">
        <f t="array" ref="F49">E49*Drag_Constant*Area*Density/2</f>
        <v>1696.196028375</v>
      </c>
      <c r="G49">
        <f>SQRT(((Mass*g)^3)/(2*PI()*Density*Radius^2))*S2PRP1[[#This Row],[Time]]</f>
        <v>11772.220007353639</v>
      </c>
      <c r="H49">
        <f>S2PRP1[[#This Row],[E_horizon(J)]]+S2PRP1[[#This Row],[E_hover(J)]]</f>
        <v>13468.416035728638</v>
      </c>
    </row>
    <row r="50" spans="1:8" x14ac:dyDescent="0.35">
      <c r="A50">
        <v>283.78629999999998</v>
      </c>
      <c r="B50">
        <v>3320</v>
      </c>
      <c r="C50">
        <v>1051.6780000000001</v>
      </c>
      <c r="D50">
        <v>1</v>
      </c>
      <c r="E50">
        <f>S2PRP1[[#This Row],[ Distance]]*20</f>
        <v>21033.56</v>
      </c>
      <c r="F50" cm="1">
        <f t="array" ref="F50">E50*Drag_Constant*Area*Density/2</f>
        <v>2549.6618512500004</v>
      </c>
      <c r="G50">
        <f>SQRT(((Mass*g)^3)/(2*PI()*Density*Radius^2))*S2PRP1[[#This Row],[Time]]</f>
        <v>21923.225009845792</v>
      </c>
      <c r="H50">
        <f>S2PRP1[[#This Row],[E_horizon(J)]]+S2PRP1[[#This Row],[E_hover(J)]]</f>
        <v>24472.886861095791</v>
      </c>
    </row>
    <row r="51" spans="1:8" x14ac:dyDescent="0.35">
      <c r="A51">
        <v>321.96539999999999</v>
      </c>
      <c r="B51">
        <v>4098</v>
      </c>
      <c r="C51">
        <v>1063.306</v>
      </c>
      <c r="D51">
        <v>1</v>
      </c>
      <c r="E51">
        <f>S2PRP1[[#This Row],[ Distance]]*20</f>
        <v>21266.120000000003</v>
      </c>
      <c r="F51" cm="1">
        <f t="array" ref="F51">E51*Drag_Constant*Area*Density/2</f>
        <v>2577.8524837500004</v>
      </c>
      <c r="G51">
        <f>SQRT(((Mass*g)^3)/(2*PI()*Density*Radius^2))*S2PRP1[[#This Row],[Time]]</f>
        <v>24872.659143817036</v>
      </c>
      <c r="H51">
        <f>S2PRP1[[#This Row],[E_horizon(J)]]+S2PRP1[[#This Row],[E_hover(J)]]</f>
        <v>27450.511627567037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E38-22E8-4B17-BEF6-83A230BCBFC0}">
  <dimension ref="A1:O50"/>
  <sheetViews>
    <sheetView topLeftCell="D1"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8164062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194.2251</v>
      </c>
      <c r="B2">
        <v>2521</v>
      </c>
      <c r="C2">
        <v>626.01660000000004</v>
      </c>
      <c r="D2">
        <v>1</v>
      </c>
      <c r="E2">
        <f>S2PRP2[[#This Row],[ Distance]]*20</f>
        <v>12520.332</v>
      </c>
      <c r="F2" cm="1">
        <f t="array" ref="F2">E2*Drag_Constant*Area*Density/2</f>
        <v>1517.6989946249998</v>
      </c>
      <c r="G2">
        <f>SQRT(((Mass*g)^3)/(2*PI()*Density*Radius^2))*S2PRP2[[#This Row],[Time]]</f>
        <v>15004.390873906881</v>
      </c>
      <c r="H2">
        <f>S2PRP2[[#This Row],[E_horizon(J)]]+S2PRP2[[#This Row],[E_hover(J)]]</f>
        <v>16522.089868531883</v>
      </c>
      <c r="I2">
        <f>AVERAGE(S2PRP2[Time])</f>
        <v>219.68630204081626</v>
      </c>
      <c r="J2">
        <f>AVERAGE(S2PRP2[[ NumMsgSent]])</f>
        <v>2832.795918367347</v>
      </c>
      <c r="K2">
        <f>AVERAGE(S2PRP2[[ Distance]])</f>
        <v>938.37784081632662</v>
      </c>
      <c r="L2">
        <f>AVERAGE(S2PRP2[[ NodesLost]])</f>
        <v>0.40816326530612246</v>
      </c>
      <c r="M2">
        <f>COUNTIF(S2PRP2[[ NodesLost]],"&gt;0")/COUNT(S2PRP2[[ NodesLost]])</f>
        <v>0.30612244897959184</v>
      </c>
      <c r="N2">
        <f>AVERAGE(S2PRP2[E_horizon(J)])</f>
        <v>2274.9797778290808</v>
      </c>
      <c r="O2">
        <f>AVERAGE(S2PRP2[E_hover(J)])</f>
        <v>16971.334526091508</v>
      </c>
    </row>
    <row r="3" spans="1:15" x14ac:dyDescent="0.35">
      <c r="A3">
        <v>218.88220000000001</v>
      </c>
      <c r="B3">
        <v>2813</v>
      </c>
      <c r="C3">
        <v>883.99829999999997</v>
      </c>
      <c r="D3">
        <v>1</v>
      </c>
      <c r="E3">
        <f>S2PRP2[[#This Row],[ Distance]]*20</f>
        <v>17679.966</v>
      </c>
      <c r="F3" cm="1">
        <f t="array" ref="F3">E3*Drag_Constant*Area*Density/2</f>
        <v>2143.1433785624999</v>
      </c>
      <c r="G3">
        <f>SQRT(((Mass*g)^3)/(2*PI()*Density*Radius^2))*S2PRP2[[#This Row],[Time]]</f>
        <v>16909.2155655508</v>
      </c>
      <c r="H3">
        <f>S2PRP2[[#This Row],[E_horizon(J)]]+S2PRP2[[#This Row],[E_hover(J)]]</f>
        <v>19052.358944113301</v>
      </c>
    </row>
    <row r="4" spans="1:15" x14ac:dyDescent="0.35">
      <c r="A4">
        <v>299.75700000000001</v>
      </c>
      <c r="B4">
        <v>3598</v>
      </c>
      <c r="C4">
        <v>1277.24</v>
      </c>
      <c r="D4">
        <v>0</v>
      </c>
      <c r="E4">
        <f>S2PRP2[[#This Row],[ Distance]]*20</f>
        <v>25544.799999999999</v>
      </c>
      <c r="F4" cm="1">
        <f t="array" ref="F4">E4*Drag_Constant*Area*Density/2</f>
        <v>3096.5087249999997</v>
      </c>
      <c r="G4">
        <f>SQRT(((Mass*g)^3)/(2*PI()*Density*Radius^2))*S2PRP2[[#This Row],[Time]]</f>
        <v>23157.002854881808</v>
      </c>
      <c r="H4">
        <f>S2PRP2[[#This Row],[E_horizon(J)]]+S2PRP2[[#This Row],[E_hover(J)]]</f>
        <v>26253.511579881808</v>
      </c>
    </row>
    <row r="5" spans="1:15" x14ac:dyDescent="0.35">
      <c r="A5">
        <v>350.05520000000001</v>
      </c>
      <c r="B5">
        <v>3725</v>
      </c>
      <c r="C5">
        <v>1662.162</v>
      </c>
      <c r="D5">
        <v>0</v>
      </c>
      <c r="E5">
        <f>S2PRP2[[#This Row],[ Distance]]*20</f>
        <v>33243.24</v>
      </c>
      <c r="F5" cm="1">
        <f t="array" ref="F5">E5*Drag_Constant*Area*Density/2</f>
        <v>4029.7039987499998</v>
      </c>
      <c r="G5">
        <f>SQRT(((Mass*g)^3)/(2*PI()*Density*Radius^2))*S2PRP2[[#This Row],[Time]]</f>
        <v>27042.668780933298</v>
      </c>
      <c r="H5">
        <f>S2PRP2[[#This Row],[E_horizon(J)]]+S2PRP2[[#This Row],[E_hover(J)]]</f>
        <v>31072.372779683297</v>
      </c>
    </row>
    <row r="6" spans="1:15" x14ac:dyDescent="0.35">
      <c r="A6">
        <v>238.08779999999999</v>
      </c>
      <c r="B6">
        <v>3001</v>
      </c>
      <c r="C6">
        <v>905.875</v>
      </c>
      <c r="D6">
        <v>1</v>
      </c>
      <c r="E6">
        <f>S2PRP2[[#This Row],[ Distance]]*20</f>
        <v>18117.5</v>
      </c>
      <c r="F6" cm="1">
        <f t="array" ref="F6">E6*Drag_Constant*Area*Density/2</f>
        <v>2196.180703125</v>
      </c>
      <c r="G6">
        <f>SQRT(((Mass*g)^3)/(2*PI()*Density*Radius^2))*S2PRP2[[#This Row],[Time]]</f>
        <v>18392.897794922315</v>
      </c>
      <c r="H6">
        <f>S2PRP2[[#This Row],[E_horizon(J)]]+S2PRP2[[#This Row],[E_hover(J)]]</f>
        <v>20589.078498047314</v>
      </c>
    </row>
    <row r="7" spans="1:15" x14ac:dyDescent="0.35">
      <c r="A7">
        <v>258.0915</v>
      </c>
      <c r="B7">
        <v>3256</v>
      </c>
      <c r="C7">
        <v>1150.0640000000001</v>
      </c>
      <c r="D7">
        <v>0</v>
      </c>
      <c r="E7">
        <f>S2PRP2[[#This Row],[ Distance]]*20</f>
        <v>23001.280000000002</v>
      </c>
      <c r="F7" cm="1">
        <f t="array" ref="F7">E7*Drag_Constant*Area*Density/2</f>
        <v>2788.1864100000003</v>
      </c>
      <c r="G7">
        <f>SQRT(((Mass*g)^3)/(2*PI()*Density*Radius^2))*S2PRP2[[#This Row],[Time]]</f>
        <v>19938.235311671549</v>
      </c>
      <c r="H7">
        <f>S2PRP2[[#This Row],[E_horizon(J)]]+S2PRP2[[#This Row],[E_hover(J)]]</f>
        <v>22726.421721671548</v>
      </c>
    </row>
    <row r="8" spans="1:15" x14ac:dyDescent="0.35">
      <c r="A8">
        <v>393.26010000000002</v>
      </c>
      <c r="B8">
        <v>4136</v>
      </c>
      <c r="C8">
        <v>1809.9480000000001</v>
      </c>
      <c r="D8">
        <v>0</v>
      </c>
      <c r="E8">
        <f>S2PRP2[[#This Row],[ Distance]]*20</f>
        <v>36198.959999999999</v>
      </c>
      <c r="F8" cm="1">
        <f t="array" ref="F8">E8*Drag_Constant*Area*Density/2</f>
        <v>4387.9926825000002</v>
      </c>
      <c r="G8">
        <f>SQRT(((Mass*g)^3)/(2*PI()*Density*Radius^2))*S2PRP2[[#This Row],[Time]]</f>
        <v>30380.358952121573</v>
      </c>
      <c r="H8">
        <f>S2PRP2[[#This Row],[E_horizon(J)]]+S2PRP2[[#This Row],[E_hover(J)]]</f>
        <v>34768.351634621577</v>
      </c>
    </row>
    <row r="9" spans="1:15" x14ac:dyDescent="0.35">
      <c r="A9">
        <v>356.95420000000001</v>
      </c>
      <c r="B9">
        <v>3841</v>
      </c>
      <c r="C9">
        <v>1407.79</v>
      </c>
      <c r="D9">
        <v>1</v>
      </c>
      <c r="E9">
        <f>S2PRP2[[#This Row],[ Distance]]*20</f>
        <v>28155.8</v>
      </c>
      <c r="F9" cm="1">
        <f t="array" ref="F9">E9*Drag_Constant*Area*Density/2</f>
        <v>3413.0108812499998</v>
      </c>
      <c r="G9">
        <f>SQRT(((Mass*g)^3)/(2*PI()*Density*Radius^2))*S2PRP2[[#This Row],[Time]]</f>
        <v>27575.634358704057</v>
      </c>
      <c r="H9">
        <f>S2PRP2[[#This Row],[E_horizon(J)]]+S2PRP2[[#This Row],[E_hover(J)]]</f>
        <v>30988.645239954058</v>
      </c>
    </row>
    <row r="10" spans="1:15" x14ac:dyDescent="0.35">
      <c r="A10">
        <v>348.93579999999997</v>
      </c>
      <c r="B10">
        <v>4406</v>
      </c>
      <c r="C10">
        <v>1211.7860000000001</v>
      </c>
      <c r="D10">
        <v>1</v>
      </c>
      <c r="E10">
        <f>S2PRP2[[#This Row],[ Distance]]*20</f>
        <v>24235.72</v>
      </c>
      <c r="F10" cm="1">
        <f t="array" ref="F10">E10*Drag_Constant*Area*Density/2</f>
        <v>2937.8236837499999</v>
      </c>
      <c r="G10">
        <f>SQRT(((Mass*g)^3)/(2*PI()*Density*Radius^2))*S2PRP2[[#This Row],[Time]]</f>
        <v>26956.192238281234</v>
      </c>
      <c r="H10">
        <f>S2PRP2[[#This Row],[E_horizon(J)]]+S2PRP2[[#This Row],[E_hover(J)]]</f>
        <v>29894.015922031234</v>
      </c>
    </row>
    <row r="11" spans="1:15" x14ac:dyDescent="0.35">
      <c r="A11">
        <v>259.25290000000001</v>
      </c>
      <c r="B11">
        <v>3072</v>
      </c>
      <c r="C11">
        <v>1207.9559999999999</v>
      </c>
      <c r="D11">
        <v>0</v>
      </c>
      <c r="E11">
        <f>S2PRP2[[#This Row],[ Distance]]*20</f>
        <v>24159.119999999999</v>
      </c>
      <c r="F11" cm="1">
        <f t="array" ref="F11">E11*Drag_Constant*Area*Density/2</f>
        <v>2928.5383274999999</v>
      </c>
      <c r="G11">
        <f>SQRT(((Mass*g)^3)/(2*PI()*Density*Radius^2))*S2PRP2[[#This Row],[Time]]</f>
        <v>20027.956462856208</v>
      </c>
      <c r="H11">
        <f>S2PRP2[[#This Row],[E_horizon(J)]]+S2PRP2[[#This Row],[E_hover(J)]]</f>
        <v>22956.494790356206</v>
      </c>
    </row>
    <row r="12" spans="1:15" x14ac:dyDescent="0.35">
      <c r="A12">
        <v>430.4194</v>
      </c>
      <c r="B12">
        <v>4378</v>
      </c>
      <c r="C12">
        <v>1943.6310000000001</v>
      </c>
      <c r="D12">
        <v>0</v>
      </c>
      <c r="E12">
        <f>S2PRP2[[#This Row],[ Distance]]*20</f>
        <v>38872.620000000003</v>
      </c>
      <c r="F12" cm="1">
        <f t="array" ref="F12">E12*Drag_Constant*Area*Density/2</f>
        <v>4712.0904056250001</v>
      </c>
      <c r="G12">
        <f>SQRT(((Mass*g)^3)/(2*PI()*Density*Radius^2))*S2PRP2[[#This Row],[Time]]</f>
        <v>33251.010900818044</v>
      </c>
      <c r="H12">
        <f>S2PRP2[[#This Row],[E_horizon(J)]]+S2PRP2[[#This Row],[E_hover(J)]]</f>
        <v>37963.101306443044</v>
      </c>
    </row>
    <row r="13" spans="1:15" x14ac:dyDescent="0.35">
      <c r="A13">
        <v>286.9846</v>
      </c>
      <c r="B13">
        <v>3214</v>
      </c>
      <c r="C13">
        <v>1027.0319999999999</v>
      </c>
      <c r="D13">
        <v>1</v>
      </c>
      <c r="E13">
        <f>S2PRP2[[#This Row],[ Distance]]*20</f>
        <v>20540.64</v>
      </c>
      <c r="F13" cm="1">
        <f t="array" ref="F13">E13*Drag_Constant*Area*Density/2</f>
        <v>2489.9107049999998</v>
      </c>
      <c r="G13">
        <f>SQRT(((Mass*g)^3)/(2*PI()*Density*Radius^2))*S2PRP2[[#This Row],[Time]]</f>
        <v>22170.30194960289</v>
      </c>
      <c r="H13">
        <f>S2PRP2[[#This Row],[E_horizon(J)]]+S2PRP2[[#This Row],[E_hover(J)]]</f>
        <v>24660.212654602889</v>
      </c>
    </row>
    <row r="14" spans="1:15" x14ac:dyDescent="0.35">
      <c r="A14">
        <v>189.05969999999999</v>
      </c>
      <c r="B14">
        <v>2483</v>
      </c>
      <c r="C14">
        <v>675.03549999999996</v>
      </c>
      <c r="D14">
        <v>1</v>
      </c>
      <c r="E14">
        <f>S2PRP2[[#This Row],[ Distance]]*20</f>
        <v>13500.71</v>
      </c>
      <c r="F14" cm="1">
        <f t="array" ref="F14">E14*Drag_Constant*Area*Density/2</f>
        <v>1636.5391903124998</v>
      </c>
      <c r="G14">
        <f>SQRT(((Mass*g)^3)/(2*PI()*Density*Radius^2))*S2PRP2[[#This Row],[Time]]</f>
        <v>14605.350375948179</v>
      </c>
      <c r="H14">
        <f>S2PRP2[[#This Row],[E_horizon(J)]]+S2PRP2[[#This Row],[E_hover(J)]]</f>
        <v>16241.889566260679</v>
      </c>
    </row>
    <row r="15" spans="1:15" x14ac:dyDescent="0.35">
      <c r="A15">
        <v>411.32600000000002</v>
      </c>
      <c r="B15">
        <v>4977</v>
      </c>
      <c r="C15">
        <v>1700.7909999999999</v>
      </c>
      <c r="D15">
        <v>1</v>
      </c>
      <c r="E15">
        <f>S2PRP2[[#This Row],[ Distance]]*20</f>
        <v>34015.82</v>
      </c>
      <c r="F15" cm="1">
        <f t="array" ref="F15">E15*Drag_Constant*Area*Density/2</f>
        <v>4123.3551806249998</v>
      </c>
      <c r="G15">
        <f>SQRT(((Mass*g)^3)/(2*PI()*Density*Radius^2))*S2PRP2[[#This Row],[Time]]</f>
        <v>31775.996411383607</v>
      </c>
      <c r="H15">
        <f>S2PRP2[[#This Row],[E_horizon(J)]]+S2PRP2[[#This Row],[E_hover(J)]]</f>
        <v>35899.351592008607</v>
      </c>
    </row>
    <row r="16" spans="1:15" x14ac:dyDescent="0.35">
      <c r="A16">
        <v>237.78659999999999</v>
      </c>
      <c r="B16">
        <v>2916</v>
      </c>
      <c r="C16">
        <v>1210.038</v>
      </c>
      <c r="D16">
        <v>0</v>
      </c>
      <c r="E16">
        <f>S2PRP2[[#This Row],[ Distance]]*20</f>
        <v>24200.760000000002</v>
      </c>
      <c r="F16" cm="1">
        <f t="array" ref="F16">E16*Drag_Constant*Area*Density/2</f>
        <v>2933.5858762499997</v>
      </c>
      <c r="G16">
        <f>SQRT(((Mass*g)^3)/(2*PI()*Density*Radius^2))*S2PRP2[[#This Row],[Time]]</f>
        <v>18369.629316588565</v>
      </c>
      <c r="H16">
        <f>S2PRP2[[#This Row],[E_horizon(J)]]+S2PRP2[[#This Row],[E_hover(J)]]</f>
        <v>21303.215192838565</v>
      </c>
    </row>
    <row r="17" spans="1:8" x14ac:dyDescent="0.35">
      <c r="A17">
        <v>272.6429</v>
      </c>
      <c r="B17">
        <v>3237</v>
      </c>
      <c r="C17">
        <v>1062.0260000000001</v>
      </c>
      <c r="D17">
        <v>1</v>
      </c>
      <c r="E17">
        <f>S2PRP2[[#This Row],[ Distance]]*20</f>
        <v>21240.52</v>
      </c>
      <c r="F17" cm="1">
        <f t="array" ref="F17">E17*Drag_Constant*Area*Density/2</f>
        <v>2574.7492837499999</v>
      </c>
      <c r="G17">
        <f>SQRT(((Mass*g)^3)/(2*PI()*Density*Radius^2))*S2PRP2[[#This Row],[Time]]</f>
        <v>21062.368564081091</v>
      </c>
      <c r="H17">
        <f>S2PRP2[[#This Row],[E_horizon(J)]]+S2PRP2[[#This Row],[E_hover(J)]]</f>
        <v>23637.11784783109</v>
      </c>
    </row>
    <row r="18" spans="1:8" x14ac:dyDescent="0.35">
      <c r="A18">
        <v>321.23939999999999</v>
      </c>
      <c r="B18">
        <v>3612</v>
      </c>
      <c r="C18">
        <v>1004.9690000000001</v>
      </c>
      <c r="D18">
        <v>1</v>
      </c>
      <c r="E18">
        <f>S2PRP2[[#This Row],[ Distance]]*20</f>
        <v>20099.38</v>
      </c>
      <c r="F18" cm="1">
        <f t="array" ref="F18">E18*Drag_Constant*Area*Density/2</f>
        <v>2436.4217193750001</v>
      </c>
      <c r="G18">
        <f>SQRT(((Mass*g)^3)/(2*PI()*Density*Radius^2))*S2PRP2[[#This Row],[Time]]</f>
        <v>24816.573767753613</v>
      </c>
      <c r="H18">
        <f>S2PRP2[[#This Row],[E_horizon(J)]]+S2PRP2[[#This Row],[E_hover(J)]]</f>
        <v>27252.995487128614</v>
      </c>
    </row>
    <row r="19" spans="1:8" x14ac:dyDescent="0.35">
      <c r="A19">
        <v>218.0564</v>
      </c>
      <c r="B19">
        <v>2981</v>
      </c>
      <c r="C19">
        <v>926.94140000000004</v>
      </c>
      <c r="D19">
        <v>0</v>
      </c>
      <c r="E19">
        <f>S2PRP2[[#This Row],[ Distance]]*20</f>
        <v>18538.828000000001</v>
      </c>
      <c r="F19" cm="1">
        <f t="array" ref="F19">E19*Drag_Constant*Area*Density/2</f>
        <v>2247.2535566249999</v>
      </c>
      <c r="G19">
        <f>SQRT(((Mass*g)^3)/(2*PI()*Density*Radius^2))*S2PRP2[[#This Row],[Time]]</f>
        <v>16845.420381593256</v>
      </c>
      <c r="H19">
        <f>S2PRP2[[#This Row],[E_horizon(J)]]+S2PRP2[[#This Row],[E_hover(J)]]</f>
        <v>19092.673938218257</v>
      </c>
    </row>
    <row r="20" spans="1:8" x14ac:dyDescent="0.35">
      <c r="A20">
        <v>397.27929999999998</v>
      </c>
      <c r="B20">
        <v>4681</v>
      </c>
      <c r="C20">
        <v>1807.0039999999999</v>
      </c>
      <c r="D20">
        <v>0</v>
      </c>
      <c r="E20">
        <f>S2PRP2[[#This Row],[ Distance]]*20</f>
        <v>36140.080000000002</v>
      </c>
      <c r="F20" cm="1">
        <f t="array" ref="F20">E20*Drag_Constant*Area*Density/2</f>
        <v>4380.8553224999996</v>
      </c>
      <c r="G20">
        <f>SQRT(((Mass*g)^3)/(2*PI()*Density*Radius^2))*S2PRP2[[#This Row],[Time]]</f>
        <v>30690.852538174076</v>
      </c>
      <c r="H20">
        <f>S2PRP2[[#This Row],[E_horizon(J)]]+S2PRP2[[#This Row],[E_hover(J)]]</f>
        <v>35071.707860674076</v>
      </c>
    </row>
    <row r="21" spans="1:8" x14ac:dyDescent="0.35">
      <c r="A21">
        <v>130.95529999999999</v>
      </c>
      <c r="B21">
        <v>2004</v>
      </c>
      <c r="C21">
        <v>687.37019999999995</v>
      </c>
      <c r="D21">
        <v>0</v>
      </c>
      <c r="E21">
        <f>S2PRP2[[#This Row],[ Distance]]*20</f>
        <v>13747.403999999999</v>
      </c>
      <c r="F21" cm="1">
        <f t="array" ref="F21">E21*Drag_Constant*Area*Density/2</f>
        <v>1666.4431286249999</v>
      </c>
      <c r="G21">
        <f>SQRT(((Mass*g)^3)/(2*PI()*Density*Radius^2))*S2PRP2[[#This Row],[Time]]</f>
        <v>10116.635327821881</v>
      </c>
      <c r="H21">
        <f>S2PRP2[[#This Row],[E_horizon(J)]]+S2PRP2[[#This Row],[E_hover(J)]]</f>
        <v>11783.078456446881</v>
      </c>
    </row>
    <row r="22" spans="1:8" x14ac:dyDescent="0.35">
      <c r="A22">
        <v>134.08920000000001</v>
      </c>
      <c r="B22">
        <v>2095</v>
      </c>
      <c r="C22">
        <v>685.8184</v>
      </c>
      <c r="D22">
        <v>0</v>
      </c>
      <c r="E22">
        <f>S2PRP2[[#This Row],[ Distance]]*20</f>
        <v>13716.368</v>
      </c>
      <c r="F22" cm="1">
        <f t="array" ref="F22">E22*Drag_Constant*Area*Density/2</f>
        <v>1662.6809834999999</v>
      </c>
      <c r="G22">
        <f>SQRT(((Mass*g)^3)/(2*PI()*Density*Radius^2))*S2PRP2[[#This Row],[Time]]</f>
        <v>10358.737201162336</v>
      </c>
      <c r="H22">
        <f>S2PRP2[[#This Row],[E_horizon(J)]]+S2PRP2[[#This Row],[E_hover(J)]]</f>
        <v>12021.418184662336</v>
      </c>
    </row>
    <row r="23" spans="1:8" x14ac:dyDescent="0.35">
      <c r="A23">
        <v>233.53270000000001</v>
      </c>
      <c r="B23">
        <v>2831</v>
      </c>
      <c r="C23">
        <v>725.79729999999995</v>
      </c>
      <c r="D23">
        <v>1</v>
      </c>
      <c r="E23">
        <f>S2PRP2[[#This Row],[ Distance]]*20</f>
        <v>14515.946</v>
      </c>
      <c r="F23" cm="1">
        <f t="array" ref="F23">E23*Drag_Constant*Area*Density/2</f>
        <v>1759.6048291874999</v>
      </c>
      <c r="G23">
        <f>SQRT(((Mass*g)^3)/(2*PI()*Density*Radius^2))*S2PRP2[[#This Row],[Time]]</f>
        <v>18041.004549045585</v>
      </c>
      <c r="H23">
        <f>S2PRP2[[#This Row],[E_horizon(J)]]+S2PRP2[[#This Row],[E_hover(J)]]</f>
        <v>19800.609378233086</v>
      </c>
    </row>
    <row r="24" spans="1:8" x14ac:dyDescent="0.35">
      <c r="A24">
        <v>348.26839999999999</v>
      </c>
      <c r="B24">
        <v>3780</v>
      </c>
      <c r="C24">
        <v>1385.452</v>
      </c>
      <c r="D24">
        <v>0</v>
      </c>
      <c r="E24">
        <f>S2PRP2[[#This Row],[ Distance]]*20</f>
        <v>27709.040000000001</v>
      </c>
      <c r="F24" cm="1">
        <f t="array" ref="F24">E24*Drag_Constant*Area*Density/2</f>
        <v>3358.8551924999997</v>
      </c>
      <c r="G24">
        <f>SQRT(((Mass*g)^3)/(2*PI()*Density*Radius^2))*S2PRP2[[#This Row],[Time]]</f>
        <v>26904.633863646617</v>
      </c>
      <c r="H24">
        <f>S2PRP2[[#This Row],[E_horizon(J)]]+S2PRP2[[#This Row],[E_hover(J)]]</f>
        <v>30263.489056146616</v>
      </c>
    </row>
    <row r="25" spans="1:8" x14ac:dyDescent="0.35">
      <c r="A25">
        <v>197.56800000000001</v>
      </c>
      <c r="B25">
        <v>2679</v>
      </c>
      <c r="C25">
        <v>739.4058</v>
      </c>
      <c r="D25">
        <v>1</v>
      </c>
      <c r="E25">
        <f>S2PRP2[[#This Row],[ Distance]]*20</f>
        <v>14788.116</v>
      </c>
      <c r="F25" cm="1">
        <f t="array" ref="F25">E25*Drag_Constant*Area*Density/2</f>
        <v>1792.5969363749998</v>
      </c>
      <c r="G25">
        <f>SQRT(((Mass*g)^3)/(2*PI()*Density*Radius^2))*S2PRP2[[#This Row],[Time]]</f>
        <v>15262.6385373262</v>
      </c>
      <c r="H25">
        <f>S2PRP2[[#This Row],[E_horizon(J)]]+S2PRP2[[#This Row],[E_hover(J)]]</f>
        <v>17055.235473701199</v>
      </c>
    </row>
    <row r="26" spans="1:8" x14ac:dyDescent="0.35">
      <c r="A26">
        <v>132.9691</v>
      </c>
      <c r="B26">
        <v>2046</v>
      </c>
      <c r="C26">
        <v>686.12670000000003</v>
      </c>
      <c r="D26">
        <v>0</v>
      </c>
      <c r="E26">
        <f>S2PRP2[[#This Row],[ Distance]]*20</f>
        <v>13722.534</v>
      </c>
      <c r="F26" cm="1">
        <f t="array" ref="F26">E26*Drag_Constant*Area*Density/2</f>
        <v>1663.4284183124998</v>
      </c>
      <c r="G26">
        <f>SQRT(((Mass*g)^3)/(2*PI()*Density*Radius^2))*S2PRP2[[#This Row],[Time]]</f>
        <v>10272.206581701394</v>
      </c>
      <c r="H26">
        <f>S2PRP2[[#This Row],[E_horizon(J)]]+S2PRP2[[#This Row],[E_hover(J)]]</f>
        <v>11935.635000013894</v>
      </c>
    </row>
    <row r="27" spans="1:8" x14ac:dyDescent="0.35">
      <c r="A27">
        <v>120.28740000000001</v>
      </c>
      <c r="B27">
        <v>1966</v>
      </c>
      <c r="C27">
        <v>592.04039999999998</v>
      </c>
      <c r="D27">
        <v>0</v>
      </c>
      <c r="E27">
        <f>S2PRP2[[#This Row],[ Distance]]*20</f>
        <v>11840.807999999999</v>
      </c>
      <c r="F27" cm="1">
        <f t="array" ref="F27">E27*Drag_Constant*Area*Density/2</f>
        <v>1435.3279447499999</v>
      </c>
      <c r="G27">
        <f>SQRT(((Mass*g)^3)/(2*PI()*Density*Radius^2))*S2PRP2[[#This Row],[Time]]</f>
        <v>9292.5124858012005</v>
      </c>
      <c r="H27">
        <f>S2PRP2[[#This Row],[E_horizon(J)]]+S2PRP2[[#This Row],[E_hover(J)]]</f>
        <v>10727.840430551201</v>
      </c>
    </row>
    <row r="28" spans="1:8" x14ac:dyDescent="0.35">
      <c r="A28">
        <v>122.8186</v>
      </c>
      <c r="B28">
        <v>1957</v>
      </c>
      <c r="C28">
        <v>635.0453</v>
      </c>
      <c r="D28">
        <v>0</v>
      </c>
      <c r="E28">
        <f>S2PRP2[[#This Row],[ Distance]]*20</f>
        <v>12700.905999999999</v>
      </c>
      <c r="F28" cm="1">
        <f t="array" ref="F28">E28*Drag_Constant*Area*Density/2</f>
        <v>1539.5879491874996</v>
      </c>
      <c r="G28">
        <f>SQRT(((Mass*g)^3)/(2*PI()*Density*Radius^2))*S2PRP2[[#This Row],[Time]]</f>
        <v>9488.054226698916</v>
      </c>
      <c r="H28">
        <f>S2PRP2[[#This Row],[E_horizon(J)]]+S2PRP2[[#This Row],[E_hover(J)]]</f>
        <v>11027.642175886416</v>
      </c>
    </row>
    <row r="29" spans="1:8" x14ac:dyDescent="0.35">
      <c r="A29">
        <v>178.2593</v>
      </c>
      <c r="B29">
        <v>2580</v>
      </c>
      <c r="C29">
        <v>904.75130000000001</v>
      </c>
      <c r="D29">
        <v>0</v>
      </c>
      <c r="E29">
        <f>S2PRP2[[#This Row],[ Distance]]*20</f>
        <v>18095.026000000002</v>
      </c>
      <c r="F29" cm="1">
        <f t="array" ref="F29">E29*Drag_Constant*Area*Density/2</f>
        <v>2193.4564329375003</v>
      </c>
      <c r="G29">
        <f>SQRT(((Mass*g)^3)/(2*PI()*Density*Radius^2))*S2PRP2[[#This Row],[Time]]</f>
        <v>13770.991566533001</v>
      </c>
      <c r="H29">
        <f>S2PRP2[[#This Row],[E_horizon(J)]]+S2PRP2[[#This Row],[E_hover(J)]]</f>
        <v>15964.447999470502</v>
      </c>
    </row>
    <row r="30" spans="1:8" x14ac:dyDescent="0.35">
      <c r="A30">
        <v>120.92230000000001</v>
      </c>
      <c r="B30">
        <v>1972</v>
      </c>
      <c r="C30">
        <v>591.9434</v>
      </c>
      <c r="D30">
        <v>0</v>
      </c>
      <c r="E30">
        <f>S2PRP2[[#This Row],[ Distance]]*20</f>
        <v>11838.868</v>
      </c>
      <c r="F30" cm="1">
        <f t="array" ref="F30">E30*Drag_Constant*Area*Density/2</f>
        <v>1435.0927803749998</v>
      </c>
      <c r="G30">
        <f>SQRT(((Mass*g)^3)/(2*PI()*Density*Radius^2))*S2PRP2[[#This Row],[Time]]</f>
        <v>9341.5601514522587</v>
      </c>
      <c r="H30">
        <f>S2PRP2[[#This Row],[E_horizon(J)]]+S2PRP2[[#This Row],[E_hover(J)]]</f>
        <v>10776.652931827259</v>
      </c>
    </row>
    <row r="31" spans="1:8" x14ac:dyDescent="0.35">
      <c r="A31">
        <v>120.5575</v>
      </c>
      <c r="B31">
        <v>1966</v>
      </c>
      <c r="C31">
        <v>662.74879999999996</v>
      </c>
      <c r="D31">
        <v>0</v>
      </c>
      <c r="E31">
        <f>S2PRP2[[#This Row],[ Distance]]*20</f>
        <v>13254.975999999999</v>
      </c>
      <c r="F31" cm="1">
        <f t="array" ref="F31">E31*Drag_Constant*Area*Density/2</f>
        <v>1606.751622</v>
      </c>
      <c r="G31">
        <f>SQRT(((Mass*g)^3)/(2*PI()*Density*Radius^2))*S2PRP2[[#This Row],[Time]]</f>
        <v>9313.3784087691492</v>
      </c>
      <c r="H31">
        <f>S2PRP2[[#This Row],[E_horizon(J)]]+S2PRP2[[#This Row],[E_hover(J)]]</f>
        <v>10920.130030769149</v>
      </c>
    </row>
    <row r="32" spans="1:8" x14ac:dyDescent="0.35">
      <c r="A32">
        <v>184.83850000000001</v>
      </c>
      <c r="B32">
        <v>2538</v>
      </c>
      <c r="C32">
        <v>822.17859999999996</v>
      </c>
      <c r="D32">
        <v>0</v>
      </c>
      <c r="E32">
        <f>S2PRP2[[#This Row],[ Distance]]*20</f>
        <v>16443.572</v>
      </c>
      <c r="F32" cm="1">
        <f t="array" ref="F32">E32*Drag_Constant*Area*Density/2</f>
        <v>1993.2692433749999</v>
      </c>
      <c r="G32">
        <f>SQRT(((Mass*g)^3)/(2*PI()*Density*Radius^2))*S2PRP2[[#This Row],[Time]]</f>
        <v>14279.251767905575</v>
      </c>
      <c r="H32">
        <f>S2PRP2[[#This Row],[E_horizon(J)]]+S2PRP2[[#This Row],[E_hover(J)]]</f>
        <v>16272.521011280574</v>
      </c>
    </row>
    <row r="33" spans="1:8" x14ac:dyDescent="0.35">
      <c r="A33">
        <v>123.1909</v>
      </c>
      <c r="B33">
        <v>1981</v>
      </c>
      <c r="C33">
        <v>640.94510000000002</v>
      </c>
      <c r="D33">
        <v>0</v>
      </c>
      <c r="E33">
        <f>S2PRP2[[#This Row],[ Distance]]*20</f>
        <v>12818.902</v>
      </c>
      <c r="F33" cm="1">
        <f t="array" ref="F33">E33*Drag_Constant*Area*Density/2</f>
        <v>1553.8912768124999</v>
      </c>
      <c r="G33">
        <f>SQRT(((Mass*g)^3)/(2*PI()*Density*Radius^2))*S2PRP2[[#This Row],[Time]]</f>
        <v>9516.8153637628457</v>
      </c>
      <c r="H33">
        <f>S2PRP2[[#This Row],[E_horizon(J)]]+S2PRP2[[#This Row],[E_hover(J)]]</f>
        <v>11070.706640575345</v>
      </c>
    </row>
    <row r="34" spans="1:8" x14ac:dyDescent="0.35">
      <c r="A34">
        <v>184.38910000000001</v>
      </c>
      <c r="B34">
        <v>2390</v>
      </c>
      <c r="C34">
        <v>691.697</v>
      </c>
      <c r="D34">
        <v>1</v>
      </c>
      <c r="E34">
        <f>S2PRP2[[#This Row],[ Distance]]*20</f>
        <v>13833.94</v>
      </c>
      <c r="F34" cm="1">
        <f t="array" ref="F34">E34*Drag_Constant*Area*Density/2</f>
        <v>1676.9329143749999</v>
      </c>
      <c r="G34">
        <f>SQRT(((Mass*g)^3)/(2*PI()*Density*Radius^2))*S2PRP2[[#This Row],[Time]]</f>
        <v>14244.534456606811</v>
      </c>
      <c r="H34">
        <f>S2PRP2[[#This Row],[E_horizon(J)]]+S2PRP2[[#This Row],[E_hover(J)]]</f>
        <v>15921.467370981811</v>
      </c>
    </row>
    <row r="35" spans="1:8" x14ac:dyDescent="0.35">
      <c r="A35">
        <v>130.02080000000001</v>
      </c>
      <c r="B35">
        <v>2020</v>
      </c>
      <c r="C35">
        <v>673.38520000000005</v>
      </c>
      <c r="D35">
        <v>0</v>
      </c>
      <c r="E35">
        <f>S2PRP2[[#This Row],[ Distance]]*20</f>
        <v>13467.704000000002</v>
      </c>
      <c r="F35" cm="1">
        <f t="array" ref="F35">E35*Drag_Constant*Area*Density/2</f>
        <v>1632.5382442500002</v>
      </c>
      <c r="G35">
        <f>SQRT(((Mass*g)^3)/(2*PI()*Density*Radius^2))*S2PRP2[[#This Row],[Time]]</f>
        <v>10044.442787971646</v>
      </c>
      <c r="H35">
        <f>S2PRP2[[#This Row],[E_horizon(J)]]+S2PRP2[[#This Row],[E_hover(J)]]</f>
        <v>11676.981032221645</v>
      </c>
    </row>
    <row r="36" spans="1:8" x14ac:dyDescent="0.35">
      <c r="A36">
        <v>126.821</v>
      </c>
      <c r="B36">
        <v>2019</v>
      </c>
      <c r="C36">
        <v>601.40009999999995</v>
      </c>
      <c r="D36">
        <v>0</v>
      </c>
      <c r="E36">
        <f>S2PRP2[[#This Row],[ Distance]]*20</f>
        <v>12028.001999999999</v>
      </c>
      <c r="F36" cm="1">
        <f t="array" ref="F36">E36*Drag_Constant*Area*Density/2</f>
        <v>1458.0193674374996</v>
      </c>
      <c r="G36">
        <f>SQRT(((Mass*g)^3)/(2*PI()*Density*Radius^2))*S2PRP2[[#This Row],[Time]]</f>
        <v>9797.2499693383834</v>
      </c>
      <c r="H36">
        <f>S2PRP2[[#This Row],[E_horizon(J)]]+S2PRP2[[#This Row],[E_hover(J)]]</f>
        <v>11255.269336775884</v>
      </c>
    </row>
    <row r="37" spans="1:8" x14ac:dyDescent="0.35">
      <c r="A37">
        <v>142.01939999999999</v>
      </c>
      <c r="B37">
        <v>2194</v>
      </c>
      <c r="C37">
        <v>670.68769999999995</v>
      </c>
      <c r="D37">
        <v>0</v>
      </c>
      <c r="E37">
        <f>S2PRP2[[#This Row],[ Distance]]*20</f>
        <v>13413.753999999999</v>
      </c>
      <c r="F37" cm="1">
        <f t="array" ref="F37">E37*Drag_Constant*Area*Density/2</f>
        <v>1625.9984926874997</v>
      </c>
      <c r="G37">
        <f>SQRT(((Mass*g)^3)/(2*PI()*Density*Radius^2))*S2PRP2[[#This Row],[Time]]</f>
        <v>10971.365643666708</v>
      </c>
      <c r="H37">
        <f>S2PRP2[[#This Row],[E_horizon(J)]]+S2PRP2[[#This Row],[E_hover(J)]]</f>
        <v>12597.364136354208</v>
      </c>
    </row>
    <row r="38" spans="1:8" x14ac:dyDescent="0.35">
      <c r="A38">
        <v>123.36499999999999</v>
      </c>
      <c r="B38">
        <v>1981</v>
      </c>
      <c r="C38">
        <v>639.82429999999999</v>
      </c>
      <c r="D38">
        <v>0</v>
      </c>
      <c r="E38">
        <f>S2PRP2[[#This Row],[ Distance]]*20</f>
        <v>12796.486000000001</v>
      </c>
      <c r="F38" cm="1">
        <f t="array" ref="F38">E38*Drag_Constant*Area*Density/2</f>
        <v>1551.1740373124999</v>
      </c>
      <c r="G38">
        <f>SQRT(((Mass*g)^3)/(2*PI()*Density*Radius^2))*S2PRP2[[#This Row],[Time]]</f>
        <v>9530.2650386562927</v>
      </c>
      <c r="H38">
        <f>S2PRP2[[#This Row],[E_horizon(J)]]+S2PRP2[[#This Row],[E_hover(J)]]</f>
        <v>11081.439075968792</v>
      </c>
    </row>
    <row r="39" spans="1:8" x14ac:dyDescent="0.35">
      <c r="A39">
        <v>193.03210000000001</v>
      </c>
      <c r="B39">
        <v>2691</v>
      </c>
      <c r="C39">
        <v>975.74059999999997</v>
      </c>
      <c r="D39">
        <v>0</v>
      </c>
      <c r="E39">
        <f>S2PRP2[[#This Row],[ Distance]]*20</f>
        <v>19514.811999999998</v>
      </c>
      <c r="F39" cm="1">
        <f t="array" ref="F39">E39*Drag_Constant*Area*Density/2</f>
        <v>2365.5611171249998</v>
      </c>
      <c r="G39">
        <f>SQRT(((Mass*g)^3)/(2*PI()*Density*Radius^2))*S2PRP2[[#This Row],[Time]]</f>
        <v>14912.228541064365</v>
      </c>
      <c r="H39">
        <f>S2PRP2[[#This Row],[E_horizon(J)]]+S2PRP2[[#This Row],[E_hover(J)]]</f>
        <v>17277.789658189366</v>
      </c>
    </row>
    <row r="40" spans="1:8" x14ac:dyDescent="0.35">
      <c r="A40">
        <v>132.6541</v>
      </c>
      <c r="B40">
        <v>2055</v>
      </c>
      <c r="C40">
        <v>662.72029999999995</v>
      </c>
      <c r="D40">
        <v>0</v>
      </c>
      <c r="E40">
        <f>S2PRP2[[#This Row],[ Distance]]*20</f>
        <v>13254.405999999999</v>
      </c>
      <c r="F40" cm="1">
        <f t="array" ref="F40">E40*Drag_Constant*Area*Density/2</f>
        <v>1606.6825273124996</v>
      </c>
      <c r="G40">
        <f>SQRT(((Mass*g)^3)/(2*PI()*Density*Radius^2))*S2PRP2[[#This Row],[Time]]</f>
        <v>10247.872017706932</v>
      </c>
      <c r="H40">
        <f>S2PRP2[[#This Row],[E_horizon(J)]]+S2PRP2[[#This Row],[E_hover(J)]]</f>
        <v>11854.554545019431</v>
      </c>
    </row>
    <row r="41" spans="1:8" x14ac:dyDescent="0.35">
      <c r="A41">
        <v>223.3048</v>
      </c>
      <c r="B41">
        <v>2840</v>
      </c>
      <c r="C41">
        <v>1022.437</v>
      </c>
      <c r="D41">
        <v>0</v>
      </c>
      <c r="E41">
        <f>S2PRP2[[#This Row],[ Distance]]*20</f>
        <v>20448.740000000002</v>
      </c>
      <c r="F41" cm="1">
        <f t="array" ref="F41">E41*Drag_Constant*Area*Density/2</f>
        <v>2478.7707018749998</v>
      </c>
      <c r="G41">
        <f>SQRT(((Mass*g)^3)/(2*PI()*Density*Radius^2))*S2PRP2[[#This Row],[Time]]</f>
        <v>17250.872844033038</v>
      </c>
      <c r="H41">
        <f>S2PRP2[[#This Row],[E_horizon(J)]]+S2PRP2[[#This Row],[E_hover(J)]]</f>
        <v>19729.643545908039</v>
      </c>
    </row>
    <row r="42" spans="1:8" x14ac:dyDescent="0.35">
      <c r="A42">
        <v>120.72069999999999</v>
      </c>
      <c r="B42">
        <v>1972</v>
      </c>
      <c r="C42">
        <v>594.1268</v>
      </c>
      <c r="D42">
        <v>0</v>
      </c>
      <c r="E42">
        <f>S2PRP2[[#This Row],[ Distance]]*20</f>
        <v>11882.536</v>
      </c>
      <c r="F42" cm="1">
        <f t="array" ref="F42">E42*Drag_Constant*Area*Density/2</f>
        <v>1440.3861607499998</v>
      </c>
      <c r="G42">
        <f>SQRT(((Mass*g)^3)/(2*PI()*Density*Radius^2))*S2PRP2[[#This Row],[Time]]</f>
        <v>9325.986030495802</v>
      </c>
      <c r="H42">
        <f>S2PRP2[[#This Row],[E_horizon(J)]]+S2PRP2[[#This Row],[E_hover(J)]]</f>
        <v>10766.372191245802</v>
      </c>
    </row>
    <row r="43" spans="1:8" x14ac:dyDescent="0.35">
      <c r="A43">
        <v>122.9209</v>
      </c>
      <c r="B43">
        <v>1957</v>
      </c>
      <c r="C43">
        <v>642.68600000000004</v>
      </c>
      <c r="D43">
        <v>0</v>
      </c>
      <c r="E43">
        <f>S2PRP2[[#This Row],[ Distance]]*20</f>
        <v>12853.720000000001</v>
      </c>
      <c r="F43" cm="1">
        <f t="array" ref="F43">E43*Drag_Constant*Area*Density/2</f>
        <v>1558.1118712500001</v>
      </c>
      <c r="G43">
        <f>SQRT(((Mass*g)^3)/(2*PI()*Density*Radius^2))*S2PRP2[[#This Row],[Time]]</f>
        <v>9495.9571660533074</v>
      </c>
      <c r="H43">
        <f>S2PRP2[[#This Row],[E_horizon(J)]]+S2PRP2[[#This Row],[E_hover(J)]]</f>
        <v>11054.069037303307</v>
      </c>
    </row>
    <row r="44" spans="1:8" x14ac:dyDescent="0.35">
      <c r="A44">
        <v>130.98589999999999</v>
      </c>
      <c r="B44">
        <v>2028</v>
      </c>
      <c r="C44">
        <v>688.62199999999996</v>
      </c>
      <c r="D44">
        <v>0</v>
      </c>
      <c r="E44">
        <f>S2PRP2[[#This Row],[ Distance]]*20</f>
        <v>13772.439999999999</v>
      </c>
      <c r="F44" cm="1">
        <f t="array" ref="F44">E44*Drag_Constant*Area*Density/2</f>
        <v>1669.4779612499997</v>
      </c>
      <c r="G44">
        <f>SQRT(((Mass*g)^3)/(2*PI()*Density*Radius^2))*S2PRP2[[#This Row],[Time]]</f>
        <v>10118.999256895628</v>
      </c>
      <c r="H44">
        <f>S2PRP2[[#This Row],[E_horizon(J)]]+S2PRP2[[#This Row],[E_hover(J)]]</f>
        <v>11788.477218145628</v>
      </c>
    </row>
    <row r="45" spans="1:8" x14ac:dyDescent="0.35">
      <c r="A45">
        <v>119.2533</v>
      </c>
      <c r="B45">
        <v>1933</v>
      </c>
      <c r="C45">
        <v>616.77629999999999</v>
      </c>
      <c r="D45">
        <v>0</v>
      </c>
      <c r="E45">
        <f>S2PRP2[[#This Row],[ Distance]]*20</f>
        <v>12335.526</v>
      </c>
      <c r="F45" cm="1">
        <f t="array" ref="F45">E45*Drag_Constant*Area*Density/2</f>
        <v>1495.2970423125</v>
      </c>
      <c r="G45">
        <f>SQRT(((Mass*g)^3)/(2*PI()*Density*Radius^2))*S2PRP2[[#This Row],[Time]]</f>
        <v>9212.6255885736664</v>
      </c>
      <c r="H45">
        <f>S2PRP2[[#This Row],[E_horizon(J)]]+S2PRP2[[#This Row],[E_hover(J)]]</f>
        <v>10707.922630886167</v>
      </c>
    </row>
    <row r="46" spans="1:8" x14ac:dyDescent="0.35">
      <c r="A46">
        <v>133.71899999999999</v>
      </c>
      <c r="B46">
        <v>2080</v>
      </c>
      <c r="C46">
        <v>658.25829999999996</v>
      </c>
      <c r="D46">
        <v>0</v>
      </c>
      <c r="E46">
        <f>S2PRP2[[#This Row],[ Distance]]*20</f>
        <v>13165.165999999999</v>
      </c>
      <c r="F46" cm="1">
        <f t="array" ref="F46">E46*Drag_Constant*Area*Density/2</f>
        <v>1595.8649660624999</v>
      </c>
      <c r="G46">
        <f>SQRT(((Mass*g)^3)/(2*PI()*Density*Radius^2))*S2PRP2[[#This Row],[Time]]</f>
        <v>10330.138294525033</v>
      </c>
      <c r="H46">
        <f>S2PRP2[[#This Row],[E_horizon(J)]]+S2PRP2[[#This Row],[E_hover(J)]]</f>
        <v>11926.003260587533</v>
      </c>
    </row>
    <row r="47" spans="1:8" x14ac:dyDescent="0.35">
      <c r="A47">
        <v>600.00800000000004</v>
      </c>
      <c r="B47">
        <v>6709</v>
      </c>
      <c r="C47">
        <v>1536.9110000000001</v>
      </c>
      <c r="D47">
        <v>6</v>
      </c>
      <c r="E47">
        <f>S2PRP2[[#This Row],[ Distance]]*20</f>
        <v>30738.22</v>
      </c>
      <c r="F47" cm="1">
        <f t="array" ref="F47">E47*Drag_Constant*Area*Density/2</f>
        <v>3726.0486056249997</v>
      </c>
      <c r="G47">
        <f>SQRT(((Mass*g)^3)/(2*PI()*Density*Radius^2))*S2PRP2[[#This Row],[Time]]</f>
        <v>46352.168486313662</v>
      </c>
      <c r="H47">
        <f>S2PRP2[[#This Row],[E_horizon(J)]]+S2PRP2[[#This Row],[E_hover(J)]]</f>
        <v>50078.217091938663</v>
      </c>
    </row>
    <row r="48" spans="1:8" x14ac:dyDescent="0.35">
      <c r="A48">
        <v>120.7902</v>
      </c>
      <c r="B48">
        <v>1972</v>
      </c>
      <c r="C48">
        <v>590.10680000000002</v>
      </c>
      <c r="D48">
        <v>0</v>
      </c>
      <c r="E48">
        <f>S2PRP2[[#This Row],[ Distance]]*20</f>
        <v>11802.136</v>
      </c>
      <c r="F48" cm="1">
        <f t="array" ref="F48">E48*Drag_Constant*Area*Density/2</f>
        <v>1430.6401732500001</v>
      </c>
      <c r="G48">
        <f>SQRT(((Mass*g)^3)/(2*PI()*Density*Radius^2))*S2PRP2[[#This Row],[Time]]</f>
        <v>9331.3550850914071</v>
      </c>
      <c r="H48">
        <f>S2PRP2[[#This Row],[E_horizon(J)]]+S2PRP2[[#This Row],[E_hover(J)]]</f>
        <v>10761.995258341407</v>
      </c>
    </row>
    <row r="49" spans="1:8" x14ac:dyDescent="0.35">
      <c r="A49">
        <v>154.31890000000001</v>
      </c>
      <c r="B49">
        <v>2299</v>
      </c>
      <c r="C49">
        <v>725.19979999999998</v>
      </c>
      <c r="D49">
        <v>0</v>
      </c>
      <c r="E49">
        <f>S2PRP2[[#This Row],[ Distance]]*20</f>
        <v>14503.995999999999</v>
      </c>
      <c r="F49" cm="1">
        <f t="array" ref="F49">E49*Drag_Constant*Area*Density/2</f>
        <v>1758.1562651249999</v>
      </c>
      <c r="G49">
        <f>SQRT(((Mass*g)^3)/(2*PI()*Density*Radius^2))*S2PRP2[[#This Row],[Time]]</f>
        <v>11921.533801920292</v>
      </c>
      <c r="H49">
        <f>S2PRP2[[#This Row],[E_horizon(J)]]+S2PRP2[[#This Row],[E_hover(J)]]</f>
        <v>13679.690067045292</v>
      </c>
    </row>
    <row r="50" spans="1:8" x14ac:dyDescent="0.35">
      <c r="A50">
        <v>175.75229999999999</v>
      </c>
      <c r="B50">
        <v>2424</v>
      </c>
      <c r="C50">
        <v>730.00789999999995</v>
      </c>
      <c r="D50">
        <v>1</v>
      </c>
      <c r="E50">
        <f>S2PRP2[[#This Row],[ Distance]]*20</f>
        <v>14600.157999999999</v>
      </c>
      <c r="F50" cm="1">
        <f t="array" ref="F50">E50*Drag_Constant*Area*Density/2</f>
        <v>1769.8129025625001</v>
      </c>
      <c r="G50">
        <f>SQRT(((Mass*g)^3)/(2*PI()*Density*Radius^2))*S2PRP2[[#This Row],[Time]]</f>
        <v>13577.319338170731</v>
      </c>
      <c r="H50">
        <f>S2PRP2[[#This Row],[E_horizon(J)]]+S2PRP2[[#This Row],[E_hover(J)]]</f>
        <v>15347.132240733232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C3D-16EA-429F-9660-1661E66027F2}">
  <dimension ref="A1:O50"/>
  <sheetViews>
    <sheetView topLeftCell="C1"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0.7265625" bestFit="1" customWidth="1"/>
    <col min="4" max="4" width="12.26953125" bestFit="1" customWidth="1"/>
    <col min="5" max="5" width="13.1796875" bestFit="1" customWidth="1"/>
    <col min="6" max="6" width="13.36328125" bestFit="1" customWidth="1"/>
    <col min="7" max="7" width="12" bestFit="1" customWidth="1"/>
    <col min="8" max="8" width="11.8164062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51</v>
      </c>
      <c r="I1" t="s">
        <v>8</v>
      </c>
      <c r="J1" t="s">
        <v>1</v>
      </c>
      <c r="K1" t="s">
        <v>3</v>
      </c>
      <c r="L1" t="s">
        <v>2</v>
      </c>
      <c r="M1" t="s">
        <v>17</v>
      </c>
      <c r="N1" t="s">
        <v>43</v>
      </c>
      <c r="O1" t="s">
        <v>44</v>
      </c>
    </row>
    <row r="2" spans="1:15" x14ac:dyDescent="0.35">
      <c r="A2">
        <v>252.16820000000001</v>
      </c>
      <c r="B2">
        <v>3005</v>
      </c>
      <c r="C2">
        <v>821.52589999999998</v>
      </c>
      <c r="D2">
        <v>1</v>
      </c>
      <c r="E2">
        <f>S2PRP3[[#This Row],[ Distance]]*20</f>
        <v>16430.518</v>
      </c>
      <c r="F2" cm="1">
        <f t="array" ref="F2">E2*Drag_Constant*Area*Density/2</f>
        <v>1991.6868538125</v>
      </c>
      <c r="G2">
        <f>SQRT(((Mass*g)^3)/(2*PI()*Density*Radius^2))*S2PRP3[[#This Row],[Time]]</f>
        <v>19480.645080216334</v>
      </c>
      <c r="H2">
        <f>S2PRP3[[#This Row],[E_horizon(J)]]+S2PRP3[[#This Row],[E_hover(J)]]</f>
        <v>21472.331934028836</v>
      </c>
      <c r="I2">
        <f>AVERAGE(S2PRP3[Time])</f>
        <v>190.27681224489797</v>
      </c>
      <c r="J2">
        <f>AVERAGE(S2PRP3[[ NumMsgSent]])</f>
        <v>2435.9591836734694</v>
      </c>
      <c r="K2">
        <f>AVERAGE(S2PRP3[[ Distance]])</f>
        <v>717.17183877551031</v>
      </c>
      <c r="L2">
        <f>AVERAGE(S2PRP3[[ NodesLost]])</f>
        <v>0.55102040816326525</v>
      </c>
      <c r="M2">
        <f>COUNTIF(S2PRP3[[ NodesLost]],"&gt;0")/COUNT(S2PRP3[[ NodesLost]])</f>
        <v>0.44897959183673469</v>
      </c>
      <c r="N2">
        <f>AVERAGE(S2PRP3[E_horizon(J)])</f>
        <v>1738.6934766313771</v>
      </c>
      <c r="O2">
        <f>AVERAGE(S2PRP3[E_hover(J)])</f>
        <v>14699.375442017741</v>
      </c>
    </row>
    <row r="3" spans="1:15" x14ac:dyDescent="0.35">
      <c r="A3">
        <v>273.5145</v>
      </c>
      <c r="B3">
        <v>3197</v>
      </c>
      <c r="C3">
        <v>913.26570000000004</v>
      </c>
      <c r="D3">
        <v>1</v>
      </c>
      <c r="E3">
        <f>S2PRP3[[#This Row],[ Distance]]*20</f>
        <v>18265.314000000002</v>
      </c>
      <c r="F3" cm="1">
        <f t="array" ref="F3">E3*Drag_Constant*Area*Density/2</f>
        <v>2214.0985314375002</v>
      </c>
      <c r="G3">
        <f>SQRT(((Mass*g)^3)/(2*PI()*Density*Radius^2))*S2PRP3[[#This Row],[Time]]</f>
        <v>21129.701916390844</v>
      </c>
      <c r="H3">
        <f>S2PRP3[[#This Row],[E_horizon(J)]]+S2PRP3[[#This Row],[E_hover(J)]]</f>
        <v>23343.800447828344</v>
      </c>
    </row>
    <row r="4" spans="1:15" x14ac:dyDescent="0.35">
      <c r="A4">
        <v>200.02180000000001</v>
      </c>
      <c r="B4">
        <v>2617</v>
      </c>
      <c r="C4">
        <v>632.11109999999996</v>
      </c>
      <c r="D4">
        <v>1</v>
      </c>
      <c r="E4">
        <f>S2PRP3[[#This Row],[ Distance]]*20</f>
        <v>12642.222</v>
      </c>
      <c r="F4" cm="1">
        <f t="array" ref="F4">E4*Drag_Constant*Area*Density/2</f>
        <v>1532.4743480624998</v>
      </c>
      <c r="G4">
        <f>SQRT(((Mass*g)^3)/(2*PI()*Density*Radius^2))*S2PRP3[[#This Row],[Time]]</f>
        <v>15452.200928213848</v>
      </c>
      <c r="H4">
        <f>S2PRP3[[#This Row],[E_horizon(J)]]+S2PRP3[[#This Row],[E_hover(J)]]</f>
        <v>16984.675276276346</v>
      </c>
    </row>
    <row r="5" spans="1:15" x14ac:dyDescent="0.35">
      <c r="A5">
        <v>264.27409999999998</v>
      </c>
      <c r="B5">
        <v>3097</v>
      </c>
      <c r="C5">
        <v>910.64290000000005</v>
      </c>
      <c r="D5">
        <v>1</v>
      </c>
      <c r="E5">
        <f>S2PRP3[[#This Row],[ Distance]]*20</f>
        <v>18212.858</v>
      </c>
      <c r="F5" cm="1">
        <f t="array" ref="F5">E5*Drag_Constant*Area*Density/2</f>
        <v>2207.7398806874999</v>
      </c>
      <c r="G5">
        <f>SQRT(((Mass*g)^3)/(2*PI()*Density*Radius^2))*S2PRP3[[#This Row],[Time]]</f>
        <v>20415.857138186333</v>
      </c>
      <c r="H5">
        <f>S2PRP3[[#This Row],[E_horizon(J)]]+S2PRP3[[#This Row],[E_hover(J)]]</f>
        <v>22623.597018873832</v>
      </c>
    </row>
    <row r="6" spans="1:15" x14ac:dyDescent="0.35">
      <c r="A6">
        <v>247.35570000000001</v>
      </c>
      <c r="B6">
        <v>2906</v>
      </c>
      <c r="C6">
        <v>805.24620000000004</v>
      </c>
      <c r="D6">
        <v>1</v>
      </c>
      <c r="E6">
        <f>S2PRP3[[#This Row],[ Distance]]*20</f>
        <v>16104.924000000001</v>
      </c>
      <c r="F6" cm="1">
        <f t="array" ref="F6">E6*Drag_Constant*Area*Density/2</f>
        <v>1952.218756125</v>
      </c>
      <c r="G6">
        <f>SQRT(((Mass*g)^3)/(2*PI()*Density*Radius^2))*S2PRP3[[#This Row],[Time]]</f>
        <v>19108.867019189838</v>
      </c>
      <c r="H6">
        <f>S2PRP3[[#This Row],[E_horizon(J)]]+S2PRP3[[#This Row],[E_hover(J)]]</f>
        <v>21061.085775314838</v>
      </c>
    </row>
    <row r="7" spans="1:15" x14ac:dyDescent="0.35">
      <c r="A7">
        <v>270.4196</v>
      </c>
      <c r="B7">
        <v>3161</v>
      </c>
      <c r="C7">
        <v>895.78639999999996</v>
      </c>
      <c r="D7">
        <v>1</v>
      </c>
      <c r="E7">
        <f>S2PRP3[[#This Row],[ Distance]]*20</f>
        <v>17915.727999999999</v>
      </c>
      <c r="F7" cm="1">
        <f t="array" ref="F7">E7*Drag_Constant*Area*Density/2</f>
        <v>2171.7221534999994</v>
      </c>
      <c r="G7">
        <f>SQRT(((Mass*g)^3)/(2*PI()*Density*Radius^2))*S2PRP3[[#This Row],[Time]]</f>
        <v>20890.612893830657</v>
      </c>
      <c r="H7">
        <f>S2PRP3[[#This Row],[E_horizon(J)]]+S2PRP3[[#This Row],[E_hover(J)]]</f>
        <v>23062.335047330656</v>
      </c>
    </row>
    <row r="8" spans="1:15" x14ac:dyDescent="0.35">
      <c r="A8">
        <v>220.22800000000001</v>
      </c>
      <c r="B8">
        <v>2798</v>
      </c>
      <c r="C8">
        <v>741.56140000000005</v>
      </c>
      <c r="D8">
        <v>1</v>
      </c>
      <c r="E8">
        <f>S2PRP3[[#This Row],[ Distance]]*20</f>
        <v>14831.228000000001</v>
      </c>
      <c r="F8" cm="1">
        <f t="array" ref="F8">E8*Drag_Constant*Area*Density/2</f>
        <v>1797.822919125</v>
      </c>
      <c r="G8">
        <f>SQRT(((Mass*g)^3)/(2*PI()*Density*Radius^2))*S2PRP3[[#This Row],[Time]]</f>
        <v>17013.182093245232</v>
      </c>
      <c r="H8">
        <f>S2PRP3[[#This Row],[E_horizon(J)]]+S2PRP3[[#This Row],[E_hover(J)]]</f>
        <v>18811.005012370231</v>
      </c>
    </row>
    <row r="9" spans="1:15" x14ac:dyDescent="0.35">
      <c r="A9">
        <v>279.68770000000001</v>
      </c>
      <c r="B9">
        <v>3210</v>
      </c>
      <c r="C9">
        <v>907.27440000000001</v>
      </c>
      <c r="D9">
        <v>1</v>
      </c>
      <c r="E9">
        <f>S2PRP3[[#This Row],[ Distance]]*20</f>
        <v>18145.488000000001</v>
      </c>
      <c r="F9" cm="1">
        <f t="array" ref="F9">E9*Drag_Constant*Area*Density/2</f>
        <v>2199.5733735000003</v>
      </c>
      <c r="G9">
        <f>SQRT(((Mass*g)^3)/(2*PI()*Density*Radius^2))*S2PRP3[[#This Row],[Time]]</f>
        <v>21606.597568615001</v>
      </c>
      <c r="H9">
        <f>S2PRP3[[#This Row],[E_horizon(J)]]+S2PRP3[[#This Row],[E_hover(J)]]</f>
        <v>23806.170942115001</v>
      </c>
    </row>
    <row r="10" spans="1:15" x14ac:dyDescent="0.35">
      <c r="A10">
        <v>278.09300000000002</v>
      </c>
      <c r="B10">
        <v>3130</v>
      </c>
      <c r="C10">
        <v>949.83680000000004</v>
      </c>
      <c r="D10">
        <v>1</v>
      </c>
      <c r="E10">
        <f>S2PRP3[[#This Row],[ Distance]]*20</f>
        <v>18996.736000000001</v>
      </c>
      <c r="F10" cm="1">
        <f t="array" ref="F10">E10*Drag_Constant*Area*Density/2</f>
        <v>2302.7605919999996</v>
      </c>
      <c r="G10">
        <f>SQRT(((Mass*g)^3)/(2*PI()*Density*Radius^2))*S2PRP3[[#This Row],[Time]]</f>
        <v>21483.40287273574</v>
      </c>
      <c r="H10">
        <f>S2PRP3[[#This Row],[E_horizon(J)]]+S2PRP3[[#This Row],[E_hover(J)]]</f>
        <v>23786.163464735739</v>
      </c>
    </row>
    <row r="11" spans="1:15" x14ac:dyDescent="0.35">
      <c r="A11">
        <v>264.75740000000002</v>
      </c>
      <c r="B11">
        <v>3104</v>
      </c>
      <c r="C11">
        <v>874.94889999999998</v>
      </c>
      <c r="D11">
        <v>1</v>
      </c>
      <c r="E11">
        <f>S2PRP3[[#This Row],[ Distance]]*20</f>
        <v>17498.977999999999</v>
      </c>
      <c r="F11" cm="1">
        <f t="array" ref="F11">E11*Drag_Constant*Area*Density/2</f>
        <v>2121.2042394374998</v>
      </c>
      <c r="G11">
        <f>SQRT(((Mass*g)^3)/(2*PI()*Density*Radius^2))*S2PRP3[[#This Row],[Time]]</f>
        <v>20453.193312086409</v>
      </c>
      <c r="H11">
        <f>S2PRP3[[#This Row],[E_horizon(J)]]+S2PRP3[[#This Row],[E_hover(J)]]</f>
        <v>22574.397551523907</v>
      </c>
    </row>
    <row r="12" spans="1:15" x14ac:dyDescent="0.35">
      <c r="A12">
        <v>154.28659999999999</v>
      </c>
      <c r="B12">
        <v>2410</v>
      </c>
      <c r="C12">
        <v>770.00639999999999</v>
      </c>
      <c r="D12">
        <v>0</v>
      </c>
      <c r="E12">
        <f>S2PRP3[[#This Row],[ Distance]]*20</f>
        <v>15400.128000000001</v>
      </c>
      <c r="F12" cm="1">
        <f t="array" ref="F12">E12*Drag_Constant*Area*Density/2</f>
        <v>1866.7842660000001</v>
      </c>
      <c r="G12">
        <f>SQRT(((Mass*g)^3)/(2*PI()*Density*Radius^2))*S2PRP3[[#This Row],[Time]]</f>
        <v>11919.038543453556</v>
      </c>
      <c r="H12">
        <f>S2PRP3[[#This Row],[E_horizon(J)]]+S2PRP3[[#This Row],[E_hover(J)]]</f>
        <v>13785.822809453557</v>
      </c>
    </row>
    <row r="13" spans="1:15" x14ac:dyDescent="0.35">
      <c r="A13">
        <v>183.92</v>
      </c>
      <c r="B13">
        <v>2559</v>
      </c>
      <c r="C13">
        <v>944.66269999999997</v>
      </c>
      <c r="D13">
        <v>0</v>
      </c>
      <c r="E13">
        <f>S2PRP3[[#This Row],[ Distance]]*20</f>
        <v>18893.254000000001</v>
      </c>
      <c r="F13" cm="1">
        <f t="array" ref="F13">E13*Drag_Constant*Area*Density/2</f>
        <v>2290.2166333125001</v>
      </c>
      <c r="G13">
        <f>SQRT(((Mass*g)^3)/(2*PI()*Density*Radius^2))*S2PRP3[[#This Row],[Time]]</f>
        <v>14208.295269401089</v>
      </c>
      <c r="H13">
        <f>S2PRP3[[#This Row],[E_horizon(J)]]+S2PRP3[[#This Row],[E_hover(J)]]</f>
        <v>16498.511902713588</v>
      </c>
    </row>
    <row r="14" spans="1:15" x14ac:dyDescent="0.35">
      <c r="A14">
        <v>158.2869</v>
      </c>
      <c r="B14">
        <v>2365</v>
      </c>
      <c r="C14">
        <v>826.55399999999997</v>
      </c>
      <c r="D14">
        <v>0</v>
      </c>
      <c r="E14">
        <f>S2PRP3[[#This Row],[ Distance]]*20</f>
        <v>16531.079999999998</v>
      </c>
      <c r="F14" cm="1">
        <f t="array" ref="F14">E14*Drag_Constant*Area*Density/2</f>
        <v>2003.8768537499996</v>
      </c>
      <c r="G14">
        <f>SQRT(((Mass*g)^3)/(2*PI()*Density*Radius^2))*S2PRP3[[#This Row],[Time]]</f>
        <v>12228.072055666395</v>
      </c>
      <c r="H14">
        <f>S2PRP3[[#This Row],[E_horizon(J)]]+S2PRP3[[#This Row],[E_hover(J)]]</f>
        <v>14231.948909416395</v>
      </c>
    </row>
    <row r="15" spans="1:15" x14ac:dyDescent="0.35">
      <c r="A15">
        <v>271.3261</v>
      </c>
      <c r="B15">
        <v>3224</v>
      </c>
      <c r="C15">
        <v>900.68320000000006</v>
      </c>
      <c r="D15">
        <v>1</v>
      </c>
      <c r="E15">
        <f>S2PRP3[[#This Row],[ Distance]]*20</f>
        <v>18013.664000000001</v>
      </c>
      <c r="F15" cm="1">
        <f t="array" ref="F15">E15*Drag_Constant*Area*Density/2</f>
        <v>2183.5938329999999</v>
      </c>
      <c r="G15">
        <f>SQRT(((Mass*g)^3)/(2*PI()*Density*Radius^2))*S2PRP3[[#This Row],[Time]]</f>
        <v>20960.64236132583</v>
      </c>
      <c r="H15">
        <f>S2PRP3[[#This Row],[E_horizon(J)]]+S2PRP3[[#This Row],[E_hover(J)]]</f>
        <v>23144.236194325829</v>
      </c>
    </row>
    <row r="16" spans="1:15" x14ac:dyDescent="0.35">
      <c r="A16">
        <v>174.8853</v>
      </c>
      <c r="B16">
        <v>2493</v>
      </c>
      <c r="C16">
        <v>904.24659999999994</v>
      </c>
      <c r="D16">
        <v>0</v>
      </c>
      <c r="E16">
        <f>S2PRP3[[#This Row],[ Distance]]*20</f>
        <v>18084.932000000001</v>
      </c>
      <c r="F16" cm="1">
        <f t="array" ref="F16">E16*Drag_Constant*Area*Density/2</f>
        <v>2192.2328508750002</v>
      </c>
      <c r="G16">
        <f>SQRT(((Mass*g)^3)/(2*PI()*Density*Radius^2))*S2PRP3[[#This Row],[Time]]</f>
        <v>13510.341347747881</v>
      </c>
      <c r="H16">
        <f>S2PRP3[[#This Row],[E_horizon(J)]]+S2PRP3[[#This Row],[E_hover(J)]]</f>
        <v>15702.57419862288</v>
      </c>
    </row>
    <row r="17" spans="1:8" x14ac:dyDescent="0.35">
      <c r="A17">
        <v>247.84690000000001</v>
      </c>
      <c r="B17">
        <v>2424</v>
      </c>
      <c r="C17">
        <v>934.28129999999999</v>
      </c>
      <c r="D17">
        <v>0</v>
      </c>
      <c r="E17">
        <f>S2PRP3[[#This Row],[ Distance]]*20</f>
        <v>18685.626</v>
      </c>
      <c r="F17" cm="1">
        <f t="array" ref="F17">E17*Drag_Constant*Area*Density/2</f>
        <v>2265.0482266874997</v>
      </c>
      <c r="G17">
        <f>SQRT(((Mass*g)^3)/(2*PI()*Density*Radius^2))*S2PRP3[[#This Row],[Time]]</f>
        <v>19146.813488504376</v>
      </c>
      <c r="H17">
        <f>S2PRP3[[#This Row],[E_horizon(J)]]+S2PRP3[[#This Row],[E_hover(J)]]</f>
        <v>21411.861715191877</v>
      </c>
    </row>
    <row r="18" spans="1:8" x14ac:dyDescent="0.35">
      <c r="A18">
        <v>126.4526</v>
      </c>
      <c r="B18">
        <v>2028</v>
      </c>
      <c r="C18">
        <v>593.24699999999996</v>
      </c>
      <c r="D18">
        <v>0</v>
      </c>
      <c r="E18">
        <f>S2PRP3[[#This Row],[ Distance]]*20</f>
        <v>11864.939999999999</v>
      </c>
      <c r="F18" cm="1">
        <f t="array" ref="F18">E18*Drag_Constant*Area*Density/2</f>
        <v>1438.2531956249995</v>
      </c>
      <c r="G18">
        <f>SQRT(((Mass*g)^3)/(2*PI()*Density*Radius^2))*S2PRP3[[#This Row],[Time]]</f>
        <v>9768.7901173524806</v>
      </c>
      <c r="H18">
        <f>S2PRP3[[#This Row],[E_horizon(J)]]+S2PRP3[[#This Row],[E_hover(J)]]</f>
        <v>11207.043312977479</v>
      </c>
    </row>
    <row r="19" spans="1:8" x14ac:dyDescent="0.35">
      <c r="A19">
        <v>178.2843</v>
      </c>
      <c r="B19">
        <v>2408</v>
      </c>
      <c r="C19">
        <v>555.47220000000004</v>
      </c>
      <c r="D19">
        <v>1</v>
      </c>
      <c r="E19">
        <f>S2PRP3[[#This Row],[ Distance]]*20</f>
        <v>11109.444000000001</v>
      </c>
      <c r="F19" cm="1">
        <f t="array" ref="F19">E19*Drag_Constant*Area*Density/2</f>
        <v>1346.6729148750001</v>
      </c>
      <c r="G19">
        <f>SQRT(((Mass*g)^3)/(2*PI()*Density*Radius^2))*S2PRP3[[#This Row],[Time]]</f>
        <v>13772.922881135737</v>
      </c>
      <c r="H19">
        <f>S2PRP3[[#This Row],[E_horizon(J)]]+S2PRP3[[#This Row],[E_hover(J)]]</f>
        <v>15119.595796010737</v>
      </c>
    </row>
    <row r="20" spans="1:8" x14ac:dyDescent="0.35">
      <c r="A20">
        <v>139.01910000000001</v>
      </c>
      <c r="B20">
        <v>2155</v>
      </c>
      <c r="C20">
        <v>663.30370000000005</v>
      </c>
      <c r="D20">
        <v>0</v>
      </c>
      <c r="E20">
        <f>S2PRP3[[#This Row],[ Distance]]*20</f>
        <v>13266.074000000001</v>
      </c>
      <c r="F20" cm="1">
        <f t="array" ref="F20">E20*Drag_Constant*Area*Density/2</f>
        <v>1608.0969076874999</v>
      </c>
      <c r="G20">
        <f>SQRT(((Mass*g)^3)/(2*PI()*Density*Radius^2))*S2PRP3[[#This Row],[Time]]</f>
        <v>10739.584715563273</v>
      </c>
      <c r="H20">
        <f>S2PRP3[[#This Row],[E_horizon(J)]]+S2PRP3[[#This Row],[E_hover(J)]]</f>
        <v>12347.681623250774</v>
      </c>
    </row>
    <row r="21" spans="1:8" x14ac:dyDescent="0.35">
      <c r="A21">
        <v>120.6867</v>
      </c>
      <c r="B21">
        <v>1972</v>
      </c>
      <c r="C21">
        <v>593.26859999999999</v>
      </c>
      <c r="D21">
        <v>0</v>
      </c>
      <c r="E21">
        <f>S2PRP3[[#This Row],[ Distance]]*20</f>
        <v>11865.371999999999</v>
      </c>
      <c r="F21" cm="1">
        <f t="array" ref="F21">E21*Drag_Constant*Area*Density/2</f>
        <v>1438.3055621249996</v>
      </c>
      <c r="G21">
        <f>SQRT(((Mass*g)^3)/(2*PI()*Density*Radius^2))*S2PRP3[[#This Row],[Time]]</f>
        <v>9323.3594426360833</v>
      </c>
      <c r="H21">
        <f>S2PRP3[[#This Row],[E_horizon(J)]]+S2PRP3[[#This Row],[E_hover(J)]]</f>
        <v>10761.665004761082</v>
      </c>
    </row>
    <row r="22" spans="1:8" x14ac:dyDescent="0.35">
      <c r="A22">
        <v>320.25490000000002</v>
      </c>
      <c r="B22">
        <v>3485</v>
      </c>
      <c r="C22">
        <v>1047.1559999999999</v>
      </c>
      <c r="D22">
        <v>1</v>
      </c>
      <c r="E22">
        <f>S2PRP3[[#This Row],[ Distance]]*20</f>
        <v>20943.12</v>
      </c>
      <c r="F22" cm="1">
        <f t="array" ref="F22">E22*Drag_Constant*Area*Density/2</f>
        <v>2538.6988274999999</v>
      </c>
      <c r="G22">
        <f>SQRT(((Mass*g)^3)/(2*PI()*Density*Radius^2))*S2PRP3[[#This Row],[Time]]</f>
        <v>24740.518598697909</v>
      </c>
      <c r="H22">
        <f>S2PRP3[[#This Row],[E_horizon(J)]]+S2PRP3[[#This Row],[E_hover(J)]]</f>
        <v>27279.217426197909</v>
      </c>
    </row>
    <row r="23" spans="1:8" x14ac:dyDescent="0.35">
      <c r="A23">
        <v>218.12029999999999</v>
      </c>
      <c r="B23">
        <v>2724</v>
      </c>
      <c r="C23">
        <v>715.76139999999998</v>
      </c>
      <c r="D23">
        <v>1</v>
      </c>
      <c r="E23">
        <f>S2PRP3[[#This Row],[ Distance]]*20</f>
        <v>14315.227999999999</v>
      </c>
      <c r="F23" cm="1">
        <f t="array" ref="F23">E23*Drag_Constant*Area*Density/2</f>
        <v>1735.2740441249996</v>
      </c>
      <c r="G23">
        <f>SQRT(((Mass*g)^3)/(2*PI()*Density*Radius^2))*S2PRP3[[#This Row],[Time]]</f>
        <v>16850.356821717847</v>
      </c>
      <c r="H23">
        <f>S2PRP3[[#This Row],[E_horizon(J)]]+S2PRP3[[#This Row],[E_hover(J)]]</f>
        <v>18585.630865842846</v>
      </c>
    </row>
    <row r="24" spans="1:8" x14ac:dyDescent="0.35">
      <c r="A24">
        <v>190.52539999999999</v>
      </c>
      <c r="B24">
        <v>2416</v>
      </c>
      <c r="C24">
        <v>782.94259999999997</v>
      </c>
      <c r="D24">
        <v>1</v>
      </c>
      <c r="E24">
        <f>S2PRP3[[#This Row],[ Distance]]*20</f>
        <v>15658.851999999999</v>
      </c>
      <c r="F24" cm="1">
        <f t="array" ref="F24">E24*Drag_Constant*Area*Density/2</f>
        <v>1898.1464658749999</v>
      </c>
      <c r="G24">
        <f>SQRT(((Mass*g)^3)/(2*PI()*Density*Radius^2))*S2PRP3[[#This Row],[Time]]</f>
        <v>14718.579488477328</v>
      </c>
      <c r="H24">
        <f>S2PRP3[[#This Row],[E_horizon(J)]]+S2PRP3[[#This Row],[E_hover(J)]]</f>
        <v>16616.725954352329</v>
      </c>
    </row>
    <row r="25" spans="1:8" x14ac:dyDescent="0.35">
      <c r="A25">
        <v>123.39709999999999</v>
      </c>
      <c r="B25">
        <v>1981</v>
      </c>
      <c r="C25">
        <v>639.51679999999999</v>
      </c>
      <c r="D25">
        <v>0</v>
      </c>
      <c r="E25">
        <f>S2PRP3[[#This Row],[ Distance]]*20</f>
        <v>12790.335999999999</v>
      </c>
      <c r="F25" cm="1">
        <f t="array" ref="F25">E25*Drag_Constant*Area*Density/2</f>
        <v>1550.4285419999999</v>
      </c>
      <c r="G25">
        <f>SQRT(((Mass*g)^3)/(2*PI()*Density*Radius^2))*S2PRP3[[#This Row],[Time]]</f>
        <v>9532.7448466062033</v>
      </c>
      <c r="H25">
        <f>S2PRP3[[#This Row],[E_horizon(J)]]+S2PRP3[[#This Row],[E_hover(J)]]</f>
        <v>11083.173388606203</v>
      </c>
    </row>
    <row r="26" spans="1:8" x14ac:dyDescent="0.35">
      <c r="A26">
        <v>119.4211</v>
      </c>
      <c r="B26">
        <v>1939</v>
      </c>
      <c r="C26">
        <v>619.87379999999996</v>
      </c>
      <c r="D26">
        <v>0</v>
      </c>
      <c r="E26">
        <f>S2PRP3[[#This Row],[ Distance]]*20</f>
        <v>12397.475999999999</v>
      </c>
      <c r="F26" cm="1">
        <f t="array" ref="F26">E26*Drag_Constant*Area*Density/2</f>
        <v>1502.806543875</v>
      </c>
      <c r="G26">
        <f>SQRT(((Mass*g)^3)/(2*PI()*Density*Radius^2))*S2PRP3[[#This Row],[Time]]</f>
        <v>9225.5885721872255</v>
      </c>
      <c r="H26">
        <f>S2PRP3[[#This Row],[E_horizon(J)]]+S2PRP3[[#This Row],[E_hover(J)]]</f>
        <v>10728.395116062225</v>
      </c>
    </row>
    <row r="27" spans="1:8" x14ac:dyDescent="0.35">
      <c r="A27">
        <v>123.15300000000001</v>
      </c>
      <c r="B27">
        <v>1981</v>
      </c>
      <c r="C27">
        <v>638.40729999999996</v>
      </c>
      <c r="D27">
        <v>0</v>
      </c>
      <c r="E27">
        <f>S2PRP3[[#This Row],[ Distance]]*20</f>
        <v>12768.145999999999</v>
      </c>
      <c r="F27" cm="1">
        <f t="array" ref="F27">E27*Drag_Constant*Area*Density/2</f>
        <v>1547.7386979374996</v>
      </c>
      <c r="G27">
        <f>SQRT(((Mass*g)^3)/(2*PI()*Density*Radius^2))*S2PRP3[[#This Row],[Time]]</f>
        <v>9513.8874908251</v>
      </c>
      <c r="H27">
        <f>S2PRP3[[#This Row],[E_horizon(J)]]+S2PRP3[[#This Row],[E_hover(J)]]</f>
        <v>11061.626188762599</v>
      </c>
    </row>
    <row r="28" spans="1:8" x14ac:dyDescent="0.35">
      <c r="A28">
        <v>122.8391</v>
      </c>
      <c r="B28">
        <v>1981</v>
      </c>
      <c r="C28">
        <v>639.69889999999998</v>
      </c>
      <c r="D28">
        <v>0</v>
      </c>
      <c r="E28">
        <f>S2PRP3[[#This Row],[ Distance]]*20</f>
        <v>12793.977999999999</v>
      </c>
      <c r="F28" cm="1">
        <f t="array" ref="F28">E28*Drag_Constant*Area*Density/2</f>
        <v>1550.8700206874996</v>
      </c>
      <c r="G28">
        <f>SQRT(((Mass*g)^3)/(2*PI()*Density*Radius^2))*S2PRP3[[#This Row],[Time]]</f>
        <v>9489.6379046731581</v>
      </c>
      <c r="H28">
        <f>S2PRP3[[#This Row],[E_horizon(J)]]+S2PRP3[[#This Row],[E_hover(J)]]</f>
        <v>11040.507925360658</v>
      </c>
    </row>
    <row r="29" spans="1:8" x14ac:dyDescent="0.35">
      <c r="A29">
        <v>134.6242</v>
      </c>
      <c r="B29">
        <v>2173</v>
      </c>
      <c r="C29">
        <v>673.70719999999994</v>
      </c>
      <c r="D29">
        <v>0</v>
      </c>
      <c r="E29">
        <f>S2PRP3[[#This Row],[ Distance]]*20</f>
        <v>13474.143999999998</v>
      </c>
      <c r="F29" cm="1">
        <f t="array" ref="F29">E29*Drag_Constant*Area*Density/2</f>
        <v>1633.3188929999997</v>
      </c>
      <c r="G29">
        <f>SQRT(((Mass*g)^3)/(2*PI()*Density*Radius^2))*S2PRP3[[#This Row],[Time]]</f>
        <v>10400.067333660863</v>
      </c>
      <c r="H29">
        <f>S2PRP3[[#This Row],[E_horizon(J)]]+S2PRP3[[#This Row],[E_hover(J)]]</f>
        <v>12033.386226660863</v>
      </c>
    </row>
    <row r="30" spans="1:8" x14ac:dyDescent="0.35">
      <c r="A30">
        <v>227.77500000000001</v>
      </c>
      <c r="B30">
        <v>2679</v>
      </c>
      <c r="C30">
        <v>780.08370000000002</v>
      </c>
      <c r="D30">
        <v>1</v>
      </c>
      <c r="E30">
        <f>S2PRP3[[#This Row],[ Distance]]*20</f>
        <v>15601.674000000001</v>
      </c>
      <c r="F30" cm="1">
        <f t="array" ref="F30">E30*Drag_Constant*Area*Density/2</f>
        <v>1891.2154201875001</v>
      </c>
      <c r="G30">
        <f>SQRT(((Mass*g)^3)/(2*PI()*Density*Radius^2))*S2PRP3[[#This Row],[Time]]</f>
        <v>17596.207345518884</v>
      </c>
      <c r="H30">
        <f>S2PRP3[[#This Row],[E_horizon(J)]]+S2PRP3[[#This Row],[E_hover(J)]]</f>
        <v>19487.422765706382</v>
      </c>
    </row>
    <row r="31" spans="1:8" x14ac:dyDescent="0.35">
      <c r="A31">
        <v>600.00149999999996</v>
      </c>
      <c r="B31">
        <v>1819</v>
      </c>
      <c r="C31">
        <v>184.12610000000001</v>
      </c>
      <c r="D31">
        <v>6</v>
      </c>
      <c r="E31">
        <f>S2PRP3[[#This Row],[ Distance]]*20</f>
        <v>3682.5219999999999</v>
      </c>
      <c r="F31" cm="1">
        <f t="array" ref="F31">E31*Drag_Constant*Area*Density/2</f>
        <v>446.39071368749995</v>
      </c>
      <c r="G31">
        <f>SQRT(((Mass*g)^3)/(2*PI()*Density*Radius^2))*S2PRP3[[#This Row],[Time]]</f>
        <v>46351.666344516947</v>
      </c>
      <c r="H31">
        <f>S2PRP3[[#This Row],[E_horizon(J)]]+S2PRP3[[#This Row],[E_hover(J)]]</f>
        <v>46798.057058204446</v>
      </c>
    </row>
    <row r="32" spans="1:8" x14ac:dyDescent="0.35">
      <c r="A32">
        <v>122.8561</v>
      </c>
      <c r="B32">
        <v>1957</v>
      </c>
      <c r="C32">
        <v>639.21249999999998</v>
      </c>
      <c r="D32">
        <v>0</v>
      </c>
      <c r="E32">
        <f>S2PRP3[[#This Row],[ Distance]]*20</f>
        <v>12784.25</v>
      </c>
      <c r="F32" cm="1">
        <f t="array" ref="F32">E32*Drag_Constant*Area*Density/2</f>
        <v>1549.6908046874998</v>
      </c>
      <c r="G32">
        <f>SQRT(((Mass*g)^3)/(2*PI()*Density*Radius^2))*S2PRP3[[#This Row],[Time]]</f>
        <v>9490.9511986030175</v>
      </c>
      <c r="H32">
        <f>S2PRP3[[#This Row],[E_horizon(J)]]+S2PRP3[[#This Row],[E_hover(J)]]</f>
        <v>11040.642003290517</v>
      </c>
    </row>
    <row r="33" spans="1:8" x14ac:dyDescent="0.35">
      <c r="A33">
        <v>122.96980000000001</v>
      </c>
      <c r="B33">
        <v>1981</v>
      </c>
      <c r="C33">
        <v>636.7808</v>
      </c>
      <c r="D33">
        <v>0</v>
      </c>
      <c r="E33">
        <f>S2PRP3[[#This Row],[ Distance]]*20</f>
        <v>12735.616</v>
      </c>
      <c r="F33" cm="1">
        <f t="array" ref="F33">E33*Drag_Constant*Area*Density/2</f>
        <v>1543.7954519999998</v>
      </c>
      <c r="G33">
        <f>SQRT(((Mass*g)^3)/(2*PI()*Density*Radius^2))*S2PRP3[[#This Row],[Time]]</f>
        <v>9499.734817416258</v>
      </c>
      <c r="H33">
        <f>S2PRP3[[#This Row],[E_horizon(J)]]+S2PRP3[[#This Row],[E_hover(J)]]</f>
        <v>11043.530269416258</v>
      </c>
    </row>
    <row r="34" spans="1:8" x14ac:dyDescent="0.35">
      <c r="A34">
        <v>205.994</v>
      </c>
      <c r="B34">
        <v>2620</v>
      </c>
      <c r="C34">
        <v>623.96820000000002</v>
      </c>
      <c r="D34">
        <v>1</v>
      </c>
      <c r="E34">
        <f>S2PRP3[[#This Row],[ Distance]]*20</f>
        <v>12479.364000000001</v>
      </c>
      <c r="F34" cm="1">
        <f t="array" ref="F34">E34*Drag_Constant*Area*Density/2</f>
        <v>1512.732904875</v>
      </c>
      <c r="G34">
        <f>SQRT(((Mass*g)^3)/(2*PI()*Density*Radius^2))*S2PRP3[[#This Row],[Time]]</f>
        <v>15913.568811032013</v>
      </c>
      <c r="H34">
        <f>S2PRP3[[#This Row],[E_horizon(J)]]+S2PRP3[[#This Row],[E_hover(J)]]</f>
        <v>17426.301715907015</v>
      </c>
    </row>
    <row r="35" spans="1:8" x14ac:dyDescent="0.35">
      <c r="A35">
        <v>174.88759999999999</v>
      </c>
      <c r="B35">
        <v>2493</v>
      </c>
      <c r="C35">
        <v>821.95590000000004</v>
      </c>
      <c r="D35">
        <v>0</v>
      </c>
      <c r="E35">
        <f>S2PRP3[[#This Row],[ Distance]]*20</f>
        <v>16439.118000000002</v>
      </c>
      <c r="F35" cm="1">
        <f t="array" ref="F35">E35*Drag_Constant*Area*Density/2</f>
        <v>1992.7293350625002</v>
      </c>
      <c r="G35">
        <f>SQRT(((Mass*g)^3)/(2*PI()*Density*Radius^2))*S2PRP3[[#This Row],[Time]]</f>
        <v>13510.519028691333</v>
      </c>
      <c r="H35">
        <f>S2PRP3[[#This Row],[E_horizon(J)]]+S2PRP3[[#This Row],[E_hover(J)]]</f>
        <v>15503.248363753833</v>
      </c>
    </row>
    <row r="36" spans="1:8" x14ac:dyDescent="0.35">
      <c r="A36">
        <v>120.58759999999999</v>
      </c>
      <c r="B36">
        <v>1972</v>
      </c>
      <c r="C36">
        <v>592.77930000000003</v>
      </c>
      <c r="D36">
        <v>0</v>
      </c>
      <c r="E36">
        <f>S2PRP3[[#This Row],[ Distance]]*20</f>
        <v>11855.586000000001</v>
      </c>
      <c r="F36" cm="1">
        <f t="array" ref="F36">E36*Drag_Constant*Area*Density/2</f>
        <v>1437.1193154375001</v>
      </c>
      <c r="G36">
        <f>SQRT(((Mass*g)^3)/(2*PI()*Density*Radius^2))*S2PRP3[[#This Row],[Time]]</f>
        <v>9315.703711550841</v>
      </c>
      <c r="H36">
        <f>S2PRP3[[#This Row],[E_horizon(J)]]+S2PRP3[[#This Row],[E_hover(J)]]</f>
        <v>10752.823026988341</v>
      </c>
    </row>
    <row r="37" spans="1:8" x14ac:dyDescent="0.35">
      <c r="A37">
        <v>127.5535</v>
      </c>
      <c r="B37">
        <v>2025</v>
      </c>
      <c r="C37">
        <v>685.56209999999999</v>
      </c>
      <c r="D37">
        <v>0</v>
      </c>
      <c r="E37">
        <f>S2PRP3[[#This Row],[ Distance]]*20</f>
        <v>13711.242</v>
      </c>
      <c r="F37" cm="1">
        <f t="array" ref="F37">E37*Drag_Constant*Area*Density/2</f>
        <v>1662.0596161875001</v>
      </c>
      <c r="G37">
        <f>SQRT(((Mass*g)^3)/(2*PI()*Density*Radius^2))*S2PRP3[[#This Row],[Time]]</f>
        <v>9853.8374871985197</v>
      </c>
      <c r="H37">
        <f>S2PRP3[[#This Row],[E_horizon(J)]]+S2PRP3[[#This Row],[E_hover(J)]]</f>
        <v>11515.89710338602</v>
      </c>
    </row>
    <row r="38" spans="1:8" x14ac:dyDescent="0.35">
      <c r="A38">
        <v>133.95400000000001</v>
      </c>
      <c r="B38">
        <v>2101</v>
      </c>
      <c r="C38">
        <v>689.89179999999999</v>
      </c>
      <c r="D38">
        <v>0</v>
      </c>
      <c r="E38">
        <f>S2PRP3[[#This Row],[ Distance]]*20</f>
        <v>13797.835999999999</v>
      </c>
      <c r="F38" cm="1">
        <f t="array" ref="F38">E38*Drag_Constant*Area*Density/2</f>
        <v>1672.5564326250001</v>
      </c>
      <c r="G38">
        <f>SQRT(((Mass*g)^3)/(2*PI()*Density*Radius^2))*S2PRP3[[#This Row],[Time]]</f>
        <v>10348.292651790744</v>
      </c>
      <c r="H38">
        <f>S2PRP3[[#This Row],[E_horizon(J)]]+S2PRP3[[#This Row],[E_hover(J)]]</f>
        <v>12020.849084415744</v>
      </c>
    </row>
    <row r="39" spans="1:8" x14ac:dyDescent="0.35">
      <c r="A39">
        <v>203.1437</v>
      </c>
      <c r="B39">
        <v>2636</v>
      </c>
      <c r="C39">
        <v>613.08510000000001</v>
      </c>
      <c r="D39">
        <v>1</v>
      </c>
      <c r="E39">
        <f>S2PRP3[[#This Row],[ Distance]]*20</f>
        <v>12261.702000000001</v>
      </c>
      <c r="F39" cm="1">
        <f t="array" ref="F39">E39*Drag_Constant*Area*Density/2</f>
        <v>1486.3481893124999</v>
      </c>
      <c r="G39">
        <f>SQRT(((Mass*g)^3)/(2*PI()*Density*Radius^2))*S2PRP3[[#This Row],[Time]]</f>
        <v>15693.375770544986</v>
      </c>
      <c r="H39">
        <f>S2PRP3[[#This Row],[E_horizon(J)]]+S2PRP3[[#This Row],[E_hover(J)]]</f>
        <v>17179.723959857485</v>
      </c>
    </row>
    <row r="40" spans="1:8" x14ac:dyDescent="0.35">
      <c r="A40">
        <v>186.94499999999999</v>
      </c>
      <c r="B40">
        <v>2458</v>
      </c>
      <c r="C40">
        <v>570.74260000000004</v>
      </c>
      <c r="D40">
        <v>1</v>
      </c>
      <c r="E40">
        <f>S2PRP3[[#This Row],[ Distance]]*20</f>
        <v>11414.852000000001</v>
      </c>
      <c r="F40" cm="1">
        <f t="array" ref="F40">E40*Drag_Constant*Area*Density/2</f>
        <v>1383.694090875</v>
      </c>
      <c r="G40">
        <f>SQRT(((Mass*g)^3)/(2*PI()*Density*Radius^2))*S2PRP3[[#This Row],[Time]]</f>
        <v>14441.984336332027</v>
      </c>
      <c r="H40">
        <f>S2PRP3[[#This Row],[E_horizon(J)]]+S2PRP3[[#This Row],[E_hover(J)]]</f>
        <v>15825.678427207027</v>
      </c>
    </row>
    <row r="41" spans="1:8" x14ac:dyDescent="0.35">
      <c r="A41">
        <v>120.6482</v>
      </c>
      <c r="B41">
        <v>1972</v>
      </c>
      <c r="C41">
        <v>591.3954</v>
      </c>
      <c r="D41">
        <v>0</v>
      </c>
      <c r="E41">
        <f>S2PRP3[[#This Row],[ Distance]]*20</f>
        <v>11827.907999999999</v>
      </c>
      <c r="F41" cm="1">
        <f t="array" ref="F41">E41*Drag_Constant*Area*Density/2</f>
        <v>1433.7642228750001</v>
      </c>
      <c r="G41">
        <f>SQRT(((Mass*g)^3)/(2*PI()*Density*Radius^2))*S2PRP3[[#This Row],[Time]]</f>
        <v>9320.3852181478724</v>
      </c>
      <c r="H41">
        <f>S2PRP3[[#This Row],[E_horizon(J)]]+S2PRP3[[#This Row],[E_hover(J)]]</f>
        <v>10754.149441022873</v>
      </c>
    </row>
    <row r="42" spans="1:8" x14ac:dyDescent="0.35">
      <c r="A42">
        <v>123.31959999999999</v>
      </c>
      <c r="B42">
        <v>1981</v>
      </c>
      <c r="C42">
        <v>640.15200000000004</v>
      </c>
      <c r="D42">
        <v>0</v>
      </c>
      <c r="E42">
        <f>S2PRP3[[#This Row],[ Distance]]*20</f>
        <v>12803.04</v>
      </c>
      <c r="F42" cm="1">
        <f t="array" ref="F42">E42*Drag_Constant*Area*Density/2</f>
        <v>1551.9685050000001</v>
      </c>
      <c r="G42">
        <f>SQRT(((Mass*g)^3)/(2*PI()*Density*Radius^2))*S2PRP3[[#This Row],[Time]]</f>
        <v>9526.757771337725</v>
      </c>
      <c r="H42">
        <f>S2PRP3[[#This Row],[E_horizon(J)]]+S2PRP3[[#This Row],[E_hover(J)]]</f>
        <v>11078.726276337726</v>
      </c>
    </row>
    <row r="43" spans="1:8" x14ac:dyDescent="0.35">
      <c r="A43">
        <v>120.7184</v>
      </c>
      <c r="B43">
        <v>1972</v>
      </c>
      <c r="C43">
        <v>591.45209999999997</v>
      </c>
      <c r="D43">
        <v>0</v>
      </c>
      <c r="E43">
        <f>S2PRP3[[#This Row],[ Distance]]*20</f>
        <v>11829.041999999999</v>
      </c>
      <c r="F43" cm="1">
        <f t="array" ref="F43">E43*Drag_Constant*Area*Density/2</f>
        <v>1433.9016849374998</v>
      </c>
      <c r="G43">
        <f>SQRT(((Mass*g)^3)/(2*PI()*Density*Radius^2))*S2PRP3[[#This Row],[Time]]</f>
        <v>9325.8083495523515</v>
      </c>
      <c r="H43">
        <f>S2PRP3[[#This Row],[E_horizon(J)]]+S2PRP3[[#This Row],[E_hover(J)]]</f>
        <v>10759.710034489852</v>
      </c>
    </row>
    <row r="44" spans="1:8" x14ac:dyDescent="0.35">
      <c r="A44">
        <v>171.35830000000001</v>
      </c>
      <c r="B44">
        <v>2569</v>
      </c>
      <c r="C44">
        <v>806.2672</v>
      </c>
      <c r="D44">
        <v>0</v>
      </c>
      <c r="E44">
        <f>S2PRP3[[#This Row],[ Distance]]*20</f>
        <v>16125.344000000001</v>
      </c>
      <c r="F44" cm="1">
        <f t="array" ref="F44">E44*Drag_Constant*Area*Density/2</f>
        <v>1954.6940430000002</v>
      </c>
      <c r="G44">
        <f>SQRT(((Mass*g)^3)/(2*PI()*Density*Radius^2))*S2PRP3[[#This Row],[Time]]</f>
        <v>13237.871483594025</v>
      </c>
      <c r="H44">
        <f>S2PRP3[[#This Row],[E_horizon(J)]]+S2PRP3[[#This Row],[E_hover(J)]]</f>
        <v>15192.565526594024</v>
      </c>
    </row>
    <row r="45" spans="1:8" x14ac:dyDescent="0.35">
      <c r="A45">
        <v>122.8527</v>
      </c>
      <c r="B45">
        <v>1966</v>
      </c>
      <c r="C45">
        <v>642.36389999999994</v>
      </c>
      <c r="D45">
        <v>0</v>
      </c>
      <c r="E45">
        <f>S2PRP3[[#This Row],[ Distance]]*20</f>
        <v>12847.277999999998</v>
      </c>
      <c r="F45" cm="1">
        <f t="array" ref="F45">E45*Drag_Constant*Area*Density/2</f>
        <v>1557.3309800624997</v>
      </c>
      <c r="G45">
        <f>SQRT(((Mass*g)^3)/(2*PI()*Density*Radius^2))*S2PRP3[[#This Row],[Time]]</f>
        <v>9490.6885398170471</v>
      </c>
      <c r="H45">
        <f>S2PRP3[[#This Row],[E_horizon(J)]]+S2PRP3[[#This Row],[E_hover(J)]]</f>
        <v>11048.019519879546</v>
      </c>
    </row>
    <row r="46" spans="1:8" x14ac:dyDescent="0.35">
      <c r="A46">
        <v>119.723</v>
      </c>
      <c r="B46">
        <v>1972</v>
      </c>
      <c r="C46">
        <v>645.00980000000004</v>
      </c>
      <c r="D46">
        <v>0</v>
      </c>
      <c r="E46">
        <f>S2PRP3[[#This Row],[ Distance]]*20</f>
        <v>12900.196</v>
      </c>
      <c r="F46" cm="1">
        <f t="array" ref="F46">E46*Drag_Constant*Area*Density/2</f>
        <v>1563.7456338750001</v>
      </c>
      <c r="G46">
        <f>SQRT(((Mass*g)^3)/(2*PI()*Density*Radius^2))*S2PRP3[[#This Row],[Time]]</f>
        <v>9248.9111273298531</v>
      </c>
      <c r="H46">
        <f>S2PRP3[[#This Row],[E_horizon(J)]]+S2PRP3[[#This Row],[E_hover(J)]]</f>
        <v>10812.656761204853</v>
      </c>
    </row>
    <row r="47" spans="1:8" x14ac:dyDescent="0.35">
      <c r="A47">
        <v>133.62299999999999</v>
      </c>
      <c r="B47">
        <v>2080</v>
      </c>
      <c r="C47">
        <v>656.22940000000006</v>
      </c>
      <c r="D47">
        <v>0</v>
      </c>
      <c r="E47">
        <f>S2PRP3[[#This Row],[ Distance]]*20</f>
        <v>13124.588000000002</v>
      </c>
      <c r="F47" cm="1">
        <f t="array" ref="F47">E47*Drag_Constant*Area*Density/2</f>
        <v>1590.9461516250001</v>
      </c>
      <c r="G47">
        <f>SQRT(((Mass*g)^3)/(2*PI()*Density*Radius^2))*S2PRP3[[#This Row],[Time]]</f>
        <v>10322.72204645053</v>
      </c>
      <c r="H47">
        <f>S2PRP3[[#This Row],[E_horizon(J)]]+S2PRP3[[#This Row],[E_hover(J)]]</f>
        <v>11913.668198075529</v>
      </c>
    </row>
    <row r="48" spans="1:8" x14ac:dyDescent="0.35">
      <c r="A48">
        <v>211.80340000000001</v>
      </c>
      <c r="B48">
        <v>2635</v>
      </c>
      <c r="C48">
        <v>610.024</v>
      </c>
      <c r="D48">
        <v>1</v>
      </c>
      <c r="E48">
        <f>S2PRP3[[#This Row],[ Distance]]*20</f>
        <v>12200.48</v>
      </c>
      <c r="F48" cm="1">
        <f t="array" ref="F48">E48*Drag_Constant*Area*Density/2</f>
        <v>1478.926935</v>
      </c>
      <c r="G48">
        <f>SQRT(((Mass*g)^3)/(2*PI()*Density*Radius^2))*S2PRP3[[#This Row],[Time]]</f>
        <v>16362.35997315717</v>
      </c>
      <c r="H48">
        <f>S2PRP3[[#This Row],[E_horizon(J)]]+S2PRP3[[#This Row],[E_hover(J)]]</f>
        <v>17841.28690815717</v>
      </c>
    </row>
    <row r="49" spans="1:8" x14ac:dyDescent="0.35">
      <c r="A49">
        <v>134.14830000000001</v>
      </c>
      <c r="B49">
        <v>2095</v>
      </c>
      <c r="C49">
        <v>687.11490000000003</v>
      </c>
      <c r="D49">
        <v>0</v>
      </c>
      <c r="E49">
        <f>S2PRP3[[#This Row],[ Distance]]*20</f>
        <v>13742.298000000001</v>
      </c>
      <c r="F49" cm="1">
        <f t="array" ref="F49">E49*Drag_Constant*Area*Density/2</f>
        <v>1665.8241856874999</v>
      </c>
      <c r="G49">
        <f>SQRT(((Mass*g)^3)/(2*PI()*Density*Radius^2))*S2PRP3[[#This Row],[Time]]</f>
        <v>10363.302828883201</v>
      </c>
      <c r="H49">
        <f>S2PRP3[[#This Row],[E_horizon(J)]]+S2PRP3[[#This Row],[E_hover(J)]]</f>
        <v>12029.1270145707</v>
      </c>
    </row>
    <row r="50" spans="1:8" x14ac:dyDescent="0.35">
      <c r="A50">
        <v>180.85149999999999</v>
      </c>
      <c r="B50">
        <v>2436</v>
      </c>
      <c r="C50">
        <v>538.23389999999995</v>
      </c>
      <c r="D50">
        <v>1</v>
      </c>
      <c r="E50">
        <f>S2PRP3[[#This Row],[ Distance]]*20</f>
        <v>10764.678</v>
      </c>
      <c r="F50" cm="1">
        <f t="array" ref="F50">E50*Drag_Constant*Area*Density/2</f>
        <v>1304.8808113124999</v>
      </c>
      <c r="G50">
        <f>SQRT(((Mass*g)^3)/(2*PI()*Density*Radius^2))*S2PRP3[[#This Row],[Time]]</f>
        <v>13971.24571506139</v>
      </c>
      <c r="H50">
        <f>S2PRP3[[#This Row],[E_horizon(J)]]+S2PRP3[[#This Row],[E_hover(J)]]</f>
        <v>15276.12652637389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9D3D-027C-4C0D-87B5-0C6223FAFC32}">
  <dimension ref="A1:D51"/>
  <sheetViews>
    <sheetView topLeftCell="F1" workbookViewId="0">
      <selection activeCell="P21" sqref="P21"/>
    </sheetView>
  </sheetViews>
  <sheetFormatPr defaultRowHeight="14.5" x14ac:dyDescent="0.35"/>
  <sheetData>
    <row r="1" spans="1:4" x14ac:dyDescent="0.35">
      <c r="A1" t="s">
        <v>53</v>
      </c>
      <c r="B1" t="s">
        <v>9</v>
      </c>
      <c r="C1" t="s">
        <v>10</v>
      </c>
      <c r="D1" t="s">
        <v>11</v>
      </c>
    </row>
    <row r="2" spans="1:4" x14ac:dyDescent="0.35">
      <c r="A2">
        <v>1</v>
      </c>
      <c r="B2" cm="1">
        <f t="array" ref="B2:B51">_xlfn._xlws.SORT(S2PRP1[Time])</f>
        <v>120.6048</v>
      </c>
      <c r="C2" cm="1">
        <f t="array" ref="C2:C50">_xlfn._xlws.SORT(S2PRP2[Time])</f>
        <v>119.2533</v>
      </c>
      <c r="D2" cm="1">
        <f t="array" ref="D2:D50">_xlfn._xlws.SORT(S2PRP3[Time])</f>
        <v>119.4211</v>
      </c>
    </row>
    <row r="3" spans="1:4" x14ac:dyDescent="0.35">
      <c r="A3">
        <v>2</v>
      </c>
      <c r="B3">
        <v>120.61969999999999</v>
      </c>
      <c r="C3">
        <v>120.28740000000001</v>
      </c>
      <c r="D3">
        <v>119.723</v>
      </c>
    </row>
    <row r="4" spans="1:4" x14ac:dyDescent="0.35">
      <c r="A4">
        <v>3</v>
      </c>
      <c r="B4">
        <v>120.65479999999999</v>
      </c>
      <c r="C4">
        <v>120.5575</v>
      </c>
      <c r="D4">
        <v>120.58759999999999</v>
      </c>
    </row>
    <row r="5" spans="1:4" x14ac:dyDescent="0.35">
      <c r="A5">
        <v>4</v>
      </c>
      <c r="B5">
        <v>120.6574</v>
      </c>
      <c r="C5">
        <v>120.72069999999999</v>
      </c>
      <c r="D5">
        <v>120.6482</v>
      </c>
    </row>
    <row r="6" spans="1:4" x14ac:dyDescent="0.35">
      <c r="A6">
        <v>5</v>
      </c>
      <c r="B6">
        <v>120.667</v>
      </c>
      <c r="C6">
        <v>120.7902</v>
      </c>
      <c r="D6">
        <v>120.6867</v>
      </c>
    </row>
    <row r="7" spans="1:4" x14ac:dyDescent="0.35">
      <c r="A7">
        <v>6</v>
      </c>
      <c r="B7">
        <v>120.6879</v>
      </c>
      <c r="C7">
        <v>120.92230000000001</v>
      </c>
      <c r="D7">
        <v>120.7184</v>
      </c>
    </row>
    <row r="8" spans="1:4" x14ac:dyDescent="0.35">
      <c r="A8">
        <v>7</v>
      </c>
      <c r="B8">
        <v>120.77589999999999</v>
      </c>
      <c r="C8">
        <v>122.8186</v>
      </c>
      <c r="D8">
        <v>122.8391</v>
      </c>
    </row>
    <row r="9" spans="1:4" x14ac:dyDescent="0.35">
      <c r="A9">
        <v>8</v>
      </c>
      <c r="B9">
        <v>123.1537</v>
      </c>
      <c r="C9">
        <v>122.9209</v>
      </c>
      <c r="D9">
        <v>122.8527</v>
      </c>
    </row>
    <row r="10" spans="1:4" x14ac:dyDescent="0.35">
      <c r="A10">
        <v>9</v>
      </c>
      <c r="B10">
        <v>123.1973</v>
      </c>
      <c r="C10">
        <v>123.1909</v>
      </c>
      <c r="D10">
        <v>122.8561</v>
      </c>
    </row>
    <row r="11" spans="1:4" x14ac:dyDescent="0.35">
      <c r="A11">
        <v>10</v>
      </c>
      <c r="B11">
        <v>127.5853</v>
      </c>
      <c r="C11">
        <v>123.36499999999999</v>
      </c>
      <c r="D11">
        <v>122.96980000000001</v>
      </c>
    </row>
    <row r="12" spans="1:4" x14ac:dyDescent="0.35">
      <c r="A12">
        <v>11</v>
      </c>
      <c r="B12">
        <v>130.45400000000001</v>
      </c>
      <c r="C12">
        <v>126.821</v>
      </c>
      <c r="D12">
        <v>123.15300000000001</v>
      </c>
    </row>
    <row r="13" spans="1:4" x14ac:dyDescent="0.35">
      <c r="A13">
        <v>12</v>
      </c>
      <c r="B13">
        <v>131.5214</v>
      </c>
      <c r="C13">
        <v>130.02080000000001</v>
      </c>
      <c r="D13">
        <v>123.31959999999999</v>
      </c>
    </row>
    <row r="14" spans="1:4" x14ac:dyDescent="0.35">
      <c r="A14">
        <v>13</v>
      </c>
      <c r="B14">
        <v>135.81960000000001</v>
      </c>
      <c r="C14">
        <v>130.95529999999999</v>
      </c>
      <c r="D14">
        <v>123.39709999999999</v>
      </c>
    </row>
    <row r="15" spans="1:4" x14ac:dyDescent="0.35">
      <c r="A15">
        <v>14</v>
      </c>
      <c r="B15">
        <v>140.5256</v>
      </c>
      <c r="C15">
        <v>130.98589999999999</v>
      </c>
      <c r="D15">
        <v>126.4526</v>
      </c>
    </row>
    <row r="16" spans="1:4" x14ac:dyDescent="0.35">
      <c r="A16">
        <v>15</v>
      </c>
      <c r="B16">
        <v>143.22659999999999</v>
      </c>
      <c r="C16">
        <v>132.6541</v>
      </c>
      <c r="D16">
        <v>127.5535</v>
      </c>
    </row>
    <row r="17" spans="1:4" x14ac:dyDescent="0.35">
      <c r="A17">
        <v>16</v>
      </c>
      <c r="B17">
        <v>147.66390000000001</v>
      </c>
      <c r="C17">
        <v>132.9691</v>
      </c>
      <c r="D17">
        <v>133.62299999999999</v>
      </c>
    </row>
    <row r="18" spans="1:4" x14ac:dyDescent="0.35">
      <c r="A18">
        <v>17</v>
      </c>
      <c r="B18">
        <v>152.3861</v>
      </c>
      <c r="C18">
        <v>133.71899999999999</v>
      </c>
      <c r="D18">
        <v>133.95400000000001</v>
      </c>
    </row>
    <row r="19" spans="1:4" x14ac:dyDescent="0.35">
      <c r="A19">
        <v>18</v>
      </c>
      <c r="B19">
        <v>172.7576</v>
      </c>
      <c r="C19">
        <v>134.08920000000001</v>
      </c>
      <c r="D19">
        <v>134.14830000000001</v>
      </c>
    </row>
    <row r="20" spans="1:4" x14ac:dyDescent="0.35">
      <c r="A20">
        <v>19</v>
      </c>
      <c r="B20">
        <v>173.9864</v>
      </c>
      <c r="C20">
        <v>142.01939999999999</v>
      </c>
      <c r="D20">
        <v>134.6242</v>
      </c>
    </row>
    <row r="21" spans="1:4" x14ac:dyDescent="0.35">
      <c r="A21">
        <v>20</v>
      </c>
      <c r="B21">
        <v>174.34960000000001</v>
      </c>
      <c r="C21">
        <v>154.31890000000001</v>
      </c>
      <c r="D21">
        <v>139.01910000000001</v>
      </c>
    </row>
    <row r="22" spans="1:4" x14ac:dyDescent="0.35">
      <c r="A22">
        <v>21</v>
      </c>
      <c r="B22">
        <v>184.11879999999999</v>
      </c>
      <c r="C22">
        <v>175.75229999999999</v>
      </c>
      <c r="D22">
        <v>154.28659999999999</v>
      </c>
    </row>
    <row r="23" spans="1:4" x14ac:dyDescent="0.35">
      <c r="A23">
        <v>22</v>
      </c>
      <c r="B23">
        <v>193.0205</v>
      </c>
      <c r="C23">
        <v>178.2593</v>
      </c>
      <c r="D23">
        <v>158.2869</v>
      </c>
    </row>
    <row r="24" spans="1:4" x14ac:dyDescent="0.35">
      <c r="A24">
        <v>23</v>
      </c>
      <c r="B24">
        <v>193.14490000000001</v>
      </c>
      <c r="C24">
        <v>184.38910000000001</v>
      </c>
      <c r="D24">
        <v>171.35830000000001</v>
      </c>
    </row>
    <row r="25" spans="1:4" x14ac:dyDescent="0.35">
      <c r="A25">
        <v>24</v>
      </c>
      <c r="B25">
        <v>196.08170000000001</v>
      </c>
      <c r="C25">
        <v>184.83850000000001</v>
      </c>
      <c r="D25">
        <v>174.8853</v>
      </c>
    </row>
    <row r="26" spans="1:4" x14ac:dyDescent="0.35">
      <c r="A26">
        <v>25</v>
      </c>
      <c r="B26">
        <v>200.9915</v>
      </c>
      <c r="C26">
        <v>189.05969999999999</v>
      </c>
      <c r="D26">
        <v>174.88759999999999</v>
      </c>
    </row>
    <row r="27" spans="1:4" x14ac:dyDescent="0.35">
      <c r="A27">
        <v>26</v>
      </c>
      <c r="B27">
        <v>204.4229</v>
      </c>
      <c r="C27">
        <v>193.03210000000001</v>
      </c>
      <c r="D27">
        <v>178.2843</v>
      </c>
    </row>
    <row r="28" spans="1:4" x14ac:dyDescent="0.35">
      <c r="A28">
        <v>27</v>
      </c>
      <c r="B28">
        <v>207.56790000000001</v>
      </c>
      <c r="C28">
        <v>194.2251</v>
      </c>
      <c r="D28">
        <v>180.85149999999999</v>
      </c>
    </row>
    <row r="29" spans="1:4" x14ac:dyDescent="0.35">
      <c r="A29">
        <v>28</v>
      </c>
      <c r="B29">
        <v>209.1251</v>
      </c>
      <c r="C29">
        <v>197.56800000000001</v>
      </c>
      <c r="D29">
        <v>183.92</v>
      </c>
    </row>
    <row r="30" spans="1:4" x14ac:dyDescent="0.35">
      <c r="A30">
        <v>29</v>
      </c>
      <c r="B30">
        <v>210.9624</v>
      </c>
      <c r="C30">
        <v>218.0564</v>
      </c>
      <c r="D30">
        <v>186.94499999999999</v>
      </c>
    </row>
    <row r="31" spans="1:4" x14ac:dyDescent="0.35">
      <c r="A31">
        <v>30</v>
      </c>
      <c r="B31">
        <v>211.36619999999999</v>
      </c>
      <c r="C31">
        <v>218.88220000000001</v>
      </c>
      <c r="D31">
        <v>190.52539999999999</v>
      </c>
    </row>
    <row r="32" spans="1:4" x14ac:dyDescent="0.35">
      <c r="A32">
        <v>31</v>
      </c>
      <c r="B32">
        <v>252.15299999999999</v>
      </c>
      <c r="C32">
        <v>223.3048</v>
      </c>
      <c r="D32">
        <v>200.02180000000001</v>
      </c>
    </row>
    <row r="33" spans="1:4" x14ac:dyDescent="0.35">
      <c r="A33">
        <v>32</v>
      </c>
      <c r="B33">
        <v>254.26070000000001</v>
      </c>
      <c r="C33">
        <v>233.53270000000001</v>
      </c>
      <c r="D33">
        <v>203.1437</v>
      </c>
    </row>
    <row r="34" spans="1:4" x14ac:dyDescent="0.35">
      <c r="B34">
        <v>256.5027</v>
      </c>
      <c r="C34">
        <v>237.78659999999999</v>
      </c>
      <c r="D34">
        <v>205.994</v>
      </c>
    </row>
    <row r="35" spans="1:4" x14ac:dyDescent="0.35">
      <c r="B35">
        <v>283.78629999999998</v>
      </c>
      <c r="C35">
        <v>238.08779999999999</v>
      </c>
      <c r="D35">
        <v>211.80340000000001</v>
      </c>
    </row>
    <row r="36" spans="1:4" x14ac:dyDescent="0.35">
      <c r="B36">
        <v>296.37790000000001</v>
      </c>
      <c r="C36">
        <v>258.0915</v>
      </c>
      <c r="D36">
        <v>218.12029999999999</v>
      </c>
    </row>
    <row r="37" spans="1:4" x14ac:dyDescent="0.35">
      <c r="B37">
        <v>313.20089999999999</v>
      </c>
      <c r="C37">
        <v>259.25290000000001</v>
      </c>
      <c r="D37">
        <v>220.22800000000001</v>
      </c>
    </row>
    <row r="38" spans="1:4" x14ac:dyDescent="0.35">
      <c r="B38">
        <v>318.1524</v>
      </c>
      <c r="C38">
        <v>272.6429</v>
      </c>
      <c r="D38">
        <v>227.77500000000001</v>
      </c>
    </row>
    <row r="39" spans="1:4" x14ac:dyDescent="0.35">
      <c r="B39">
        <v>321.96539999999999</v>
      </c>
      <c r="C39">
        <v>286.9846</v>
      </c>
      <c r="D39">
        <v>247.35570000000001</v>
      </c>
    </row>
    <row r="40" spans="1:4" x14ac:dyDescent="0.35">
      <c r="B40">
        <v>413.46120000000002</v>
      </c>
      <c r="C40">
        <v>299.75700000000001</v>
      </c>
      <c r="D40">
        <v>247.84690000000001</v>
      </c>
    </row>
    <row r="41" spans="1:4" x14ac:dyDescent="0.35">
      <c r="B41">
        <v>447.66219999999998</v>
      </c>
      <c r="C41">
        <v>321.23939999999999</v>
      </c>
      <c r="D41">
        <v>252.16820000000001</v>
      </c>
    </row>
    <row r="42" spans="1:4" x14ac:dyDescent="0.35">
      <c r="B42">
        <v>530.02350000000001</v>
      </c>
      <c r="C42">
        <v>348.26839999999999</v>
      </c>
      <c r="D42">
        <v>264.27409999999998</v>
      </c>
    </row>
    <row r="43" spans="1:4" x14ac:dyDescent="0.35">
      <c r="B43">
        <v>577.80470000000003</v>
      </c>
      <c r="C43">
        <v>348.93579999999997</v>
      </c>
      <c r="D43">
        <v>264.75740000000002</v>
      </c>
    </row>
    <row r="44" spans="1:4" x14ac:dyDescent="0.35">
      <c r="B44">
        <v>600.00350000000003</v>
      </c>
      <c r="C44">
        <v>350.05520000000001</v>
      </c>
      <c r="D44">
        <v>270.4196</v>
      </c>
    </row>
    <row r="45" spans="1:4" x14ac:dyDescent="0.35">
      <c r="B45">
        <v>600.00459999999998</v>
      </c>
      <c r="C45">
        <v>356.95420000000001</v>
      </c>
      <c r="D45">
        <v>271.3261</v>
      </c>
    </row>
    <row r="46" spans="1:4" x14ac:dyDescent="0.35">
      <c r="B46">
        <v>600.00670000000002</v>
      </c>
      <c r="C46">
        <v>393.26010000000002</v>
      </c>
      <c r="D46">
        <v>273.5145</v>
      </c>
    </row>
    <row r="47" spans="1:4" x14ac:dyDescent="0.35">
      <c r="B47">
        <v>600.01660000000004</v>
      </c>
      <c r="C47">
        <v>397.27929999999998</v>
      </c>
      <c r="D47">
        <v>278.09300000000002</v>
      </c>
    </row>
    <row r="48" spans="1:4" x14ac:dyDescent="0.35">
      <c r="B48">
        <v>600.01949999999999</v>
      </c>
      <c r="C48">
        <v>411.32600000000002</v>
      </c>
      <c r="D48">
        <v>279.68770000000001</v>
      </c>
    </row>
    <row r="49" spans="2:4" x14ac:dyDescent="0.35">
      <c r="B49">
        <v>600.024</v>
      </c>
      <c r="C49">
        <v>430.4194</v>
      </c>
      <c r="D49">
        <v>320.25490000000002</v>
      </c>
    </row>
    <row r="50" spans="2:4" x14ac:dyDescent="0.35">
      <c r="B50">
        <v>600.03150000000005</v>
      </c>
      <c r="C50">
        <v>600.00800000000004</v>
      </c>
      <c r="D50">
        <v>600.00149999999996</v>
      </c>
    </row>
    <row r="51" spans="2:4" x14ac:dyDescent="0.35">
      <c r="B51">
        <v>600.03399999999999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0712-D745-49F3-9176-AC97E0343B81}">
  <dimension ref="A2:F11"/>
  <sheetViews>
    <sheetView workbookViewId="0">
      <selection activeCell="G12" sqref="G12"/>
    </sheetView>
  </sheetViews>
  <sheetFormatPr defaultRowHeight="14.5" x14ac:dyDescent="0.35"/>
  <cols>
    <col min="3" max="3" width="12.54296875" bestFit="1" customWidth="1"/>
    <col min="4" max="4" width="11.81640625" bestFit="1" customWidth="1"/>
  </cols>
  <sheetData>
    <row r="2" spans="1:6" x14ac:dyDescent="0.35">
      <c r="B2" t="s">
        <v>67</v>
      </c>
      <c r="C2" t="s">
        <v>83</v>
      </c>
      <c r="D2" t="s">
        <v>77</v>
      </c>
      <c r="E2" t="s">
        <v>78</v>
      </c>
      <c r="F2" t="s">
        <v>79</v>
      </c>
    </row>
    <row r="3" spans="1:6" x14ac:dyDescent="0.35">
      <c r="A3" t="s">
        <v>68</v>
      </c>
      <c r="B3">
        <f>Scenario0!L26</f>
        <v>68.493149710596015</v>
      </c>
      <c r="C3">
        <f>S0PRP1!L2</f>
        <v>0</v>
      </c>
      <c r="D3">
        <f>S0PRP1!M2</f>
        <v>0</v>
      </c>
      <c r="E3">
        <v>1</v>
      </c>
      <c r="F3">
        <v>0</v>
      </c>
    </row>
    <row r="4" spans="1:6" x14ac:dyDescent="0.35">
      <c r="A4" t="s">
        <v>69</v>
      </c>
      <c r="B4">
        <f>Scenario0!M26</f>
        <v>49.485446070545642</v>
      </c>
      <c r="C4">
        <f>S0PRP2!L2</f>
        <v>0</v>
      </c>
      <c r="D4">
        <f>S0PRP2!M2</f>
        <v>0</v>
      </c>
      <c r="E4">
        <v>2</v>
      </c>
      <c r="F4">
        <v>0</v>
      </c>
    </row>
    <row r="5" spans="1:6" x14ac:dyDescent="0.35">
      <c r="A5" t="s">
        <v>70</v>
      </c>
      <c r="B5">
        <f>Scenario0!N26</f>
        <v>39.224506434285708</v>
      </c>
      <c r="C5">
        <f>S0PRP3!L2</f>
        <v>0</v>
      </c>
      <c r="D5">
        <f>S0PRP3!M2</f>
        <v>0</v>
      </c>
      <c r="E5">
        <v>3</v>
      </c>
      <c r="F5">
        <v>0</v>
      </c>
    </row>
    <row r="6" spans="1:6" x14ac:dyDescent="0.35">
      <c r="A6" t="s">
        <v>71</v>
      </c>
      <c r="B6">
        <f>Scenario1!H26</f>
        <v>506.9012363576644</v>
      </c>
      <c r="C6">
        <f>S1PRP1!L2</f>
        <v>0.27184466019417475</v>
      </c>
      <c r="D6">
        <f>S1PRP1!M2</f>
        <v>0.23300970873786409</v>
      </c>
      <c r="E6">
        <v>1</v>
      </c>
      <c r="F6">
        <v>1</v>
      </c>
    </row>
    <row r="7" spans="1:6" x14ac:dyDescent="0.35">
      <c r="A7" t="s">
        <v>72</v>
      </c>
      <c r="B7">
        <f>Scenario1!I26</f>
        <v>2910.4561210106876</v>
      </c>
      <c r="C7">
        <f>S1PRP2!L2</f>
        <v>2.564102564102564E-2</v>
      </c>
      <c r="D7">
        <f>S1PRP2!M2</f>
        <v>2.564102564102564E-2</v>
      </c>
      <c r="E7">
        <v>2</v>
      </c>
      <c r="F7">
        <v>1</v>
      </c>
    </row>
    <row r="8" spans="1:6" x14ac:dyDescent="0.35">
      <c r="A8" t="s">
        <v>74</v>
      </c>
      <c r="B8">
        <f>Scenario1!J26</f>
        <v>392.75046263074501</v>
      </c>
      <c r="C8">
        <f>S1PRP3!L2</f>
        <v>2.5000000000000001E-2</v>
      </c>
      <c r="D8">
        <f>S1PRP3!M2</f>
        <v>2.5000000000000001E-2</v>
      </c>
      <c r="E8">
        <v>3</v>
      </c>
      <c r="F8">
        <v>1</v>
      </c>
    </row>
    <row r="9" spans="1:6" x14ac:dyDescent="0.35">
      <c r="A9" t="s">
        <v>75</v>
      </c>
      <c r="B9">
        <f>Scenario2!L28</f>
        <v>30128.299476876855</v>
      </c>
      <c r="C9">
        <f>S2PRP1!L2</f>
        <v>1.38</v>
      </c>
      <c r="D9">
        <f>S2PRP1!M2</f>
        <v>0.52</v>
      </c>
      <c r="E9">
        <v>1</v>
      </c>
      <c r="F9">
        <v>2</v>
      </c>
    </row>
    <row r="10" spans="1:6" x14ac:dyDescent="0.35">
      <c r="A10" t="s">
        <v>76</v>
      </c>
      <c r="B10">
        <f>Scenario2!M28</f>
        <v>11476.908538751277</v>
      </c>
      <c r="C10">
        <f>S2PRP2!L2</f>
        <v>0.40816326530612246</v>
      </c>
      <c r="D10">
        <f>S2PRP2!M2</f>
        <v>0.30612244897959184</v>
      </c>
      <c r="E10">
        <v>2</v>
      </c>
      <c r="F10">
        <v>2</v>
      </c>
    </row>
    <row r="11" spans="1:6" x14ac:dyDescent="0.35">
      <c r="A11" t="s">
        <v>73</v>
      </c>
      <c r="B11">
        <f>Scenario2!N28</f>
        <v>6807.8572893565843</v>
      </c>
      <c r="C11">
        <f>S2PRP3!L2</f>
        <v>0.55102040816326525</v>
      </c>
      <c r="D11">
        <f>S2PRP3!M2</f>
        <v>0.44897959183673469</v>
      </c>
      <c r="E11">
        <v>3</v>
      </c>
      <c r="F11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1B89-E685-4AA4-AB64-5F31ED2B3414}">
  <dimension ref="A1:R54"/>
  <sheetViews>
    <sheetView topLeftCell="A20" zoomScale="115" zoomScaleNormal="115" workbookViewId="0">
      <selection activeCell="C47" sqref="C47"/>
    </sheetView>
  </sheetViews>
  <sheetFormatPr defaultRowHeight="14.5" x14ac:dyDescent="0.35"/>
  <cols>
    <col min="4" max="4" width="14.1796875" bestFit="1" customWidth="1"/>
  </cols>
  <sheetData>
    <row r="1" spans="1:18" x14ac:dyDescent="0.35">
      <c r="B1" t="s">
        <v>0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43</v>
      </c>
      <c r="J1" t="s">
        <v>44</v>
      </c>
      <c r="K1" t="s">
        <v>55</v>
      </c>
      <c r="L1" t="s">
        <v>66</v>
      </c>
    </row>
    <row r="2" spans="1:18" x14ac:dyDescent="0.35">
      <c r="A2" t="s">
        <v>9</v>
      </c>
      <c r="B2">
        <f>AVERAGE(S0PRP1[Time])</f>
        <v>141.618898</v>
      </c>
      <c r="C2">
        <f>AVERAGE(S0PRP1[[ NumMsgSent]])</f>
        <v>4024.3</v>
      </c>
      <c r="D2">
        <f>AVERAGE(S0PRP1[[ Distance]])</f>
        <v>760.79919800000005</v>
      </c>
      <c r="E2">
        <f>AVERAGE(S0PRP1[[ NodesLost]])</f>
        <v>0</v>
      </c>
      <c r="F2">
        <f>MIN(S0PRP1[Time])</f>
        <v>121.761</v>
      </c>
      <c r="G2">
        <f>MAX(S0PRP1[Time])</f>
        <v>162.5889</v>
      </c>
      <c r="H2">
        <f>S0PRP1!M2</f>
        <v>0</v>
      </c>
      <c r="I2">
        <f>S0PRP1!N2</f>
        <v>1844.4625556512501</v>
      </c>
      <c r="J2">
        <f>S0PRP1!O2</f>
        <v>10940.425829225722</v>
      </c>
      <c r="K2">
        <f>I2+J2</f>
        <v>12784.888384876973</v>
      </c>
      <c r="L2">
        <f>_xlfn.VAR.P(S0PRP1[Time])</f>
        <v>68.493149710596015</v>
      </c>
      <c r="P2" t="s">
        <v>20</v>
      </c>
      <c r="Q2">
        <v>0.25</v>
      </c>
      <c r="R2" t="s">
        <v>28</v>
      </c>
    </row>
    <row r="3" spans="1:18" x14ac:dyDescent="0.35">
      <c r="A3" t="s">
        <v>10</v>
      </c>
      <c r="B3">
        <f>AVERAGE(S0PRP2[Time])</f>
        <v>141.35919183673465</v>
      </c>
      <c r="C3">
        <f>AVERAGE(S0PRP2[[ NumMsgSent]])</f>
        <v>3977.3265306122448</v>
      </c>
      <c r="D3">
        <f>AVERAGE(S0PRP2[[ Distance]])</f>
        <v>762.78361020408136</v>
      </c>
      <c r="E3">
        <f>AVERAGE(S0PRP2[[ NodesLost]])</f>
        <v>0</v>
      </c>
      <c r="F3">
        <f>MIN(S0PRP2[Time])</f>
        <v>122.92019999999999</v>
      </c>
      <c r="G3">
        <f>MAX(S0PRP2[Time])</f>
        <v>157.55369999999999</v>
      </c>
      <c r="H3">
        <f>S0PRP2!M2</f>
        <v>0</v>
      </c>
      <c r="I3">
        <f>S0PRP2!N2</f>
        <v>1849.2735149885209</v>
      </c>
      <c r="J3">
        <f>S0PRP2!O2</f>
        <v>10920.362857004346</v>
      </c>
      <c r="K3">
        <f t="shared" ref="K3:K4" si="0">I3+J3</f>
        <v>12769.636371992867</v>
      </c>
      <c r="L3">
        <f>_xlfn.VAR.P(S0PRP2[Time])</f>
        <v>49.485446070545642</v>
      </c>
      <c r="P3" t="s">
        <v>22</v>
      </c>
      <c r="Q3">
        <v>1.2929999999999999</v>
      </c>
      <c r="R3" t="s">
        <v>27</v>
      </c>
    </row>
    <row r="4" spans="1:18" x14ac:dyDescent="0.35">
      <c r="A4" t="s">
        <v>11</v>
      </c>
      <c r="B4">
        <f>AVERAGE(S0PRP3[Time])</f>
        <v>143.29598571428568</v>
      </c>
      <c r="C4">
        <f>AVERAGE(S0PRP3[[ NumMsgSent]])</f>
        <v>4013.3673469387754</v>
      </c>
      <c r="D4">
        <f>AVERAGE(S0PRP3[[ Distance]])</f>
        <v>769.51740612244896</v>
      </c>
      <c r="E4">
        <f>AVERAGE(S0PRP3[[ NodesLost]])</f>
        <v>0</v>
      </c>
      <c r="F4">
        <f>MIN(S0PRP3[Time])</f>
        <v>128.15369999999999</v>
      </c>
      <c r="G4">
        <f>MAX(S0PRP3[Time])</f>
        <v>164.8871</v>
      </c>
      <c r="H4">
        <f>S0PRP3!M2</f>
        <v>0</v>
      </c>
      <c r="I4">
        <f>S0PRP3!N2</f>
        <v>1865.5987614681117</v>
      </c>
      <c r="J4">
        <f>S0PRP3!O2</f>
        <v>11069.985188932427</v>
      </c>
      <c r="K4">
        <f t="shared" si="0"/>
        <v>12935.583950400538</v>
      </c>
      <c r="L4">
        <f>_xlfn.VAR.P(S0PRP3[Time])</f>
        <v>39.224506434285708</v>
      </c>
      <c r="P4" t="s">
        <v>21</v>
      </c>
      <c r="Q4">
        <v>0.75</v>
      </c>
    </row>
    <row r="5" spans="1:18" x14ac:dyDescent="0.35">
      <c r="P5" t="s">
        <v>23</v>
      </c>
      <c r="Q5">
        <v>0.1</v>
      </c>
      <c r="R5" t="s">
        <v>26</v>
      </c>
    </row>
    <row r="6" spans="1:18" x14ac:dyDescent="0.35">
      <c r="P6" t="s">
        <v>24</v>
      </c>
      <c r="Q6">
        <v>0.8</v>
      </c>
      <c r="R6" t="s">
        <v>25</v>
      </c>
    </row>
    <row r="7" spans="1:18" x14ac:dyDescent="0.35">
      <c r="P7" t="s">
        <v>29</v>
      </c>
      <c r="Q7">
        <v>9.82</v>
      </c>
      <c r="R7" t="s">
        <v>30</v>
      </c>
    </row>
    <row r="24" spans="5:14" x14ac:dyDescent="0.35">
      <c r="E24" s="11"/>
      <c r="F24" t="s">
        <v>38</v>
      </c>
      <c r="G24" t="s">
        <v>9</v>
      </c>
      <c r="H24" t="s">
        <v>10</v>
      </c>
      <c r="I24" t="s">
        <v>11</v>
      </c>
      <c r="L24" t="s">
        <v>9</v>
      </c>
      <c r="M24" t="s">
        <v>10</v>
      </c>
      <c r="N24" t="s">
        <v>11</v>
      </c>
    </row>
    <row r="25" spans="5:14" x14ac:dyDescent="0.35">
      <c r="F25" t="s">
        <v>34</v>
      </c>
      <c r="G25">
        <f>_xlfn.QUARTILE.INC(S0PRP1[Time],0)</f>
        <v>121.761</v>
      </c>
      <c r="H25">
        <f>_xlfn.QUARTILE.INC(S0PRP2[Time],0)</f>
        <v>122.92019999999999</v>
      </c>
      <c r="I25">
        <f>_xlfn.QUARTILE.INC(S0PRP3[Time],0)</f>
        <v>128.15369999999999</v>
      </c>
      <c r="K25" t="s">
        <v>39</v>
      </c>
      <c r="L25">
        <f>AVERAGE(S0PRP1[Time])</f>
        <v>141.618898</v>
      </c>
      <c r="M25">
        <f>AVERAGE(S0PRP2[Time])</f>
        <v>141.35919183673465</v>
      </c>
      <c r="N25">
        <f>AVERAGE(S0PRP3[Time])</f>
        <v>143.29598571428568</v>
      </c>
    </row>
    <row r="26" spans="5:14" x14ac:dyDescent="0.35">
      <c r="F26" t="s">
        <v>33</v>
      </c>
      <c r="G26">
        <f>_xlfn.QUARTILE.INC(S0PRP1[Time],1)</f>
        <v>134.92804999999998</v>
      </c>
      <c r="H26">
        <f>_xlfn.QUARTILE.INC(S0PRP2[Time],1)</f>
        <v>138.12100000000001</v>
      </c>
      <c r="I26">
        <f>_xlfn.QUARTILE.INC(S0PRP3[Time],1)</f>
        <v>141.0881</v>
      </c>
      <c r="K26" t="s">
        <v>41</v>
      </c>
      <c r="L26">
        <f>_xlfn.VAR.P(S0PRP1[Time])</f>
        <v>68.493149710596015</v>
      </c>
      <c r="M26">
        <f>_xlfn.VAR.P(S0PRP2[Time])</f>
        <v>49.485446070545642</v>
      </c>
      <c r="N26">
        <f>_xlfn.VAR.P(S0PRP3[Time])</f>
        <v>39.224506434285708</v>
      </c>
    </row>
    <row r="27" spans="5:14" x14ac:dyDescent="0.35">
      <c r="F27" t="s">
        <v>35</v>
      </c>
      <c r="G27">
        <f>_xlfn.QUARTILE.INC(S0PRP1[Time],2)</f>
        <v>143.05799999999999</v>
      </c>
      <c r="H27">
        <f>_xlfn.QUARTILE.INC(S0PRP2[Time],2)</f>
        <v>142.75190000000001</v>
      </c>
      <c r="I27">
        <f>_xlfn.QUARTILE.INC(S0PRP3[Time],2)</f>
        <v>142.78649999999999</v>
      </c>
      <c r="K27" t="s">
        <v>40</v>
      </c>
      <c r="L27">
        <f>SQRT(L26)</f>
        <v>8.2760588271589768</v>
      </c>
      <c r="M27">
        <f>SQRT(M26)</f>
        <v>7.0345892609693736</v>
      </c>
      <c r="N27">
        <f>SQRT(N26)</f>
        <v>6.2629471045415759</v>
      </c>
    </row>
    <row r="28" spans="5:14" x14ac:dyDescent="0.35">
      <c r="F28" t="s">
        <v>36</v>
      </c>
      <c r="G28">
        <f>_xlfn.QUARTILE.INC(S0PRP1[Time],3)</f>
        <v>146.9066</v>
      </c>
      <c r="H28">
        <f>_xlfn.QUARTILE.INC(S0PRP2[Time],3)</f>
        <v>145.38669999999999</v>
      </c>
      <c r="I28">
        <f>_xlfn.QUARTILE.INC(S0PRP3[Time],3)</f>
        <v>145.65369999999999</v>
      </c>
      <c r="K28" t="s">
        <v>42</v>
      </c>
      <c r="L28">
        <f>COUNT(S0PRP1[Time])</f>
        <v>50</v>
      </c>
      <c r="M28">
        <f>COUNT(S0PRP2[Time])</f>
        <v>49</v>
      </c>
      <c r="N28">
        <f>COUNT(S0PRP3[Time])</f>
        <v>49</v>
      </c>
    </row>
    <row r="29" spans="5:14" x14ac:dyDescent="0.35">
      <c r="F29" t="s">
        <v>37</v>
      </c>
      <c r="G29">
        <f>_xlfn.QUARTILE.INC(S0PRP1[Time],4)</f>
        <v>162.5889</v>
      </c>
      <c r="H29">
        <f>_xlfn.QUARTILE.INC(S0PRP2[Time],4)</f>
        <v>157.55369999999999</v>
      </c>
      <c r="I29">
        <f>_xlfn.QUARTILE.INC(S0PRP3[Time],4)</f>
        <v>164.8871</v>
      </c>
      <c r="K29" t="s">
        <v>58</v>
      </c>
      <c r="L29">
        <v>210</v>
      </c>
      <c r="M29">
        <v>210</v>
      </c>
      <c r="N29">
        <v>210</v>
      </c>
    </row>
    <row r="30" spans="5:14" x14ac:dyDescent="0.35">
      <c r="K30" t="s">
        <v>48</v>
      </c>
      <c r="L30">
        <f>(L25-L29)/(L27/SQRT(L28))</f>
        <v>-58.424839575249401</v>
      </c>
      <c r="M30">
        <f t="shared" ref="M30:N30" si="1">(M25-M29)/(M27/SQRT(M28))</f>
        <v>-68.303299498775004</v>
      </c>
      <c r="N30">
        <f t="shared" si="1"/>
        <v>-74.554054537903951</v>
      </c>
    </row>
    <row r="31" spans="5:14" x14ac:dyDescent="0.35">
      <c r="F31" t="s">
        <v>60</v>
      </c>
      <c r="G31" t="s">
        <v>9</v>
      </c>
      <c r="H31" t="s">
        <v>10</v>
      </c>
      <c r="I31" t="s">
        <v>11</v>
      </c>
      <c r="K31" t="s">
        <v>59</v>
      </c>
    </row>
    <row r="32" spans="5:14" x14ac:dyDescent="0.35">
      <c r="F32" t="s">
        <v>61</v>
      </c>
      <c r="G32">
        <f>G25</f>
        <v>121.761</v>
      </c>
      <c r="H32">
        <f t="shared" ref="H32:I32" si="2">H25</f>
        <v>122.92019999999999</v>
      </c>
      <c r="I32">
        <f t="shared" si="2"/>
        <v>128.15369999999999</v>
      </c>
    </row>
    <row r="33" spans="2:9" x14ac:dyDescent="0.35">
      <c r="F33" t="s">
        <v>62</v>
      </c>
      <c r="G33">
        <f>G26-G25</f>
        <v>13.167049999999989</v>
      </c>
      <c r="H33">
        <f t="shared" ref="H33:I33" si="3">H26-H25</f>
        <v>15.200800000000015</v>
      </c>
      <c r="I33">
        <f t="shared" si="3"/>
        <v>12.934400000000011</v>
      </c>
    </row>
    <row r="34" spans="2:9" x14ac:dyDescent="0.35">
      <c r="F34" s="10" t="s">
        <v>63</v>
      </c>
      <c r="G34">
        <f t="shared" ref="G34:I36" si="4">G27-G26</f>
        <v>8.129950000000008</v>
      </c>
      <c r="H34">
        <f t="shared" si="4"/>
        <v>4.6308999999999969</v>
      </c>
      <c r="I34">
        <f t="shared" si="4"/>
        <v>1.6983999999999924</v>
      </c>
    </row>
    <row r="35" spans="2:9" x14ac:dyDescent="0.35">
      <c r="F35" t="s">
        <v>64</v>
      </c>
      <c r="G35">
        <f t="shared" si="4"/>
        <v>3.8486000000000047</v>
      </c>
      <c r="H35">
        <f t="shared" si="4"/>
        <v>2.6347999999999843</v>
      </c>
      <c r="I35">
        <f t="shared" si="4"/>
        <v>2.8671999999999969</v>
      </c>
    </row>
    <row r="36" spans="2:9" x14ac:dyDescent="0.35">
      <c r="F36" t="s">
        <v>65</v>
      </c>
      <c r="G36">
        <f t="shared" si="4"/>
        <v>15.682299999999998</v>
      </c>
      <c r="H36">
        <f t="shared" si="4"/>
        <v>12.167000000000002</v>
      </c>
      <c r="I36">
        <f t="shared" si="4"/>
        <v>19.233400000000017</v>
      </c>
    </row>
    <row r="41" spans="2:9" x14ac:dyDescent="0.35">
      <c r="B41" t="s">
        <v>82</v>
      </c>
    </row>
    <row r="42" spans="2:9" x14ac:dyDescent="0.35">
      <c r="B42" t="s">
        <v>38</v>
      </c>
      <c r="C42" t="s">
        <v>9</v>
      </c>
      <c r="D42" t="s">
        <v>10</v>
      </c>
      <c r="E42" t="s">
        <v>11</v>
      </c>
    </row>
    <row r="43" spans="2:9" x14ac:dyDescent="0.35">
      <c r="B43" t="s">
        <v>34</v>
      </c>
      <c r="C43">
        <f>_xlfn.QUARTILE.INC(S0PRP1[E_total(J)],0)</f>
        <v>11084.495056119813</v>
      </c>
      <c r="D43">
        <f>_xlfn.QUARTILE.INC(S0PRP2[E_total(J)],0)</f>
        <v>11164.730348244429</v>
      </c>
      <c r="E43">
        <f>_xlfn.QUARTILE.INC(S0PRP3[E_total(J)],0)</f>
        <v>11636.169964055982</v>
      </c>
    </row>
    <row r="44" spans="2:9" x14ac:dyDescent="0.35">
      <c r="B44" t="s">
        <v>33</v>
      </c>
      <c r="C44">
        <f>_xlfn.QUARTILE.INC(S0PRP1[E_total(J)],1)</f>
        <v>12211.816867811254</v>
      </c>
      <c r="D44">
        <f>_xlfn.QUARTILE.INC(S0PRP2[E_total(J)],1)</f>
        <v>12428.390662297197</v>
      </c>
      <c r="E44">
        <f>_xlfn.QUARTILE.INC(S0PRP3[E_total(J)],1)</f>
        <v>12757.235117898124</v>
      </c>
    </row>
    <row r="45" spans="2:9" x14ac:dyDescent="0.35">
      <c r="B45" t="s">
        <v>35</v>
      </c>
      <c r="C45">
        <f>_xlfn.QUARTILE.INC(S0PRP1[E_total(J)],2)</f>
        <v>12892.762401044998</v>
      </c>
      <c r="D45">
        <f>_xlfn.QUARTILE.INC(S0PRP2[E_total(J)],2)</f>
        <v>12895.236134480412</v>
      </c>
      <c r="E45">
        <f>_xlfn.QUARTILE.INC(S0PRP3[E_total(J)],2)</f>
        <v>12903.88659987453</v>
      </c>
    </row>
    <row r="46" spans="2:9" x14ac:dyDescent="0.35">
      <c r="B46" t="s">
        <v>36</v>
      </c>
      <c r="C46">
        <f>_xlfn.QUARTILE.INC(S0PRP1[E_total(J)],3)</f>
        <v>13202.348069350317</v>
      </c>
      <c r="D46">
        <f>_xlfn.QUARTILE.INC(S0PRP2[E_total(J)],3)</f>
        <v>13126.880706306103</v>
      </c>
      <c r="E46">
        <f>_xlfn.QUARTILE.INC(S0PRP3[E_total(J)],3)</f>
        <v>13144.196177095504</v>
      </c>
    </row>
    <row r="47" spans="2:9" x14ac:dyDescent="0.35">
      <c r="B47" t="s">
        <v>37</v>
      </c>
      <c r="C47">
        <f>_xlfn.QUARTILE.INC(S0PRP1[E_total(J)],4)</f>
        <v>14589.890683817539</v>
      </c>
      <c r="D47">
        <f>_xlfn.QUARTILE.INC(S0PRP2[E_total(J)],4)</f>
        <v>14205.492965434882</v>
      </c>
      <c r="E47">
        <f>_xlfn.QUARTILE.INC(S0PRP3[E_total(J)],4)</f>
        <v>14880.469056992764</v>
      </c>
    </row>
    <row r="49" spans="2:5" x14ac:dyDescent="0.35">
      <c r="B49" t="s">
        <v>60</v>
      </c>
      <c r="C49" t="s">
        <v>9</v>
      </c>
      <c r="D49" t="s">
        <v>10</v>
      </c>
      <c r="E49" t="s">
        <v>11</v>
      </c>
    </row>
    <row r="50" spans="2:5" x14ac:dyDescent="0.35">
      <c r="B50" t="s">
        <v>61</v>
      </c>
      <c r="C50">
        <f>C43</f>
        <v>11084.495056119813</v>
      </c>
      <c r="D50">
        <f t="shared" ref="D50:E50" si="5">D43</f>
        <v>11164.730348244429</v>
      </c>
      <c r="E50">
        <f t="shared" si="5"/>
        <v>11636.169964055982</v>
      </c>
    </row>
    <row r="51" spans="2:5" x14ac:dyDescent="0.35">
      <c r="B51" t="s">
        <v>62</v>
      </c>
      <c r="C51">
        <f>C44-C43</f>
        <v>1127.3218116914413</v>
      </c>
      <c r="D51">
        <f t="shared" ref="D51:E51" si="6">D44-D43</f>
        <v>1263.6603140527677</v>
      </c>
      <c r="E51">
        <f t="shared" si="6"/>
        <v>1121.0651538421425</v>
      </c>
    </row>
    <row r="52" spans="2:5" x14ac:dyDescent="0.35">
      <c r="B52" s="10" t="s">
        <v>63</v>
      </c>
      <c r="C52">
        <f t="shared" ref="C52:E54" si="7">C45-C44</f>
        <v>680.94553323374384</v>
      </c>
      <c r="D52">
        <f t="shared" si="7"/>
        <v>466.84547218321495</v>
      </c>
      <c r="E52">
        <f t="shared" si="7"/>
        <v>146.65148197640519</v>
      </c>
    </row>
    <row r="53" spans="2:5" x14ac:dyDescent="0.35">
      <c r="B53" t="s">
        <v>64</v>
      </c>
      <c r="C53">
        <f t="shared" si="7"/>
        <v>309.5856683053189</v>
      </c>
      <c r="D53">
        <f t="shared" si="7"/>
        <v>231.64457182569095</v>
      </c>
      <c r="E53">
        <f t="shared" si="7"/>
        <v>240.30957722097446</v>
      </c>
    </row>
    <row r="54" spans="2:5" x14ac:dyDescent="0.35">
      <c r="B54" t="s">
        <v>65</v>
      </c>
      <c r="C54">
        <f t="shared" si="7"/>
        <v>1387.5426144672219</v>
      </c>
      <c r="D54">
        <f t="shared" si="7"/>
        <v>1078.6122591287785</v>
      </c>
      <c r="E54">
        <f t="shared" si="7"/>
        <v>1736.2728798972603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072-61C7-4D3D-848F-790F233E7ACF}">
  <dimension ref="A1:R52"/>
  <sheetViews>
    <sheetView workbookViewId="0">
      <selection activeCell="P60" sqref="P60"/>
    </sheetView>
  </sheetViews>
  <sheetFormatPr defaultRowHeight="14.5" x14ac:dyDescent="0.35"/>
  <cols>
    <col min="1" max="1" width="9" customWidth="1"/>
    <col min="2" max="2" width="10.36328125" customWidth="1"/>
    <col min="3" max="3" width="10" customWidth="1"/>
    <col min="4" max="4" width="14.453125" bestFit="1" customWidth="1"/>
    <col min="7" max="7" width="10" bestFit="1" customWidth="1"/>
    <col min="8" max="8" width="10.54296875" bestFit="1" customWidth="1"/>
    <col min="9" max="9" width="11" bestFit="1" customWidth="1"/>
    <col min="11" max="11" width="11.1796875" bestFit="1" customWidth="1"/>
    <col min="12" max="12" width="12.1796875" bestFit="1" customWidth="1"/>
    <col min="15" max="15" width="11.81640625" bestFit="1" customWidth="1"/>
    <col min="16" max="16" width="12.90625" bestFit="1" customWidth="1"/>
  </cols>
  <sheetData>
    <row r="1" spans="1:18" x14ac:dyDescent="0.35">
      <c r="B1" t="s">
        <v>0</v>
      </c>
      <c r="C1" t="s">
        <v>12</v>
      </c>
      <c r="D1" t="s">
        <v>57</v>
      </c>
      <c r="E1" t="s">
        <v>13</v>
      </c>
      <c r="F1" t="s">
        <v>14</v>
      </c>
      <c r="G1" t="s">
        <v>15</v>
      </c>
      <c r="H1" t="s">
        <v>16</v>
      </c>
      <c r="I1" t="s">
        <v>43</v>
      </c>
      <c r="J1" t="s">
        <v>44</v>
      </c>
      <c r="K1" t="s">
        <v>55</v>
      </c>
    </row>
    <row r="2" spans="1:18" x14ac:dyDescent="0.35">
      <c r="A2" t="s">
        <v>9</v>
      </c>
      <c r="B2">
        <f>AVERAGE(S1PRP1[Time])</f>
        <v>213.41102621359227</v>
      </c>
      <c r="C2">
        <f>AVERAGE(S1PRP1[ [ NumMsgSent] ])</f>
        <v>5189.1262135922334</v>
      </c>
      <c r="D2">
        <f>AVERAGE(S1PRP1[[ Distance]])*20</f>
        <v>20803.586174757271</v>
      </c>
      <c r="E2">
        <f>AVERAGE(S1PRP1[[ NodesLost]])</f>
        <v>0.27184466019417475</v>
      </c>
      <c r="F2">
        <f>MIN(S1PRP1[Time])</f>
        <v>152.12010000000001</v>
      </c>
      <c r="G2">
        <f>MAX(S1PRP1[Time])</f>
        <v>282.6857</v>
      </c>
      <c r="H2">
        <f>S1PRP1!M2</f>
        <v>0.23300970873786409</v>
      </c>
      <c r="I2">
        <f>S1PRP1!N2</f>
        <v>2521.7847116213579</v>
      </c>
      <c r="J2">
        <f>S1PRP1!O2</f>
        <v>16486.553252439182</v>
      </c>
      <c r="K2">
        <f>S1PRP1!P2</f>
        <v>19008.337964060542</v>
      </c>
      <c r="P2" t="s">
        <v>20</v>
      </c>
      <c r="Q2">
        <v>0.25</v>
      </c>
      <c r="R2" t="s">
        <v>28</v>
      </c>
    </row>
    <row r="3" spans="1:18" x14ac:dyDescent="0.35">
      <c r="A3" t="s">
        <v>10</v>
      </c>
      <c r="B3">
        <f>AVERAGE(S1PRP2[Time])</f>
        <v>233.21554615384616</v>
      </c>
      <c r="C3">
        <f>AVERAGE(S1PRP2[[ NumMsgSent]])</f>
        <v>5364.0512820512822</v>
      </c>
      <c r="D3">
        <f>AVERAGE(S1PRP2[[ Distance]])*20</f>
        <v>23359.78589743589</v>
      </c>
      <c r="E3">
        <f>AVERAGE(S1PRP2[[ NodesLost]])</f>
        <v>2.564102564102564E-2</v>
      </c>
      <c r="F3">
        <f>MIN(S1PRP2[Time])</f>
        <v>160.35429999999999</v>
      </c>
      <c r="G3">
        <f>MAX(S1PRP2[Time])</f>
        <v>432.43700000000001</v>
      </c>
      <c r="H3">
        <f>S1PRP2!M2</f>
        <v>2.564102564102564E-2</v>
      </c>
      <c r="I3">
        <f>S1PRP2!N2</f>
        <v>2831.6440467548077</v>
      </c>
      <c r="J3">
        <f>S1PRP2!O2</f>
        <v>18016.503594869966</v>
      </c>
      <c r="K3">
        <f>S1PRP2!P2</f>
        <v>20848.147641624775</v>
      </c>
      <c r="P3" t="s">
        <v>22</v>
      </c>
      <c r="Q3">
        <v>1.2929999999999999</v>
      </c>
      <c r="R3" t="s">
        <v>27</v>
      </c>
    </row>
    <row r="4" spans="1:18" x14ac:dyDescent="0.35">
      <c r="A4" t="s">
        <v>11</v>
      </c>
      <c r="B4">
        <f>AVERAGE(S1PRP3[Time])</f>
        <v>187.22927749999999</v>
      </c>
      <c r="C4">
        <f>AVERAGE(S1PRP3[[ NumMsgSent]])</f>
        <v>4648.8500000000004</v>
      </c>
      <c r="D4">
        <f>AVERAGE(S1PRP3[[ Distance]])*20</f>
        <v>19201.811249999995</v>
      </c>
      <c r="E4">
        <f>AVERAGE(S1PRP3[[ NodesLost]])</f>
        <v>2.5000000000000001E-2</v>
      </c>
      <c r="F4">
        <f>MIN(S1PRP3[Time])</f>
        <v>163.45359999999999</v>
      </c>
      <c r="G4">
        <f>MAX(S1PRP3[Time])</f>
        <v>271.34019999999998</v>
      </c>
      <c r="H4">
        <f>S1PRP3!M2</f>
        <v>2.5000000000000001E-2</v>
      </c>
      <c r="I4">
        <f>S1PRP3!N2</f>
        <v>2327.6195574609374</v>
      </c>
      <c r="J4">
        <f>S1PRP3!O2</f>
        <v>14463.94550781119</v>
      </c>
      <c r="K4">
        <f>S1PRP3!P2</f>
        <v>16791.565065272127</v>
      </c>
      <c r="P4" t="s">
        <v>21</v>
      </c>
      <c r="Q4">
        <v>0.75</v>
      </c>
    </row>
    <row r="5" spans="1:18" x14ac:dyDescent="0.35">
      <c r="P5" t="s">
        <v>23</v>
      </c>
      <c r="Q5">
        <v>0.1</v>
      </c>
      <c r="R5" t="s">
        <v>26</v>
      </c>
    </row>
    <row r="6" spans="1:18" x14ac:dyDescent="0.35">
      <c r="P6" t="s">
        <v>24</v>
      </c>
      <c r="Q6">
        <v>0.8</v>
      </c>
      <c r="R6" t="s">
        <v>25</v>
      </c>
    </row>
    <row r="7" spans="1:18" x14ac:dyDescent="0.35">
      <c r="P7" t="s">
        <v>29</v>
      </c>
      <c r="Q7">
        <v>9.82</v>
      </c>
      <c r="R7" t="s">
        <v>30</v>
      </c>
    </row>
    <row r="24" spans="2:10" x14ac:dyDescent="0.35">
      <c r="B24" t="s">
        <v>38</v>
      </c>
      <c r="C24" t="s">
        <v>9</v>
      </c>
      <c r="D24" t="s">
        <v>10</v>
      </c>
      <c r="E24" t="s">
        <v>11</v>
      </c>
      <c r="H24" t="s">
        <v>9</v>
      </c>
      <c r="I24" t="s">
        <v>10</v>
      </c>
      <c r="J24" t="s">
        <v>11</v>
      </c>
    </row>
    <row r="25" spans="2:10" x14ac:dyDescent="0.35">
      <c r="B25" t="s">
        <v>34</v>
      </c>
      <c r="C25">
        <f>_xlfn.QUARTILE.INC(S1PRP1[Time],0)</f>
        <v>152.12010000000001</v>
      </c>
      <c r="D25">
        <f>_xlfn.QUARTILE.INC(S1PRP2[Time],0)</f>
        <v>160.35429999999999</v>
      </c>
      <c r="E25">
        <f>_xlfn.QUARTILE.INC(S1PRP3[Time],0)</f>
        <v>163.45359999999999</v>
      </c>
      <c r="G25" t="s">
        <v>39</v>
      </c>
      <c r="H25">
        <f>AVERAGE(S1PRP1[Time])</f>
        <v>213.41102621359227</v>
      </c>
      <c r="I25">
        <f>AVERAGE(S1PRP2[Time])</f>
        <v>233.21554615384616</v>
      </c>
      <c r="J25">
        <f>AVERAGE(S1PRP3[Time])</f>
        <v>187.22927749999999</v>
      </c>
    </row>
    <row r="26" spans="2:10" x14ac:dyDescent="0.35">
      <c r="B26" t="s">
        <v>33</v>
      </c>
      <c r="C26">
        <f>_xlfn.QUARTILE.INC(S1PRP1[Time],1)</f>
        <v>197.78675000000001</v>
      </c>
      <c r="D26">
        <f>_xlfn.QUARTILE.INC(S1PRP2[Time],1)</f>
        <v>209.77850000000001</v>
      </c>
      <c r="E26">
        <f>_xlfn.QUARTILE.INC(S1PRP3[Time],1)</f>
        <v>173.42592500000001</v>
      </c>
      <c r="G26" t="s">
        <v>41</v>
      </c>
      <c r="H26">
        <f>_xlfn.VAR.P(S1PRP1[Time])</f>
        <v>506.9012363576644</v>
      </c>
      <c r="I26">
        <f>_xlfn.VAR.P(S1PRP2[Time])</f>
        <v>2910.4561210106876</v>
      </c>
      <c r="J26">
        <f>_xlfn.VAR.P(S1PRP3[Time])</f>
        <v>392.75046263074501</v>
      </c>
    </row>
    <row r="27" spans="2:10" x14ac:dyDescent="0.35">
      <c r="B27" t="s">
        <v>35</v>
      </c>
      <c r="C27">
        <f>_xlfn.QUARTILE.INC(S1PRP1[Time],2)</f>
        <v>213.08619999999999</v>
      </c>
      <c r="D27">
        <f>_xlfn.QUARTILE.INC(S1PRP2[Time],2)</f>
        <v>223.65520000000001</v>
      </c>
      <c r="E27">
        <f>_xlfn.QUARTILE.INC(S1PRP3[Time],2)</f>
        <v>183.95319999999998</v>
      </c>
      <c r="G27" t="s">
        <v>40</v>
      </c>
      <c r="H27">
        <f>SQRT(H26)</f>
        <v>22.514467267907193</v>
      </c>
      <c r="I27">
        <f>SQRT(I26)</f>
        <v>53.948643365803811</v>
      </c>
      <c r="J27">
        <f>SQRT(J26)</f>
        <v>19.817932854633074</v>
      </c>
    </row>
    <row r="28" spans="2:10" x14ac:dyDescent="0.35">
      <c r="B28" t="s">
        <v>36</v>
      </c>
      <c r="C28">
        <f>_xlfn.QUARTILE.INC(S1PRP1[Time],3)</f>
        <v>224.35264999999998</v>
      </c>
      <c r="D28">
        <f>_xlfn.QUARTILE.INC(S1PRP2[Time],3)</f>
        <v>235.91005000000001</v>
      </c>
      <c r="E28">
        <f>_xlfn.QUARTILE.INC(S1PRP3[Time],3)</f>
        <v>197.55622499999998</v>
      </c>
      <c r="G28" t="s">
        <v>42</v>
      </c>
      <c r="H28">
        <f>COUNT(S1PRP1[Time])</f>
        <v>103</v>
      </c>
      <c r="I28">
        <f>COUNT(S1PRP2[Time])</f>
        <v>39</v>
      </c>
      <c r="J28">
        <f>COUNT(S1PRP3[Time])</f>
        <v>40</v>
      </c>
    </row>
    <row r="29" spans="2:10" x14ac:dyDescent="0.35">
      <c r="B29" t="s">
        <v>37</v>
      </c>
      <c r="C29">
        <f>_xlfn.QUARTILE.INC(S1PRP1[Time],4)</f>
        <v>282.6857</v>
      </c>
      <c r="D29">
        <f>_xlfn.QUARTILE.INC(S1PRP2[Time],4)</f>
        <v>432.43700000000001</v>
      </c>
      <c r="E29">
        <f>_xlfn.QUARTILE.INC(S1PRP3[Time],4)</f>
        <v>271.34019999999998</v>
      </c>
      <c r="G29" t="s">
        <v>58</v>
      </c>
      <c r="H29">
        <v>210</v>
      </c>
      <c r="I29">
        <v>210</v>
      </c>
      <c r="J29">
        <v>210</v>
      </c>
    </row>
    <row r="30" spans="2:10" x14ac:dyDescent="0.35">
      <c r="G30" t="s">
        <v>48</v>
      </c>
      <c r="H30">
        <f>(H25-H29)/(H27/SQRT(H28))</f>
        <v>1.5375951274130628</v>
      </c>
      <c r="I30">
        <f t="shared" ref="I30:J30" si="0">(I25-I29)/(I27/SQRT(I28))</f>
        <v>2.687389899305483</v>
      </c>
      <c r="J30">
        <f t="shared" si="0"/>
        <v>-7.2668877824772204</v>
      </c>
    </row>
    <row r="31" spans="2:10" x14ac:dyDescent="0.35">
      <c r="B31" t="s">
        <v>60</v>
      </c>
      <c r="C31" t="s">
        <v>9</v>
      </c>
      <c r="D31" t="s">
        <v>10</v>
      </c>
      <c r="E31" t="s">
        <v>11</v>
      </c>
      <c r="G31" t="s">
        <v>59</v>
      </c>
    </row>
    <row r="32" spans="2:10" x14ac:dyDescent="0.35">
      <c r="B32" t="s">
        <v>61</v>
      </c>
      <c r="C32">
        <f>C25</f>
        <v>152.12010000000001</v>
      </c>
      <c r="D32">
        <f t="shared" ref="D32:E32" si="1">D25</f>
        <v>160.35429999999999</v>
      </c>
      <c r="E32">
        <f t="shared" si="1"/>
        <v>163.45359999999999</v>
      </c>
    </row>
    <row r="33" spans="2:5" x14ac:dyDescent="0.35">
      <c r="B33" t="s">
        <v>62</v>
      </c>
      <c r="C33">
        <f>C26-C25</f>
        <v>45.666650000000004</v>
      </c>
      <c r="D33">
        <f t="shared" ref="D33:E33" si="2">D26-D25</f>
        <v>49.424200000000013</v>
      </c>
      <c r="E33">
        <f t="shared" si="2"/>
        <v>9.9723250000000121</v>
      </c>
    </row>
    <row r="34" spans="2:5" x14ac:dyDescent="0.35">
      <c r="B34" s="10" t="s">
        <v>63</v>
      </c>
      <c r="C34">
        <f t="shared" ref="C34:E34" si="3">C27-C26</f>
        <v>15.299449999999979</v>
      </c>
      <c r="D34">
        <f t="shared" si="3"/>
        <v>13.8767</v>
      </c>
      <c r="E34">
        <f t="shared" si="3"/>
        <v>10.527274999999975</v>
      </c>
    </row>
    <row r="35" spans="2:5" x14ac:dyDescent="0.35">
      <c r="B35" t="s">
        <v>64</v>
      </c>
      <c r="C35">
        <f t="shared" ref="C35:E35" si="4">C28-C27</f>
        <v>11.266449999999992</v>
      </c>
      <c r="D35">
        <f t="shared" si="4"/>
        <v>12.254850000000005</v>
      </c>
      <c r="E35">
        <f t="shared" si="4"/>
        <v>13.603025000000002</v>
      </c>
    </row>
    <row r="36" spans="2:5" x14ac:dyDescent="0.35">
      <c r="B36" t="s">
        <v>65</v>
      </c>
      <c r="C36">
        <f t="shared" ref="C36:E36" si="5">C29-C28</f>
        <v>58.333050000000014</v>
      </c>
      <c r="D36">
        <f t="shared" si="5"/>
        <v>196.52695</v>
      </c>
      <c r="E36">
        <f t="shared" si="5"/>
        <v>73.783974999999998</v>
      </c>
    </row>
    <row r="39" spans="2:5" x14ac:dyDescent="0.35">
      <c r="B39" t="s">
        <v>82</v>
      </c>
    </row>
    <row r="40" spans="2:5" x14ac:dyDescent="0.35">
      <c r="B40" t="s">
        <v>38</v>
      </c>
      <c r="C40" t="s">
        <v>9</v>
      </c>
      <c r="D40" t="s">
        <v>10</v>
      </c>
      <c r="E40" t="s">
        <v>11</v>
      </c>
    </row>
    <row r="41" spans="2:5" x14ac:dyDescent="0.35">
      <c r="B41" t="s">
        <v>34</v>
      </c>
      <c r="C41">
        <f>_xlfn.QUARTILE.INC(S1PRP1[E_total(J)],0)</f>
        <v>13659.59624485554</v>
      </c>
      <c r="D41">
        <f>_xlfn.QUARTILE.INC(S1PRP2[E_total(J)],0)</f>
        <v>14425.322863804171</v>
      </c>
      <c r="E41">
        <f>_xlfn.QUARTILE.INC(S1PRP3[E_Total(J)],0)</f>
        <v>14651.063309059959</v>
      </c>
    </row>
    <row r="42" spans="2:5" x14ac:dyDescent="0.35">
      <c r="B42" t="s">
        <v>33</v>
      </c>
      <c r="C42">
        <f>_xlfn.QUARTILE.INC(S1PRP1[E_total(J)],1)</f>
        <v>17731.505213667286</v>
      </c>
      <c r="D42">
        <f>_xlfn.QUARTILE.INC(S1PRP2[E_total(J)],1)</f>
        <v>18868.944501992853</v>
      </c>
      <c r="E42">
        <f>_xlfn.QUARTILE.INC(S1PRP3[E_Total(J)],1)</f>
        <v>15617.043357425315</v>
      </c>
    </row>
    <row r="43" spans="2:5" x14ac:dyDescent="0.35">
      <c r="B43" t="s">
        <v>35</v>
      </c>
      <c r="C43">
        <f>_xlfn.QUARTILE.INC(S1PRP1[E_total(J)],2)</f>
        <v>18950.449405801428</v>
      </c>
      <c r="D43">
        <f>_xlfn.QUARTILE.INC(S1PRP2[E_total(J)],2)</f>
        <v>20018.712633254974</v>
      </c>
      <c r="E43">
        <f>_xlfn.QUARTILE.INC(S1PRP3[E_Total(J)],2)</f>
        <v>16528.041920662268</v>
      </c>
    </row>
    <row r="44" spans="2:5" x14ac:dyDescent="0.35">
      <c r="B44" t="s">
        <v>36</v>
      </c>
      <c r="C44">
        <f>_xlfn.QUARTILE.INC(S1PRP1[E_total(J)],3)</f>
        <v>19960.331777678584</v>
      </c>
      <c r="D44">
        <f>_xlfn.QUARTILE.INC(S1PRP2[E_total(J)],3)</f>
        <v>20966.407483066199</v>
      </c>
      <c r="E44">
        <f>_xlfn.QUARTILE.INC(S1PRP3[E_Total(J)],3)</f>
        <v>17679.056819552265</v>
      </c>
    </row>
    <row r="45" spans="2:5" x14ac:dyDescent="0.35">
      <c r="B45" t="s">
        <v>37</v>
      </c>
      <c r="C45">
        <f>_xlfn.QUARTILE.INC(S1PRP1[E_total(J)],4)</f>
        <v>25146.517487024987</v>
      </c>
      <c r="D45">
        <f>_xlfn.QUARTILE.INC(S1PRP2[E_total(J)],4)</f>
        <v>39785.961521392179</v>
      </c>
      <c r="E45">
        <f>_xlfn.QUARTILE.INC(S1PRP3[E_Total(J)],4)</f>
        <v>23223.788413136775</v>
      </c>
    </row>
    <row r="47" spans="2:5" x14ac:dyDescent="0.35">
      <c r="B47" t="s">
        <v>60</v>
      </c>
      <c r="C47" t="s">
        <v>9</v>
      </c>
      <c r="D47" t="s">
        <v>10</v>
      </c>
      <c r="E47" t="s">
        <v>11</v>
      </c>
    </row>
    <row r="48" spans="2:5" x14ac:dyDescent="0.35">
      <c r="B48" t="s">
        <v>61</v>
      </c>
      <c r="C48">
        <f>C41</f>
        <v>13659.59624485554</v>
      </c>
      <c r="D48">
        <f t="shared" ref="D48:E48" si="6">D41</f>
        <v>14425.322863804171</v>
      </c>
      <c r="E48">
        <f t="shared" si="6"/>
        <v>14651.063309059959</v>
      </c>
    </row>
    <row r="49" spans="2:5" x14ac:dyDescent="0.35">
      <c r="B49" t="s">
        <v>62</v>
      </c>
      <c r="C49">
        <f>C42-C41</f>
        <v>4071.9089688117456</v>
      </c>
      <c r="D49">
        <f t="shared" ref="D49:E49" si="7">D42-D41</f>
        <v>4443.6216381886825</v>
      </c>
      <c r="E49">
        <f t="shared" si="7"/>
        <v>965.9800483653562</v>
      </c>
    </row>
    <row r="50" spans="2:5" x14ac:dyDescent="0.35">
      <c r="B50" s="10" t="s">
        <v>63</v>
      </c>
      <c r="C50">
        <f t="shared" ref="C50:E52" si="8">C43-C42</f>
        <v>1218.9441921341422</v>
      </c>
      <c r="D50">
        <f t="shared" si="8"/>
        <v>1149.7681312621207</v>
      </c>
      <c r="E50">
        <f t="shared" si="8"/>
        <v>910.99856323695349</v>
      </c>
    </row>
    <row r="51" spans="2:5" x14ac:dyDescent="0.35">
      <c r="B51" t="s">
        <v>64</v>
      </c>
      <c r="C51">
        <f t="shared" si="8"/>
        <v>1009.8823718771564</v>
      </c>
      <c r="D51">
        <f t="shared" si="8"/>
        <v>947.69484981122514</v>
      </c>
      <c r="E51">
        <f t="shared" si="8"/>
        <v>1151.0148988899964</v>
      </c>
    </row>
    <row r="52" spans="2:5" x14ac:dyDescent="0.35">
      <c r="B52" t="s">
        <v>65</v>
      </c>
      <c r="C52">
        <f t="shared" si="8"/>
        <v>5186.1857093464023</v>
      </c>
      <c r="D52">
        <f t="shared" si="8"/>
        <v>18819.554038325979</v>
      </c>
      <c r="E52">
        <f t="shared" si="8"/>
        <v>5544.7315935845108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832-CE62-4F8C-A4C5-1A5B807914E8}">
  <dimension ref="A1:N51"/>
  <sheetViews>
    <sheetView topLeftCell="A19" zoomScale="85" zoomScaleNormal="85" workbookViewId="0">
      <selection activeCell="O41" sqref="O41"/>
    </sheetView>
  </sheetViews>
  <sheetFormatPr defaultRowHeight="14.5" x14ac:dyDescent="0.35"/>
  <cols>
    <col min="2" max="4" width="10" bestFit="1" customWidth="1"/>
    <col min="5" max="5" width="12.36328125" bestFit="1" customWidth="1"/>
    <col min="6" max="6" width="10" bestFit="1" customWidth="1"/>
    <col min="7" max="7" width="9" bestFit="1" customWidth="1"/>
    <col min="8" max="8" width="12.36328125" bestFit="1" customWidth="1"/>
    <col min="9" max="11" width="10" bestFit="1" customWidth="1"/>
    <col min="12" max="14" width="12" bestFit="1" customWidth="1"/>
    <col min="17" max="17" width="11.26953125" bestFit="1" customWidth="1"/>
  </cols>
  <sheetData>
    <row r="1" spans="1:13" x14ac:dyDescent="0.35">
      <c r="B1" t="s">
        <v>0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45</v>
      </c>
      <c r="J1" t="s">
        <v>46</v>
      </c>
      <c r="K1" t="s">
        <v>55</v>
      </c>
      <c r="L1" t="s">
        <v>80</v>
      </c>
      <c r="M1" t="s">
        <v>81</v>
      </c>
    </row>
    <row r="2" spans="1:13" x14ac:dyDescent="0.35">
      <c r="A2" t="s">
        <v>9</v>
      </c>
      <c r="B2">
        <f>AVERAGE(S2PRP1[Time])</f>
        <v>275.95175600000005</v>
      </c>
      <c r="C2">
        <f>AVERAGE(S2PRP1[[ NumMsgSent]])</f>
        <v>3266.36</v>
      </c>
      <c r="D2">
        <f>AVERAGE(S2PRP1[[ Distance]])</f>
        <v>1190.7172739999999</v>
      </c>
      <c r="E2">
        <f>S2PRP1!L2</f>
        <v>1.38</v>
      </c>
      <c r="F2">
        <f>MIN(S2PRP1[Time])</f>
        <v>120.6048</v>
      </c>
      <c r="G2">
        <f>MAX(S2PRP1[Time])</f>
        <v>600.03399999999999</v>
      </c>
      <c r="H2">
        <f>S2PRP1!M2</f>
        <v>0.52</v>
      </c>
      <c r="I2">
        <f>S2PRP1!N2</f>
        <v>2886.7451911537501</v>
      </c>
      <c r="J2">
        <f>S2PRP1!O2</f>
        <v>21317.986240526989</v>
      </c>
      <c r="K2">
        <f>I2+J2</f>
        <v>24204.731431680739</v>
      </c>
      <c r="L2">
        <f>_xlfn.VAR.P(S2PRP1[Time])</f>
        <v>30128.299476876855</v>
      </c>
      <c r="M2">
        <f>_xlfn.VAR.P(S2PRP1[E_total(J)])</f>
        <v>232041461.52917853</v>
      </c>
    </row>
    <row r="3" spans="1:13" x14ac:dyDescent="0.35">
      <c r="A3" t="s">
        <v>10</v>
      </c>
      <c r="B3">
        <f>AVERAGE(S2PRP2[Time])</f>
        <v>219.68630204081626</v>
      </c>
      <c r="C3">
        <f>AVERAGE(S2PRP2[[ NumMsgSent]])</f>
        <v>2832.795918367347</v>
      </c>
      <c r="D3">
        <f>AVERAGE(S2PRP2[[ Distance]])</f>
        <v>938.37784081632662</v>
      </c>
      <c r="E3">
        <f>S2PRP2!L2</f>
        <v>0.40816326530612246</v>
      </c>
      <c r="F3">
        <f>MIN(S2PRP2[Time])</f>
        <v>119.2533</v>
      </c>
      <c r="G3">
        <f>MAX(S2PRP2[Time])</f>
        <v>600.00800000000004</v>
      </c>
      <c r="H3">
        <f>S2PRP2!M2</f>
        <v>0.30612244897959184</v>
      </c>
      <c r="I3">
        <f>S2PRP2!N2</f>
        <v>2274.9797778290808</v>
      </c>
      <c r="J3">
        <f>S2PRP2!O2</f>
        <v>16971.334526091508</v>
      </c>
      <c r="K3">
        <f t="shared" ref="K3:K4" si="0">I3+J3</f>
        <v>19246.31430392059</v>
      </c>
      <c r="L3">
        <f>_xlfn.VAR.P(S2PRP2[Time])</f>
        <v>11476.908538751277</v>
      </c>
      <c r="M3">
        <f>_xlfn.VAR.P(S2PRP2[E_total(J)])</f>
        <v>83011113.406555042</v>
      </c>
    </row>
    <row r="4" spans="1:13" x14ac:dyDescent="0.35">
      <c r="A4" t="s">
        <v>11</v>
      </c>
      <c r="B4">
        <f>AVERAGE(S2PRP3[Time])</f>
        <v>190.27681224489797</v>
      </c>
      <c r="C4">
        <f>AVERAGE(S2PRP3[[ NumMsgSent]])</f>
        <v>2435.9591836734694</v>
      </c>
      <c r="D4">
        <f>AVERAGE(S2PRP3[[ Distance]])</f>
        <v>717.17183877551031</v>
      </c>
      <c r="E4">
        <f>S2PRP3!L2</f>
        <v>0.55102040816326525</v>
      </c>
      <c r="F4">
        <f>MIN(S2PRP3[Time])</f>
        <v>119.4211</v>
      </c>
      <c r="G4">
        <f>MAX(S2PRP3[Time])</f>
        <v>600.00149999999996</v>
      </c>
      <c r="H4">
        <f>S2PRP3!M2</f>
        <v>0.44897959183673469</v>
      </c>
      <c r="I4">
        <f>S2PRP3!N2</f>
        <v>1738.6934766313771</v>
      </c>
      <c r="J4">
        <f>S2PRP3!O2</f>
        <v>14699.375442017741</v>
      </c>
      <c r="K4">
        <f t="shared" si="0"/>
        <v>16438.068918649118</v>
      </c>
      <c r="L4">
        <f>_xlfn.VAR.P(S2PRP3[Time])</f>
        <v>6807.8572893565843</v>
      </c>
      <c r="M4">
        <f>_xlfn.VAR.P(S2PRP3[E_total(J)])</f>
        <v>41150320.73262763</v>
      </c>
    </row>
    <row r="22" spans="3:14" x14ac:dyDescent="0.35">
      <c r="C22" t="s">
        <v>4</v>
      </c>
    </row>
    <row r="23" spans="3:14" x14ac:dyDescent="0.35">
      <c r="C23" t="s">
        <v>38</v>
      </c>
      <c r="D23" t="s">
        <v>9</v>
      </c>
      <c r="E23" t="s">
        <v>10</v>
      </c>
      <c r="F23" t="s">
        <v>11</v>
      </c>
    </row>
    <row r="24" spans="3:14" x14ac:dyDescent="0.35">
      <c r="C24" t="s">
        <v>34</v>
      </c>
      <c r="D24">
        <f>_xlfn.QUARTILE.INC(S2PRP1[Time],0)</f>
        <v>120.6048</v>
      </c>
      <c r="E24">
        <f>_xlfn.QUARTILE.INC(S2PRP2[Time],0)</f>
        <v>119.2533</v>
      </c>
      <c r="F24">
        <f>_xlfn.QUARTILE.INC(S2PRP3[Time],0)</f>
        <v>119.4211</v>
      </c>
    </row>
    <row r="25" spans="3:14" x14ac:dyDescent="0.35">
      <c r="C25" t="s">
        <v>33</v>
      </c>
      <c r="D25">
        <f>_xlfn.QUARTILE.INC(S2PRP1[Time],1)</f>
        <v>136.99610000000001</v>
      </c>
      <c r="E25">
        <f>_xlfn.QUARTILE.INC(S2PRP2[Time],1)</f>
        <v>130.95529999999999</v>
      </c>
      <c r="F25">
        <f>_xlfn.QUARTILE.INC(S2PRP3[Time],1)</f>
        <v>123.39709999999999</v>
      </c>
    </row>
    <row r="26" spans="3:14" x14ac:dyDescent="0.35">
      <c r="C26" t="s">
        <v>35</v>
      </c>
      <c r="D26">
        <f>_xlfn.QUARTILE.INC(S2PRP1[Time],2)</f>
        <v>202.7072</v>
      </c>
      <c r="E26">
        <f>_xlfn.QUARTILE.INC(S2PRP2[Time],2)</f>
        <v>189.05969999999999</v>
      </c>
      <c r="F26">
        <f>_xlfn.QUARTILE.INC(S2PRP3[Time],2)</f>
        <v>174.88759999999999</v>
      </c>
      <c r="L26" t="s">
        <v>9</v>
      </c>
      <c r="M26" t="s">
        <v>10</v>
      </c>
      <c r="N26" t="s">
        <v>11</v>
      </c>
    </row>
    <row r="27" spans="3:14" x14ac:dyDescent="0.35">
      <c r="C27" t="s">
        <v>36</v>
      </c>
      <c r="D27">
        <f>_xlfn.QUARTILE.INC(S2PRP1[Time],3)</f>
        <v>321.01215000000002</v>
      </c>
      <c r="E27">
        <f>_xlfn.QUARTILE.INC(S2PRP2[Time],3)</f>
        <v>272.6429</v>
      </c>
      <c r="F27">
        <f>_xlfn.QUARTILE.INC(S2PRP3[Time],3)</f>
        <v>227.77500000000001</v>
      </c>
      <c r="K27" t="s">
        <v>39</v>
      </c>
      <c r="L27">
        <f>AVERAGE(S2PRP1[Time])</f>
        <v>275.95175600000005</v>
      </c>
      <c r="M27">
        <f>AVERAGE(S2PRP2[Time])</f>
        <v>219.68630204081626</v>
      </c>
      <c r="N27">
        <f>AVERAGE(S2PRP3[Time])</f>
        <v>190.27681224489797</v>
      </c>
    </row>
    <row r="28" spans="3:14" x14ac:dyDescent="0.35">
      <c r="C28" t="s">
        <v>37</v>
      </c>
      <c r="D28">
        <f>_xlfn.QUARTILE.INC(S2PRP1[Time],4)</f>
        <v>600.03399999999999</v>
      </c>
      <c r="E28">
        <f>_xlfn.QUARTILE.INC(S2PRP2[Time],4)</f>
        <v>600.00800000000004</v>
      </c>
      <c r="F28">
        <f>_xlfn.QUARTILE.INC(S2PRP3[Time],4)</f>
        <v>600.00149999999996</v>
      </c>
      <c r="K28" t="s">
        <v>41</v>
      </c>
      <c r="L28">
        <f>_xlfn.VAR.P(S2PRP1[Time])</f>
        <v>30128.299476876855</v>
      </c>
      <c r="M28">
        <f>_xlfn.VAR.P(S2PRP2[Time])</f>
        <v>11476.908538751277</v>
      </c>
      <c r="N28">
        <f>_xlfn.VAR.P(S2PRP3[Time])</f>
        <v>6807.8572893565843</v>
      </c>
    </row>
    <row r="29" spans="3:14" x14ac:dyDescent="0.35">
      <c r="K29" t="s">
        <v>40</v>
      </c>
      <c r="L29">
        <f>SQRT(L28)</f>
        <v>173.57505430469223</v>
      </c>
      <c r="M29">
        <f>SQRT(M28)</f>
        <v>107.13033435377338</v>
      </c>
      <c r="N29">
        <f>SQRT(N28)</f>
        <v>82.509740572592904</v>
      </c>
    </row>
    <row r="30" spans="3:14" x14ac:dyDescent="0.35">
      <c r="C30" t="s">
        <v>60</v>
      </c>
      <c r="D30" t="s">
        <v>9</v>
      </c>
      <c r="E30" t="s">
        <v>10</v>
      </c>
      <c r="F30" t="s">
        <v>11</v>
      </c>
      <c r="K30" t="s">
        <v>42</v>
      </c>
      <c r="L30">
        <f>COUNT(S2PRP1[Time])</f>
        <v>50</v>
      </c>
      <c r="M30">
        <f>COUNT(S2PRP2[Time])</f>
        <v>49</v>
      </c>
      <c r="N30">
        <f>COUNT(S2PRP3[Time])</f>
        <v>49</v>
      </c>
    </row>
    <row r="31" spans="3:14" x14ac:dyDescent="0.35">
      <c r="C31" t="s">
        <v>61</v>
      </c>
      <c r="D31">
        <f>D24</f>
        <v>120.6048</v>
      </c>
      <c r="E31">
        <f t="shared" ref="E31:F31" si="1">E24</f>
        <v>119.2533</v>
      </c>
      <c r="F31">
        <f t="shared" si="1"/>
        <v>119.4211</v>
      </c>
    </row>
    <row r="32" spans="3:14" x14ac:dyDescent="0.35">
      <c r="C32" t="s">
        <v>62</v>
      </c>
      <c r="D32">
        <f>D25-D24</f>
        <v>16.391300000000015</v>
      </c>
      <c r="E32">
        <f t="shared" ref="E32:F32" si="2">E25-E24</f>
        <v>11.701999999999998</v>
      </c>
      <c r="F32">
        <f t="shared" si="2"/>
        <v>3.9759999999999991</v>
      </c>
    </row>
    <row r="33" spans="3:6" x14ac:dyDescent="0.35">
      <c r="C33" s="10" t="s">
        <v>63</v>
      </c>
      <c r="D33">
        <f t="shared" ref="D33:F35" si="3">D26-D25</f>
        <v>65.711099999999988</v>
      </c>
      <c r="E33">
        <f t="shared" si="3"/>
        <v>58.104399999999998</v>
      </c>
      <c r="F33">
        <f t="shared" si="3"/>
        <v>51.490499999999997</v>
      </c>
    </row>
    <row r="34" spans="3:6" x14ac:dyDescent="0.35">
      <c r="C34" t="s">
        <v>64</v>
      </c>
      <c r="D34">
        <f t="shared" si="3"/>
        <v>118.30495000000002</v>
      </c>
      <c r="E34">
        <f t="shared" si="3"/>
        <v>83.583200000000005</v>
      </c>
      <c r="F34">
        <f t="shared" si="3"/>
        <v>52.887400000000014</v>
      </c>
    </row>
    <row r="35" spans="3:6" x14ac:dyDescent="0.35">
      <c r="C35" t="s">
        <v>65</v>
      </c>
      <c r="D35">
        <f t="shared" si="3"/>
        <v>279.02184999999997</v>
      </c>
      <c r="E35">
        <f t="shared" si="3"/>
        <v>327.36510000000004</v>
      </c>
      <c r="F35">
        <f t="shared" si="3"/>
        <v>372.22649999999999</v>
      </c>
    </row>
    <row r="38" spans="3:6" x14ac:dyDescent="0.35">
      <c r="C38" t="s">
        <v>82</v>
      </c>
    </row>
    <row r="39" spans="3:6" x14ac:dyDescent="0.35">
      <c r="C39" t="s">
        <v>38</v>
      </c>
      <c r="D39" t="s">
        <v>9</v>
      </c>
      <c r="E39" t="s">
        <v>10</v>
      </c>
      <c r="F39" t="s">
        <v>11</v>
      </c>
    </row>
    <row r="40" spans="3:6" x14ac:dyDescent="0.35">
      <c r="C40" t="s">
        <v>34</v>
      </c>
      <c r="D40">
        <f>_xlfn.QUARTILE.INC(S2PRP1[E_total(J)],0)</f>
        <v>10749.533064875754</v>
      </c>
      <c r="E40">
        <f>_xlfn.QUARTILE.INC(S2PRP2[E_total(J)],0)</f>
        <v>10707.922630886167</v>
      </c>
      <c r="F40">
        <f>_xlfn.QUARTILE.INC(S2PRP3[E_total(J)],0)</f>
        <v>10728.395116062225</v>
      </c>
    </row>
    <row r="41" spans="3:6" x14ac:dyDescent="0.35">
      <c r="C41" t="s">
        <v>33</v>
      </c>
      <c r="D41">
        <f>_xlfn.QUARTILE.INC(S2PRP1[E_total(J)],1)</f>
        <v>12108.619179394329</v>
      </c>
      <c r="E41">
        <f>_xlfn.QUARTILE.INC(S2PRP2[E_total(J)],1)</f>
        <v>11783.078456446881</v>
      </c>
      <c r="F41">
        <f>_xlfn.QUARTILE.INC(S2PRP3[E_total(J)],1)</f>
        <v>11083.173388606203</v>
      </c>
    </row>
    <row r="42" spans="3:6" x14ac:dyDescent="0.35">
      <c r="C42" t="s">
        <v>35</v>
      </c>
      <c r="D42">
        <f>_xlfn.QUARTILE.INC(S2PRP1[E_total(J)],2)</f>
        <v>17502.921726851066</v>
      </c>
      <c r="E42">
        <f>_xlfn.QUARTILE.INC(S2PRP2[E_total(J)],2)</f>
        <v>16272.521011280574</v>
      </c>
      <c r="F42">
        <f>_xlfn.QUARTILE.INC(S2PRP3[E_total(J)],2)</f>
        <v>15276.12652637389</v>
      </c>
    </row>
    <row r="43" spans="3:6" x14ac:dyDescent="0.35">
      <c r="C43" t="s">
        <v>36</v>
      </c>
      <c r="D43">
        <f>_xlfn.QUARTILE.INC(S2PRP1[E_total(J)],3)</f>
        <v>27417.625380929076</v>
      </c>
      <c r="E43">
        <f>_xlfn.QUARTILE.INC(S2PRP2[E_total(J)],3)</f>
        <v>23637.11784783109</v>
      </c>
      <c r="F43">
        <f>_xlfn.QUARTILE.INC(S2PRP3[E_total(J)],3)</f>
        <v>19487.422765706382</v>
      </c>
    </row>
    <row r="44" spans="3:6" x14ac:dyDescent="0.35">
      <c r="C44" t="s">
        <v>37</v>
      </c>
      <c r="D44">
        <f>_xlfn.QUARTILE.INC(S2PRP1[E_total(J)],4)</f>
        <v>53776.113948537</v>
      </c>
      <c r="E44">
        <f>_xlfn.QUARTILE.INC(S2PRP2[E_total(J)],4)</f>
        <v>50078.217091938663</v>
      </c>
      <c r="F44">
        <f>_xlfn.QUARTILE.INC(S2PRP3[E_total(J)],4)</f>
        <v>46798.057058204446</v>
      </c>
    </row>
    <row r="46" spans="3:6" x14ac:dyDescent="0.35">
      <c r="C46" t="s">
        <v>60</v>
      </c>
      <c r="D46" t="s">
        <v>9</v>
      </c>
      <c r="E46" t="s">
        <v>10</v>
      </c>
      <c r="F46" t="s">
        <v>11</v>
      </c>
    </row>
    <row r="47" spans="3:6" x14ac:dyDescent="0.35">
      <c r="C47" t="s">
        <v>61</v>
      </c>
      <c r="D47">
        <f>D40</f>
        <v>10749.533064875754</v>
      </c>
      <c r="E47">
        <f t="shared" ref="E47:F47" si="4">E40</f>
        <v>10707.922630886167</v>
      </c>
      <c r="F47">
        <f t="shared" si="4"/>
        <v>10728.395116062225</v>
      </c>
    </row>
    <row r="48" spans="3:6" x14ac:dyDescent="0.35">
      <c r="C48" t="s">
        <v>62</v>
      </c>
      <c r="D48">
        <f>D41-D40</f>
        <v>1359.0861145185754</v>
      </c>
      <c r="E48">
        <f t="shared" ref="E48:F48" si="5">E41-E40</f>
        <v>1075.1558255607142</v>
      </c>
      <c r="F48">
        <f t="shared" si="5"/>
        <v>354.77827254397744</v>
      </c>
    </row>
    <row r="49" spans="3:6" x14ac:dyDescent="0.35">
      <c r="C49" s="10" t="s">
        <v>63</v>
      </c>
      <c r="D49">
        <f t="shared" ref="D49:F49" si="6">D42-D41</f>
        <v>5394.3025474567366</v>
      </c>
      <c r="E49">
        <f t="shared" si="6"/>
        <v>4489.4425548336931</v>
      </c>
      <c r="F49">
        <f t="shared" si="6"/>
        <v>4192.9531377676867</v>
      </c>
    </row>
    <row r="50" spans="3:6" x14ac:dyDescent="0.35">
      <c r="C50" t="s">
        <v>64</v>
      </c>
      <c r="D50">
        <f t="shared" ref="D50:F50" si="7">D43-D42</f>
        <v>9914.70365407801</v>
      </c>
      <c r="E50">
        <f t="shared" si="7"/>
        <v>7364.5968365505159</v>
      </c>
      <c r="F50">
        <f t="shared" si="7"/>
        <v>4211.2962393324924</v>
      </c>
    </row>
    <row r="51" spans="3:6" x14ac:dyDescent="0.35">
      <c r="C51" t="s">
        <v>65</v>
      </c>
      <c r="D51">
        <f t="shared" ref="D51:F51" si="8">D44-D43</f>
        <v>26358.488567607925</v>
      </c>
      <c r="E51">
        <f t="shared" si="8"/>
        <v>26441.099244107572</v>
      </c>
      <c r="F51">
        <f t="shared" si="8"/>
        <v>27310.634292498064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24DB1-B69D-4E07-B3EA-79CE8E57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15</vt:i4>
      </vt:variant>
      <vt:variant>
        <vt:lpstr>Navngivne områder</vt:lpstr>
      </vt:variant>
      <vt:variant>
        <vt:i4>6</vt:i4>
      </vt:variant>
    </vt:vector>
  </HeadingPairs>
  <TitlesOfParts>
    <vt:vector size="21" baseType="lpstr">
      <vt:lpstr>S0PRP3</vt:lpstr>
      <vt:lpstr>S0PRP2</vt:lpstr>
      <vt:lpstr>S0PRP1</vt:lpstr>
      <vt:lpstr>S1PRP1</vt:lpstr>
      <vt:lpstr>S1PRP2</vt:lpstr>
      <vt:lpstr>S1PRP3</vt:lpstr>
      <vt:lpstr>Mass Influence</vt:lpstr>
      <vt:lpstr>S2PRP1</vt:lpstr>
      <vt:lpstr>S2PRP2</vt:lpstr>
      <vt:lpstr>S2PRP3</vt:lpstr>
      <vt:lpstr>Ark1</vt:lpstr>
      <vt:lpstr>Overall</vt:lpstr>
      <vt:lpstr>Scenario0</vt:lpstr>
      <vt:lpstr>Scenario1</vt:lpstr>
      <vt:lpstr>Scenario2</vt:lpstr>
      <vt:lpstr>Area</vt:lpstr>
      <vt:lpstr>Density</vt:lpstr>
      <vt:lpstr>Drag_Constant</vt:lpstr>
      <vt:lpstr>g</vt:lpstr>
      <vt:lpstr>Mass</vt:lpstr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Vangsgård</dc:creator>
  <cp:lastModifiedBy>Bjarke Vangsgård</cp:lastModifiedBy>
  <dcterms:created xsi:type="dcterms:W3CDTF">2023-11-13T09:05:12Z</dcterms:created>
  <dcterms:modified xsi:type="dcterms:W3CDTF">2023-12-01T17:54:10Z</dcterms:modified>
</cp:coreProperties>
</file>