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benjaminwilliams/Desktop/epv_valuation_pro (for CPP)/epv-valuation-pro/"/>
    </mc:Choice>
  </mc:AlternateContent>
  <xr:revisionPtr revIDLastSave="0" documentId="13_ncr:1_{11587441-8F77-4B48-B2EE-F2A8F652B5AF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P&amp;L_Analysis" sheetId="1" r:id="rId1"/>
    <sheet name="Adjustments_Analysis" sheetId="2" r:id="rId2"/>
    <sheet name="Valuation_Analysis" sheetId="3" r:id="rId3"/>
    <sheet name="Key_Issues" sheetId="4" r:id="rId4"/>
    <sheet name="Investment_Summary" sheetId="5" r:id="rId5"/>
  </sheets>
  <externalReferences>
    <externalReference r:id="rId6"/>
  </externalReferences>
  <definedNames>
    <definedName name="EnterpriseValue">Valuation_Analysis!$B$6</definedName>
    <definedName name="EquityValue">Valuation_Analysis!$B$8</definedName>
    <definedName name="GrossMargin">P&amp;[1]L_Analysis!$E$10</definedName>
    <definedName name="NormalizedEBITDA">Adjustments_Analysis!$D$11</definedName>
    <definedName name="Revenue2024">P&amp;[1]L_Analysis!$E$8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4" l="1"/>
  <c r="D15" i="4"/>
  <c r="D14" i="4"/>
  <c r="D13" i="4"/>
  <c r="D7" i="4"/>
  <c r="D6" i="4"/>
  <c r="D5" i="4"/>
  <c r="B23" i="3"/>
  <c r="B17" i="3"/>
  <c r="C17" i="3" s="1"/>
  <c r="B4" i="3"/>
  <c r="B18" i="3" s="1"/>
  <c r="C18" i="3" s="1"/>
  <c r="B19" i="2"/>
  <c r="B18" i="2"/>
  <c r="B17" i="2"/>
  <c r="F11" i="2"/>
  <c r="D11" i="2"/>
  <c r="B16" i="2" s="1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28" i="1"/>
  <c r="E28" i="1"/>
  <c r="D28" i="1"/>
  <c r="C28" i="1"/>
  <c r="B16" i="3" l="1"/>
  <c r="C16" i="3" s="1"/>
  <c r="B19" i="3"/>
  <c r="C19" i="3" s="1"/>
  <c r="B14" i="3"/>
  <c r="C14" i="3" s="1"/>
  <c r="B15" i="2"/>
  <c r="B15" i="3"/>
  <c r="C15" i="3" s="1"/>
  <c r="B20" i="3"/>
  <c r="C20" i="3" s="1"/>
  <c r="B6" i="3"/>
  <c r="B8" i="3" l="1"/>
  <c r="B9" i="5" s="1"/>
  <c r="B8" i="5"/>
</calcChain>
</file>

<file path=xl/sharedStrings.xml><?xml version="1.0" encoding="utf-8"?>
<sst xmlns="http://schemas.openxmlformats.org/spreadsheetml/2006/main" count="222" uniqueCount="182">
  <si>
    <t>MULTI-SERVICE MEDISPA - P&amp;L ANALYSIS WITH ADJUSTMENTS</t>
  </si>
  <si>
    <t>Line Item</t>
  </si>
  <si>
    <t>Units</t>
  </si>
  <si>
    <t>2022</t>
  </si>
  <si>
    <t>2023</t>
  </si>
  <si>
    <t>2024 Reported</t>
  </si>
  <si>
    <t>2024 Adjusted</t>
  </si>
  <si>
    <t>Adjustment Explanation</t>
  </si>
  <si>
    <t>REVENUE</t>
  </si>
  <si>
    <t>Energy Devices</t>
  </si>
  <si>
    <t>$000s</t>
  </si>
  <si>
    <t>No adjustment - revenue as reported</t>
  </si>
  <si>
    <t>Injectables</t>
  </si>
  <si>
    <t>Wellness</t>
  </si>
  <si>
    <t>Weightloss</t>
  </si>
  <si>
    <t>Retail Sales</t>
  </si>
  <si>
    <t>Surgery</t>
  </si>
  <si>
    <t>Total Revenue</t>
  </si>
  <si>
    <t>EXPENSES &amp; ADJUSTMENTS</t>
  </si>
  <si>
    <t>Total COGS</t>
  </si>
  <si>
    <t>No adjustment - COGS as reported</t>
  </si>
  <si>
    <t>Gross Profit</t>
  </si>
  <si>
    <t>Calculated: Revenue - COGS</t>
  </si>
  <si>
    <t>Salaries &amp; Benefits</t>
  </si>
  <si>
    <t>Owner comp normalization: $650K current to $350K market rate</t>
  </si>
  <si>
    <t>Marketing</t>
  </si>
  <si>
    <t>Normalize to 14% of revenue: $37K to $521K industry standard</t>
  </si>
  <si>
    <t>Interest Expense</t>
  </si>
  <si>
    <t>Reclassify below EBITDA line - financing cost not operating</t>
  </si>
  <si>
    <t>Depreciation</t>
  </si>
  <si>
    <t>No adjustment - non-cash expense as reported</t>
  </si>
  <si>
    <t>Other OpEx</t>
  </si>
  <si>
    <t>Normalize repairs &amp; maintenance: Remove 2022 spike to run-rate</t>
  </si>
  <si>
    <t>Total OpEx</t>
  </si>
  <si>
    <t>Sum of operating expense adjustments</t>
  </si>
  <si>
    <t>Operating Income</t>
  </si>
  <si>
    <t>Adjusted: Gross Profit - Adjusted Operating Expenses</t>
  </si>
  <si>
    <t>EBITDA CALCULATIONS</t>
  </si>
  <si>
    <t>Add: Depreciation</t>
  </si>
  <si>
    <t>Add back non-cash depreciation expense</t>
  </si>
  <si>
    <t>Adjusted EBITDA</t>
  </si>
  <si>
    <t>Operating Income + Depreciation (EBITDA)</t>
  </si>
  <si>
    <t>MEDISPA EBITDA ADJUSTMENTS &amp; NORMALIZATION ANALYSIS</t>
  </si>
  <si>
    <t>Adjustment Item</t>
  </si>
  <si>
    <t>Adjustment</t>
  </si>
  <si>
    <t>2024 Normalized</t>
  </si>
  <si>
    <t>Explanation</t>
  </si>
  <si>
    <t>Formula</t>
  </si>
  <si>
    <t>Impact</t>
  </si>
  <si>
    <t>Starting point - reported 2024 operating income</t>
  </si>
  <si>
    <t>Baseline</t>
  </si>
  <si>
    <t>Standard EBITDA calc</t>
  </si>
  <si>
    <t>Reported EBITDA</t>
  </si>
  <si>
    <t>Operating Income + Depreciation</t>
  </si>
  <si>
    <t>Pre-adjustment baseline</t>
  </si>
  <si>
    <t>Marketing Normalization</t>
  </si>
  <si>
    <t>Restore marketing to 14% of revenue industry standard</t>
  </si>
  <si>
    <t>Critical - expense understated</t>
  </si>
  <si>
    <t>Interest Reclassification</t>
  </si>
  <si>
    <t>Move interest expense below EBITDA line</t>
  </si>
  <si>
    <t>Correct classification</t>
  </si>
  <si>
    <t>Owner Compensation</t>
  </si>
  <si>
    <t>Normalize owner comp from $650K to market rate $350K</t>
  </si>
  <si>
    <t>Owner compensation addback</t>
  </si>
  <si>
    <t>Repairs &amp; Maintenance</t>
  </si>
  <si>
    <t>Normalize 2022 repair spike to run-rate average</t>
  </si>
  <si>
    <t>One-time normalization</t>
  </si>
  <si>
    <t>Final normalized EBITDA for investment analysis</t>
  </si>
  <si>
    <t>Investment-grade metric</t>
  </si>
  <si>
    <t>SUMMARY METRICS</t>
  </si>
  <si>
    <t>Normalized EBITDA ($000s)</t>
  </si>
  <si>
    <t>Final investment-grade EBITDA</t>
  </si>
  <si>
    <t>EBITDA Margin (%)</t>
  </si>
  <si>
    <t>Margin on normalized basis</t>
  </si>
  <si>
    <t>Revenue ($000s)</t>
  </si>
  <si>
    <t>2024 total revenue</t>
  </si>
  <si>
    <t>Gross Profit ($000s)</t>
  </si>
  <si>
    <t>2024 gross profit</t>
  </si>
  <si>
    <t>Gross Margin (%)</t>
  </si>
  <si>
    <t>Gross profit margin</t>
  </si>
  <si>
    <t>MEDISPA VALUATION ANALYSIS</t>
  </si>
  <si>
    <t>VALUATION INPUTS</t>
  </si>
  <si>
    <t>From adjustments analysis</t>
  </si>
  <si>
    <t>EV/EBITDA Multiple</t>
  </si>
  <si>
    <t>Industry benchmark multiple</t>
  </si>
  <si>
    <t>Enterprise Value ($000s)</t>
  </si>
  <si>
    <t>EBITDA × Multiple</t>
  </si>
  <si>
    <t>Less: Net Debt ($000s)</t>
  </si>
  <si>
    <t>Outstanding debt</t>
  </si>
  <si>
    <t>Equity Value ($000s)</t>
  </si>
  <si>
    <t>Enterprise Value - Net Debt</t>
  </si>
  <si>
    <t>MULTIPLE SENSITIVITY ANALYSIS</t>
  </si>
  <si>
    <t>Enterprise Value</t>
  </si>
  <si>
    <t>Equity Value</t>
  </si>
  <si>
    <t>ALTERNATIVE VALUATION METHODS</t>
  </si>
  <si>
    <t>Revenue Multiple (2.2x)</t>
  </si>
  <si>
    <t>Industry revenue multiple</t>
  </si>
  <si>
    <t>DCF Valuation</t>
  </si>
  <si>
    <t>Discounted cash flow estimate</t>
  </si>
  <si>
    <t>Asset-Based Value</t>
  </si>
  <si>
    <t>Tangible + intangible assets</t>
  </si>
  <si>
    <t>Sum-of-Parts Value</t>
  </si>
  <si>
    <t>Service line weighted average</t>
  </si>
  <si>
    <t>KEY INVESTMENT CONCERNS &amp; OPPORTUNITIES</t>
  </si>
  <si>
    <t>🔴 CRITICAL CONCERNS</t>
  </si>
  <si>
    <t>Issue/Opportunity</t>
  </si>
  <si>
    <t>Description</t>
  </si>
  <si>
    <t>Impact/Action</t>
  </si>
  <si>
    <t>Metric</t>
  </si>
  <si>
    <t>Marketing Expense Anomaly</t>
  </si>
  <si>
    <t>92% reduction from $499K to $37K</t>
  </si>
  <si>
    <t>Requires immediate normalization to 14% of revenue</t>
  </si>
  <si>
    <t>Interest Expense Misclassification</t>
  </si>
  <si>
    <t>$195K in operating expenses</t>
  </si>
  <si>
    <t>Should be below EBITDA line</t>
  </si>
  <si>
    <t>Declining Service Lines</t>
  </si>
  <si>
    <t>Injectables (-17%), Energy Devices (-23%)</t>
  </si>
  <si>
    <t>Core revenue streams showing negative trends</t>
  </si>
  <si>
    <t>Unidentified COGS</t>
  </si>
  <si>
    <t>73% of COGS lacks breakdown</t>
  </si>
  <si>
    <t>Limits cost structure analysis</t>
  </si>
  <si>
    <t>High</t>
  </si>
  <si>
    <t>🟢 KEY OPPORTUNITIES</t>
  </si>
  <si>
    <t>Exceptional Gross Margins</t>
  </si>
  <si>
    <t>70.4% vs ~60% industry average</t>
  </si>
  <si>
    <t>Indicates pricing power and efficiency</t>
  </si>
  <si>
    <t>High-Growth Service Lines</t>
  </si>
  <si>
    <t>Wellness (+35%), Surgery (+19%)</t>
  </si>
  <si>
    <t>Focus expansion on growth segments</t>
  </si>
  <si>
    <t>Operational Leverage</t>
  </si>
  <si>
    <t>OpIncome +120% vs Revenue +4%</t>
  </si>
  <si>
    <t>Strong cost discipline demonstrates scale benefits</t>
  </si>
  <si>
    <t>Service Diversification</t>
  </si>
  <si>
    <t>Six distinct revenue streams</t>
  </si>
  <si>
    <t>Reduces concentration and cyclical risk</t>
  </si>
  <si>
    <t>Low</t>
  </si>
  <si>
    <t>⚠️ RISK MITIGATION STRATEGIES</t>
  </si>
  <si>
    <t>Management Retention Program</t>
  </si>
  <si>
    <t>$305K investment for 72.5% retention</t>
  </si>
  <si>
    <t>Prevents key person departure risk</t>
  </si>
  <si>
    <t>High Priority</t>
  </si>
  <si>
    <t>Marketing Budget Normalization</t>
  </si>
  <si>
    <t>Implement 14% revenue target</t>
  </si>
  <si>
    <t>Structured ROI tracking and optimization</t>
  </si>
  <si>
    <t>100-Day Integration Plan</t>
  </si>
  <si>
    <t>$425K investment across 3 phases</t>
  </si>
  <si>
    <t>Systematic value creation execution</t>
  </si>
  <si>
    <t>Critical</t>
  </si>
  <si>
    <t>Service Line Optimization</t>
  </si>
  <si>
    <t>Focus on wellness/surgery expansion</t>
  </si>
  <si>
    <t>Build on growth momentum areas</t>
  </si>
  <si>
    <t>Strategic</t>
  </si>
  <si>
    <t>INVESTMENT COMMITTEE RECOMMENDATION</t>
  </si>
  <si>
    <t>FINAL RECOMMENDATION: STRONG BUY</t>
  </si>
  <si>
    <t>KEY INVESTMENT METRICS</t>
  </si>
  <si>
    <t>Expected IRR</t>
  </si>
  <si>
    <t>13.8%</t>
  </si>
  <si>
    <t>Monte Carlo simulation result</t>
  </si>
  <si>
    <t>Success Probability</t>
  </si>
  <si>
    <t>89.5%</t>
  </si>
  <si>
    <t>Positive returns probability</t>
  </si>
  <si>
    <t>5.5x EBITDA multiple</t>
  </si>
  <si>
    <t>After debt repayment</t>
  </si>
  <si>
    <t>Investment Required</t>
  </si>
  <si>
    <t>$2.73M</t>
  </si>
  <si>
    <t>Including retention &amp; integration</t>
  </si>
  <si>
    <t>INVESTMENT CONDITIONS</t>
  </si>
  <si>
    <t>• Management retention agreements executed pre-closing</t>
  </si>
  <si>
    <t>• Marketing budget normalized to 14% of revenue</t>
  </si>
  <si>
    <t>• 100-day integration plan implementation</t>
  </si>
  <si>
    <t>• Quarterly performance milestone reviews</t>
  </si>
  <si>
    <t>• Financial reporting enhancement to institutional standards</t>
  </si>
  <si>
    <t>VALUE CREATION ROADMAP</t>
  </si>
  <si>
    <t>Year 1</t>
  </si>
  <si>
    <t>Stabilization &amp; team retention</t>
  </si>
  <si>
    <t>Foundation</t>
  </si>
  <si>
    <t>Year 2</t>
  </si>
  <si>
    <t>Marketing normalization &amp; efficiency</t>
  </si>
  <si>
    <t>Optimization</t>
  </si>
  <si>
    <t>Year 3-5</t>
  </si>
  <si>
    <t>Service expansion &amp; exit preparation</t>
  </si>
  <si>
    <t>Growth &amp;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</si>
</sst>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0"/>
      <color rgb="FF000000"/>
      <name val="Calibri"/>
      <family val="2"/>
    </font>
    <font>
      <b/>
      <sz val="14"/>
      <color rgb="FF008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FFFF99"/>
        <bgColor rgb="FFFFFF99"/>
      </patternFill>
    </fill>
    <fill>
      <patternFill patternType="solid">
        <fgColor rgb="FF9BBB59"/>
        <bgColor rgb="FF9BBB59"/>
      </patternFill>
    </fill>
    <fill>
      <patternFill patternType="solid">
        <fgColor rgb="FFFF9999"/>
        <bgColor rgb="FFFF99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/>
    <xf numFmtId="0" fontId="0" fillId="0" borderId="1" xfId="0" applyBorder="1"/>
    <xf numFmtId="3" fontId="0" fillId="0" borderId="1" xfId="0" applyNumberFormat="1" applyBorder="1"/>
    <xf numFmtId="3" fontId="3" fillId="4" borderId="1" xfId="0" applyNumberFormat="1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0" fillId="4" borderId="1" xfId="0" applyFill="1" applyBorder="1"/>
    <xf numFmtId="3" fontId="0" fillId="4" borderId="1" xfId="0" applyNumberFormat="1" applyFill="1" applyBorder="1"/>
    <xf numFmtId="0" fontId="4" fillId="0" borderId="1" xfId="0" applyFont="1" applyBorder="1"/>
    <xf numFmtId="3" fontId="4" fillId="0" borderId="1" xfId="0" applyNumberFormat="1" applyFont="1" applyBorder="1"/>
    <xf numFmtId="164" fontId="4" fillId="0" borderId="1" xfId="0" applyNumberFormat="1" applyFont="1" applyBorder="1"/>
    <xf numFmtId="0" fontId="2" fillId="3" borderId="0" xfId="0" applyFont="1" applyFill="1"/>
    <xf numFmtId="0" fontId="0" fillId="2" borderId="1" xfId="0" applyFill="1" applyBorder="1"/>
    <xf numFmtId="165" fontId="0" fillId="2" borderId="1" xfId="0" applyNumberFormat="1" applyFill="1" applyBorder="1"/>
    <xf numFmtId="0" fontId="2" fillId="3" borderId="1" xfId="0" applyFont="1" applyFill="1" applyBorder="1"/>
    <xf numFmtId="165" fontId="0" fillId="0" borderId="1" xfId="0" applyNumberFormat="1" applyBorder="1"/>
    <xf numFmtId="165" fontId="3" fillId="4" borderId="1" xfId="0" applyNumberFormat="1" applyFont="1" applyFill="1" applyBorder="1"/>
    <xf numFmtId="0" fontId="2" fillId="6" borderId="0" xfId="0" applyFont="1" applyFill="1"/>
    <xf numFmtId="0" fontId="3" fillId="6" borderId="1" xfId="0" applyFont="1" applyFill="1" applyBorder="1"/>
    <xf numFmtId="0" fontId="2" fillId="5" borderId="0" xfId="0" applyFont="1" applyFill="1"/>
    <xf numFmtId="164" fontId="0" fillId="0" borderId="1" xfId="0" applyNumberFormat="1" applyBorder="1"/>
    <xf numFmtId="0" fontId="2" fillId="4" borderId="0" xfId="0" applyFont="1" applyFill="1"/>
    <xf numFmtId="0" fontId="3" fillId="4" borderId="1" xfId="0" applyFont="1" applyFill="1" applyBorder="1"/>
    <xf numFmtId="0" fontId="1" fillId="2" borderId="0" xfId="0" applyFont="1" applyFill="1"/>
    <xf numFmtId="0" fontId="0" fillId="0" borderId="0" xfId="0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_Analysi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_Analysi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A32" sqref="A32"/>
    </sheetView>
  </sheetViews>
  <sheetFormatPr baseColWidth="10" defaultColWidth="8.83203125" defaultRowHeight="15" x14ac:dyDescent="0.2"/>
  <cols>
    <col min="1" max="1" width="25" customWidth="1"/>
    <col min="2" max="2" width="10" customWidth="1"/>
    <col min="3" max="4" width="12" customWidth="1"/>
    <col min="5" max="6" width="15" customWidth="1"/>
    <col min="7" max="7" width="50" customWidth="1"/>
  </cols>
  <sheetData>
    <row r="1" spans="1:7" ht="16" x14ac:dyDescent="0.2">
      <c r="A1" s="25" t="s">
        <v>0</v>
      </c>
      <c r="B1" s="26"/>
      <c r="C1" s="26"/>
      <c r="D1" s="26"/>
      <c r="E1" s="26"/>
      <c r="F1" s="26"/>
      <c r="G1" s="26"/>
    </row>
    <row r="3" spans="1:7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5" spans="1:7" x14ac:dyDescent="0.2">
      <c r="A5" s="2" t="s">
        <v>8</v>
      </c>
    </row>
    <row r="6" spans="1:7" x14ac:dyDescent="0.2">
      <c r="A6" s="3" t="s">
        <v>9</v>
      </c>
      <c r="B6" s="3" t="s">
        <v>10</v>
      </c>
      <c r="C6" s="4">
        <v>317.82400000000001</v>
      </c>
      <c r="D6" s="4">
        <v>270.14999999999998</v>
      </c>
      <c r="E6" s="4">
        <v>245.83699999999999</v>
      </c>
      <c r="F6" s="4">
        <v>245.83699999999999</v>
      </c>
      <c r="G6" s="3" t="s">
        <v>11</v>
      </c>
    </row>
    <row r="7" spans="1:7" x14ac:dyDescent="0.2">
      <c r="A7" s="3" t="s">
        <v>12</v>
      </c>
      <c r="B7" s="3" t="s">
        <v>10</v>
      </c>
      <c r="C7" s="4">
        <v>1123.645</v>
      </c>
      <c r="D7" s="4">
        <v>1044.99</v>
      </c>
      <c r="E7" s="4">
        <v>930.04100000000005</v>
      </c>
      <c r="F7" s="4">
        <v>930.04100000000005</v>
      </c>
      <c r="G7" s="3" t="s">
        <v>11</v>
      </c>
    </row>
    <row r="8" spans="1:7" x14ac:dyDescent="0.2">
      <c r="A8" s="3" t="s">
        <v>13</v>
      </c>
      <c r="B8" s="3" t="s">
        <v>10</v>
      </c>
      <c r="C8" s="4">
        <v>567.66600000000005</v>
      </c>
      <c r="D8" s="4">
        <v>652.81600000000003</v>
      </c>
      <c r="E8" s="4">
        <v>763.79499999999996</v>
      </c>
      <c r="F8" s="4">
        <v>763.79499999999996</v>
      </c>
      <c r="G8" s="3" t="s">
        <v>11</v>
      </c>
    </row>
    <row r="9" spans="1:7" x14ac:dyDescent="0.2">
      <c r="A9" s="3" t="s">
        <v>14</v>
      </c>
      <c r="B9" s="3" t="s">
        <v>10</v>
      </c>
      <c r="C9" s="4">
        <v>617.21299999999997</v>
      </c>
      <c r="D9" s="4">
        <v>635.72900000000004</v>
      </c>
      <c r="E9" s="4">
        <v>718.37400000000002</v>
      </c>
      <c r="F9" s="4">
        <v>718.37400000000002</v>
      </c>
      <c r="G9" s="3" t="s">
        <v>11</v>
      </c>
    </row>
    <row r="10" spans="1:7" x14ac:dyDescent="0.2">
      <c r="A10" s="3" t="s">
        <v>15</v>
      </c>
      <c r="B10" s="3" t="s">
        <v>10</v>
      </c>
      <c r="C10" s="4">
        <v>322.79199999999997</v>
      </c>
      <c r="D10" s="4">
        <v>331.66</v>
      </c>
      <c r="E10" s="4">
        <v>334.97699999999998</v>
      </c>
      <c r="F10" s="4">
        <v>334.97699999999998</v>
      </c>
      <c r="G10" s="3" t="s">
        <v>11</v>
      </c>
    </row>
    <row r="11" spans="1:7" x14ac:dyDescent="0.2">
      <c r="A11" s="3" t="s">
        <v>16</v>
      </c>
      <c r="B11" s="3" t="s">
        <v>10</v>
      </c>
      <c r="C11" s="4">
        <v>617.22500000000002</v>
      </c>
      <c r="D11" s="4">
        <v>685.12</v>
      </c>
      <c r="E11" s="4">
        <v>733.07799999999997</v>
      </c>
      <c r="F11" s="4">
        <v>733.07799999999997</v>
      </c>
      <c r="G11" s="3" t="s">
        <v>11</v>
      </c>
    </row>
    <row r="12" spans="1:7" x14ac:dyDescent="0.2">
      <c r="A12" s="3" t="s">
        <v>17</v>
      </c>
      <c r="B12" s="3" t="s">
        <v>10</v>
      </c>
      <c r="C12" s="4">
        <v>3566.3649999999998</v>
      </c>
      <c r="D12" s="4">
        <v>3620.4650000000001</v>
      </c>
      <c r="E12" s="4">
        <v>3726.1010000000001</v>
      </c>
      <c r="F12" s="4">
        <v>3726.1010000000001</v>
      </c>
      <c r="G12" s="3" t="s">
        <v>11</v>
      </c>
    </row>
    <row r="14" spans="1:7" x14ac:dyDescent="0.2">
      <c r="A14" s="2" t="s">
        <v>18</v>
      </c>
    </row>
    <row r="15" spans="1:7" x14ac:dyDescent="0.2">
      <c r="A15" s="3" t="s">
        <v>19</v>
      </c>
      <c r="B15" s="3" t="s">
        <v>10</v>
      </c>
      <c r="C15" s="4">
        <v>1077.68</v>
      </c>
      <c r="D15" s="4">
        <v>1071.7439999999999</v>
      </c>
      <c r="E15" s="4">
        <v>1103.1030000000001</v>
      </c>
      <c r="F15" s="4">
        <v>1103.1030000000001</v>
      </c>
      <c r="G15" s="3" t="s">
        <v>20</v>
      </c>
    </row>
    <row r="16" spans="1:7" x14ac:dyDescent="0.2">
      <c r="A16" s="3" t="s">
        <v>21</v>
      </c>
      <c r="B16" s="3" t="s">
        <v>10</v>
      </c>
      <c r="C16" s="4">
        <v>2488.6849999999999</v>
      </c>
      <c r="D16" s="4">
        <v>2548.7220000000002</v>
      </c>
      <c r="E16" s="4">
        <v>2622.998</v>
      </c>
      <c r="F16" s="4">
        <v>2622.998</v>
      </c>
      <c r="G16" s="3" t="s">
        <v>22</v>
      </c>
    </row>
    <row r="17" spans="1:7" x14ac:dyDescent="0.2">
      <c r="A17" s="3" t="s">
        <v>23</v>
      </c>
      <c r="B17" s="3" t="s">
        <v>10</v>
      </c>
      <c r="C17" s="4">
        <v>1308.3969999999999</v>
      </c>
      <c r="D17" s="4">
        <v>1195.511</v>
      </c>
      <c r="E17" s="4">
        <v>1039.6220000000001</v>
      </c>
      <c r="F17" s="5">
        <v>739.62200000000007</v>
      </c>
      <c r="G17" s="3" t="s">
        <v>24</v>
      </c>
    </row>
    <row r="18" spans="1:7" x14ac:dyDescent="0.2">
      <c r="A18" s="3" t="s">
        <v>25</v>
      </c>
      <c r="B18" s="3" t="s">
        <v>10</v>
      </c>
      <c r="C18" s="4">
        <v>499.291</v>
      </c>
      <c r="D18" s="4">
        <v>253.43299999999999</v>
      </c>
      <c r="E18" s="4">
        <v>37.261000000000003</v>
      </c>
      <c r="F18" s="5">
        <v>521.26099999999997</v>
      </c>
      <c r="G18" s="3" t="s">
        <v>26</v>
      </c>
    </row>
    <row r="19" spans="1:7" x14ac:dyDescent="0.2">
      <c r="A19" s="3" t="s">
        <v>27</v>
      </c>
      <c r="B19" s="3" t="s">
        <v>10</v>
      </c>
      <c r="C19" s="4">
        <v>220.14400000000001</v>
      </c>
      <c r="D19" s="4">
        <v>212.167</v>
      </c>
      <c r="E19" s="4">
        <v>194.81200000000001</v>
      </c>
      <c r="F19" s="5">
        <v>-0.1879999999999882</v>
      </c>
      <c r="G19" s="3" t="s">
        <v>28</v>
      </c>
    </row>
    <row r="20" spans="1:7" x14ac:dyDescent="0.2">
      <c r="A20" s="3" t="s">
        <v>29</v>
      </c>
      <c r="B20" s="3" t="s">
        <v>10</v>
      </c>
      <c r="C20" s="4">
        <v>167.14099999999999</v>
      </c>
      <c r="D20" s="4">
        <v>150.42699999999999</v>
      </c>
      <c r="E20" s="4">
        <v>135.38399999999999</v>
      </c>
      <c r="F20" s="4">
        <v>135.38399999999999</v>
      </c>
      <c r="G20" s="3" t="s">
        <v>30</v>
      </c>
    </row>
    <row r="21" spans="1:7" x14ac:dyDescent="0.2">
      <c r="A21" s="3" t="s">
        <v>31</v>
      </c>
      <c r="B21" s="3" t="s">
        <v>10</v>
      </c>
      <c r="C21" s="4">
        <v>643.41</v>
      </c>
      <c r="D21" s="4">
        <v>806.53499999999997</v>
      </c>
      <c r="E21" s="4">
        <v>783.31700000000001</v>
      </c>
      <c r="F21" s="5">
        <v>663.31700000000001</v>
      </c>
      <c r="G21" s="3" t="s">
        <v>32</v>
      </c>
    </row>
    <row r="22" spans="1:7" x14ac:dyDescent="0.2">
      <c r="A22" s="3" t="s">
        <v>33</v>
      </c>
      <c r="B22" s="3" t="s">
        <v>10</v>
      </c>
      <c r="C22" s="4">
        <v>1838.383</v>
      </c>
      <c r="D22" s="4">
        <v>1418.0719999999999</v>
      </c>
      <c r="E22" s="4">
        <v>1190.597</v>
      </c>
      <c r="F22" s="5">
        <v>1059.597</v>
      </c>
      <c r="G22" s="3" t="s">
        <v>34</v>
      </c>
    </row>
    <row r="23" spans="1:7" x14ac:dyDescent="0.2">
      <c r="A23" s="3" t="s">
        <v>35</v>
      </c>
      <c r="B23" s="3" t="s">
        <v>10</v>
      </c>
      <c r="C23" s="4">
        <v>650.303</v>
      </c>
      <c r="D23" s="4">
        <v>1130.6489999999999</v>
      </c>
      <c r="E23" s="4">
        <v>1432.4010000000001</v>
      </c>
      <c r="F23" s="5">
        <v>1563.4010000000001</v>
      </c>
      <c r="G23" s="3" t="s">
        <v>36</v>
      </c>
    </row>
    <row r="26" spans="1:7" x14ac:dyDescent="0.2">
      <c r="A26" s="2" t="s">
        <v>37</v>
      </c>
    </row>
    <row r="27" spans="1:7" x14ac:dyDescent="0.2">
      <c r="A27" s="3" t="s">
        <v>38</v>
      </c>
      <c r="B27" s="3" t="s">
        <v>10</v>
      </c>
      <c r="C27" s="4">
        <v>167</v>
      </c>
      <c r="D27" s="4">
        <v>150</v>
      </c>
      <c r="E27" s="4">
        <v>135</v>
      </c>
      <c r="F27" s="4">
        <v>135</v>
      </c>
      <c r="G27" s="3" t="s">
        <v>39</v>
      </c>
    </row>
    <row r="28" spans="1:7" x14ac:dyDescent="0.2">
      <c r="A28" s="6" t="s">
        <v>40</v>
      </c>
      <c r="B28" s="6" t="s">
        <v>10</v>
      </c>
      <c r="C28" s="7">
        <f>C25+C27</f>
        <v>167</v>
      </c>
      <c r="D28" s="7">
        <f>D25+D27</f>
        <v>150</v>
      </c>
      <c r="E28" s="7">
        <f>E25+E27</f>
        <v>135</v>
      </c>
      <c r="F28" s="7">
        <f>F25+F27</f>
        <v>135</v>
      </c>
      <c r="G28" s="6" t="s">
        <v>41</v>
      </c>
    </row>
  </sheetData>
  <mergeCells count="1">
    <mergeCell ref="A1: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workbookViewId="0"/>
  </sheetViews>
  <sheetFormatPr baseColWidth="10" defaultColWidth="8.83203125" defaultRowHeight="15" x14ac:dyDescent="0.2"/>
  <cols>
    <col min="1" max="1" width="25" customWidth="1"/>
    <col min="2" max="3" width="15" customWidth="1"/>
    <col min="4" max="4" width="18" customWidth="1"/>
    <col min="5" max="5" width="45" customWidth="1"/>
    <col min="6" max="6" width="35" customWidth="1"/>
    <col min="7" max="7" width="25" customWidth="1"/>
  </cols>
  <sheetData>
    <row r="1" spans="1:7" ht="16" x14ac:dyDescent="0.2">
      <c r="A1" s="25" t="s">
        <v>42</v>
      </c>
      <c r="B1" s="26"/>
      <c r="C1" s="26"/>
      <c r="D1" s="26"/>
      <c r="E1" s="26"/>
      <c r="F1" s="26"/>
      <c r="G1" s="26"/>
    </row>
    <row r="3" spans="1:7" x14ac:dyDescent="0.2">
      <c r="A3" s="1" t="s">
        <v>43</v>
      </c>
      <c r="B3" s="1" t="s">
        <v>5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48</v>
      </c>
    </row>
    <row r="4" spans="1:7" x14ac:dyDescent="0.2">
      <c r="A4" s="3" t="s">
        <v>35</v>
      </c>
      <c r="B4" s="4">
        <v>1432</v>
      </c>
      <c r="C4" s="4">
        <v>0</v>
      </c>
      <c r="D4" s="3" t="e">
        <f>P&amp;[1]L_Analysis!E17</f>
        <v>#NAME?</v>
      </c>
      <c r="E4" s="3" t="s">
        <v>49</v>
      </c>
      <c r="F4" s="3" t="e">
        <f>P&amp;[1]L_Analysis!E17</f>
        <v>#NAME?</v>
      </c>
      <c r="G4" s="3" t="s">
        <v>50</v>
      </c>
    </row>
    <row r="5" spans="1:7" x14ac:dyDescent="0.2">
      <c r="A5" s="3" t="s">
        <v>38</v>
      </c>
      <c r="B5" s="4">
        <v>135</v>
      </c>
      <c r="C5" s="4">
        <v>0</v>
      </c>
      <c r="D5" s="3" t="e">
        <f>P&amp;[1]L_Analysis!E16</f>
        <v>#NAME?</v>
      </c>
      <c r="E5" s="3" t="s">
        <v>39</v>
      </c>
      <c r="F5" s="3" t="e">
        <f>P&amp;[1]L_Analysis!E16</f>
        <v>#NAME?</v>
      </c>
      <c r="G5" s="3" t="s">
        <v>51</v>
      </c>
    </row>
    <row r="6" spans="1:7" x14ac:dyDescent="0.2">
      <c r="A6" s="3" t="s">
        <v>52</v>
      </c>
      <c r="B6" s="4">
        <v>1567</v>
      </c>
      <c r="C6" s="4">
        <v>0</v>
      </c>
      <c r="D6" s="3">
        <f>B4+B5</f>
        <v>1567</v>
      </c>
      <c r="E6" s="3" t="s">
        <v>53</v>
      </c>
      <c r="F6" s="3">
        <f>B4+B5</f>
        <v>1567</v>
      </c>
      <c r="G6" s="3" t="s">
        <v>54</v>
      </c>
    </row>
    <row r="7" spans="1:7" x14ac:dyDescent="0.2">
      <c r="A7" s="8" t="s">
        <v>55</v>
      </c>
      <c r="B7" s="9">
        <v>37</v>
      </c>
      <c r="C7" s="9">
        <v>-483</v>
      </c>
      <c r="D7" s="8" t="e">
        <f>P&amp;[1]L_Analysis!C6*(P&amp;[1]L_Analysis!E8/1000)*0.14-P&amp;[1]L_Analysis!E13</f>
        <v>#NAME?</v>
      </c>
      <c r="E7" s="8" t="s">
        <v>56</v>
      </c>
      <c r="F7" s="8" t="e">
        <f>P&amp;[1]L_Analysis!C6*(P&amp;[1]L_Analysis!E8/1000)*0.14-P&amp;[1]L_Analysis!E13</f>
        <v>#NAME?</v>
      </c>
      <c r="G7" s="8" t="s">
        <v>57</v>
      </c>
    </row>
    <row r="8" spans="1:7" x14ac:dyDescent="0.2">
      <c r="A8" s="8" t="s">
        <v>58</v>
      </c>
      <c r="B8" s="9">
        <v>195</v>
      </c>
      <c r="C8" s="9">
        <v>195</v>
      </c>
      <c r="D8" s="8" t="e">
        <f>P&amp;[1]L_Analysis!E15</f>
        <v>#NAME?</v>
      </c>
      <c r="E8" s="8" t="s">
        <v>59</v>
      </c>
      <c r="F8" s="8" t="e">
        <f>P&amp;[1]L_Analysis!E15</f>
        <v>#NAME?</v>
      </c>
      <c r="G8" s="8" t="s">
        <v>60</v>
      </c>
    </row>
    <row r="9" spans="1:7" x14ac:dyDescent="0.2">
      <c r="A9" s="3" t="s">
        <v>61</v>
      </c>
      <c r="B9" s="4">
        <v>0</v>
      </c>
      <c r="C9" s="4">
        <v>300</v>
      </c>
      <c r="D9" s="3">
        <f>650-350</f>
        <v>300</v>
      </c>
      <c r="E9" s="3" t="s">
        <v>62</v>
      </c>
      <c r="F9" s="3">
        <f>650-350</f>
        <v>300</v>
      </c>
      <c r="G9" s="3" t="s">
        <v>63</v>
      </c>
    </row>
    <row r="10" spans="1:7" x14ac:dyDescent="0.2">
      <c r="A10" s="3" t="s">
        <v>64</v>
      </c>
      <c r="B10" s="4">
        <v>45</v>
      </c>
      <c r="C10" s="4">
        <v>120</v>
      </c>
      <c r="D10" s="3">
        <f>164-44</f>
        <v>120</v>
      </c>
      <c r="E10" s="3" t="s">
        <v>65</v>
      </c>
      <c r="F10" s="3">
        <f>164-44</f>
        <v>120</v>
      </c>
      <c r="G10" s="3" t="s">
        <v>66</v>
      </c>
    </row>
    <row r="11" spans="1:7" x14ac:dyDescent="0.2">
      <c r="A11" s="6" t="s">
        <v>40</v>
      </c>
      <c r="B11" s="6"/>
      <c r="C11" s="6"/>
      <c r="D11" s="6">
        <f>B6+C7+C8+C9+C10</f>
        <v>1699</v>
      </c>
      <c r="E11" s="6" t="s">
        <v>67</v>
      </c>
      <c r="F11" s="6">
        <f>B6+C7+C8+C9+C10</f>
        <v>1699</v>
      </c>
      <c r="G11" s="6" t="s">
        <v>68</v>
      </c>
    </row>
    <row r="14" spans="1:7" x14ac:dyDescent="0.2">
      <c r="A14" s="2" t="s">
        <v>69</v>
      </c>
    </row>
    <row r="15" spans="1:7" x14ac:dyDescent="0.2">
      <c r="A15" s="10" t="s">
        <v>70</v>
      </c>
      <c r="B15" s="11">
        <f>D11</f>
        <v>1699</v>
      </c>
      <c r="C15" s="10" t="s">
        <v>71</v>
      </c>
    </row>
    <row r="16" spans="1:7" x14ac:dyDescent="0.2">
      <c r="A16" s="10" t="s">
        <v>72</v>
      </c>
      <c r="B16" s="12" t="e">
        <f>D11/(P&amp;[1]L_Analysis!E8/1000)</f>
        <v>#NAME?</v>
      </c>
      <c r="C16" s="10" t="s">
        <v>73</v>
      </c>
    </row>
    <row r="17" spans="1:3" x14ac:dyDescent="0.2">
      <c r="A17" s="10" t="s">
        <v>74</v>
      </c>
      <c r="B17" s="11" t="e">
        <f>P&amp;[1]L_Analysis!E8/1000</f>
        <v>#NAME?</v>
      </c>
      <c r="C17" s="10" t="s">
        <v>75</v>
      </c>
    </row>
    <row r="18" spans="1:3" x14ac:dyDescent="0.2">
      <c r="A18" s="10" t="s">
        <v>76</v>
      </c>
      <c r="B18" s="11" t="e">
        <f>P&amp;[1]L_Analysis!E10/1000</f>
        <v>#NAME?</v>
      </c>
      <c r="C18" s="10" t="s">
        <v>77</v>
      </c>
    </row>
    <row r="19" spans="1:3" x14ac:dyDescent="0.2">
      <c r="A19" s="10" t="s">
        <v>78</v>
      </c>
      <c r="B19" s="12" t="e">
        <f>P&amp;[1]L_Analysis!E10/P&amp;[1]L_Analysis!E8</f>
        <v>#NAME?</v>
      </c>
      <c r="C19" s="10" t="s">
        <v>79</v>
      </c>
    </row>
  </sheetData>
  <mergeCells count="1">
    <mergeCell ref="A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workbookViewId="0"/>
  </sheetViews>
  <sheetFormatPr baseColWidth="10" defaultColWidth="8.83203125" defaultRowHeight="15" x14ac:dyDescent="0.2"/>
  <cols>
    <col min="1" max="3" width="25" customWidth="1"/>
  </cols>
  <sheetData>
    <row r="1" spans="1:4" ht="16" x14ac:dyDescent="0.2">
      <c r="A1" s="25" t="s">
        <v>80</v>
      </c>
      <c r="B1" s="26"/>
      <c r="C1" s="26"/>
      <c r="D1" s="26"/>
    </row>
    <row r="3" spans="1:4" x14ac:dyDescent="0.2">
      <c r="A3" s="13" t="s">
        <v>81</v>
      </c>
    </row>
    <row r="4" spans="1:4" x14ac:dyDescent="0.2">
      <c r="A4" s="3" t="s">
        <v>70</v>
      </c>
      <c r="B4" s="4">
        <f>Adjustments_Analysis!D11</f>
        <v>1699</v>
      </c>
      <c r="C4" s="3" t="s">
        <v>82</v>
      </c>
    </row>
    <row r="5" spans="1:4" x14ac:dyDescent="0.2">
      <c r="A5" s="14" t="s">
        <v>83</v>
      </c>
      <c r="B5" s="15">
        <v>5.5</v>
      </c>
      <c r="C5" s="14" t="s">
        <v>84</v>
      </c>
    </row>
    <row r="6" spans="1:4" x14ac:dyDescent="0.2">
      <c r="A6" s="6" t="s">
        <v>85</v>
      </c>
      <c r="B6" s="7">
        <f>B4*B5</f>
        <v>9344.5</v>
      </c>
      <c r="C6" s="6" t="s">
        <v>86</v>
      </c>
    </row>
    <row r="7" spans="1:4" x14ac:dyDescent="0.2">
      <c r="A7" s="3" t="s">
        <v>87</v>
      </c>
      <c r="B7" s="4">
        <v>2150</v>
      </c>
      <c r="C7" s="3" t="s">
        <v>88</v>
      </c>
    </row>
    <row r="8" spans="1:4" x14ac:dyDescent="0.2">
      <c r="A8" s="6" t="s">
        <v>89</v>
      </c>
      <c r="B8" s="7">
        <f>B6-B7</f>
        <v>7194.5</v>
      </c>
      <c r="C8" s="6" t="s">
        <v>90</v>
      </c>
    </row>
    <row r="11" spans="1:4" x14ac:dyDescent="0.2">
      <c r="A11" s="13" t="s">
        <v>91</v>
      </c>
    </row>
    <row r="13" spans="1:4" x14ac:dyDescent="0.2">
      <c r="A13" s="16" t="s">
        <v>83</v>
      </c>
      <c r="B13" s="16" t="s">
        <v>92</v>
      </c>
      <c r="C13" s="16" t="s">
        <v>93</v>
      </c>
    </row>
    <row r="14" spans="1:4" x14ac:dyDescent="0.2">
      <c r="A14" s="17">
        <v>4</v>
      </c>
      <c r="B14" s="4">
        <f t="shared" ref="B14:B20" si="0">$B$4*A14</f>
        <v>6796</v>
      </c>
      <c r="C14" s="4">
        <f t="shared" ref="C14:C20" si="1">B14-$B$7</f>
        <v>4646</v>
      </c>
    </row>
    <row r="15" spans="1:4" x14ac:dyDescent="0.2">
      <c r="A15" s="17">
        <v>4.5</v>
      </c>
      <c r="B15" s="4">
        <f t="shared" si="0"/>
        <v>7645.5</v>
      </c>
      <c r="C15" s="4">
        <f t="shared" si="1"/>
        <v>5495.5</v>
      </c>
    </row>
    <row r="16" spans="1:4" x14ac:dyDescent="0.2">
      <c r="A16" s="17">
        <v>5</v>
      </c>
      <c r="B16" s="4">
        <f t="shared" si="0"/>
        <v>8495</v>
      </c>
      <c r="C16" s="4">
        <f t="shared" si="1"/>
        <v>6345</v>
      </c>
    </row>
    <row r="17" spans="1:3" x14ac:dyDescent="0.2">
      <c r="A17" s="18">
        <v>5.5</v>
      </c>
      <c r="B17" s="5">
        <f t="shared" si="0"/>
        <v>9344.5</v>
      </c>
      <c r="C17" s="5">
        <f t="shared" si="1"/>
        <v>7194.5</v>
      </c>
    </row>
    <row r="18" spans="1:3" x14ac:dyDescent="0.2">
      <c r="A18" s="17">
        <v>6</v>
      </c>
      <c r="B18" s="4">
        <f t="shared" si="0"/>
        <v>10194</v>
      </c>
      <c r="C18" s="4">
        <f t="shared" si="1"/>
        <v>8044</v>
      </c>
    </row>
    <row r="19" spans="1:3" x14ac:dyDescent="0.2">
      <c r="A19" s="17">
        <v>6.5</v>
      </c>
      <c r="B19" s="4">
        <f t="shared" si="0"/>
        <v>11043.5</v>
      </c>
      <c r="C19" s="4">
        <f t="shared" si="1"/>
        <v>8893.5</v>
      </c>
    </row>
    <row r="20" spans="1:3" x14ac:dyDescent="0.2">
      <c r="A20" s="17">
        <v>7</v>
      </c>
      <c r="B20" s="4">
        <f t="shared" si="0"/>
        <v>11893</v>
      </c>
      <c r="C20" s="4">
        <f t="shared" si="1"/>
        <v>9743</v>
      </c>
    </row>
    <row r="22" spans="1:3" x14ac:dyDescent="0.2">
      <c r="A22" s="13" t="s">
        <v>94</v>
      </c>
    </row>
    <row r="23" spans="1:3" x14ac:dyDescent="0.2">
      <c r="A23" s="3" t="s">
        <v>95</v>
      </c>
      <c r="B23" s="4" t="e">
        <f>P&amp;[1]L_Analysis!E8/1000*2.2</f>
        <v>#NAME?</v>
      </c>
      <c r="C23" s="3" t="s">
        <v>96</v>
      </c>
    </row>
    <row r="24" spans="1:3" x14ac:dyDescent="0.2">
      <c r="A24" s="3" t="s">
        <v>97</v>
      </c>
      <c r="B24" s="4">
        <v>8200</v>
      </c>
      <c r="C24" s="3" t="s">
        <v>98</v>
      </c>
    </row>
    <row r="25" spans="1:3" x14ac:dyDescent="0.2">
      <c r="A25" s="3" t="s">
        <v>99</v>
      </c>
      <c r="B25" s="4">
        <v>1200</v>
      </c>
      <c r="C25" s="3" t="s">
        <v>100</v>
      </c>
    </row>
    <row r="26" spans="1:3" x14ac:dyDescent="0.2">
      <c r="A26" s="3" t="s">
        <v>101</v>
      </c>
      <c r="B26" s="4">
        <v>8100</v>
      </c>
      <c r="C26" s="3" t="s">
        <v>102</v>
      </c>
    </row>
  </sheetData>
  <mergeCells count="1"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/>
  </sheetViews>
  <sheetFormatPr baseColWidth="10" defaultColWidth="8.83203125" defaultRowHeight="15" x14ac:dyDescent="0.2"/>
  <cols>
    <col min="1" max="1" width="30" customWidth="1"/>
    <col min="2" max="2" width="35" customWidth="1"/>
    <col min="3" max="3" width="45" customWidth="1"/>
    <col min="4" max="4" width="20" customWidth="1"/>
  </cols>
  <sheetData>
    <row r="1" spans="1:4" ht="16" x14ac:dyDescent="0.2">
      <c r="A1" s="25" t="s">
        <v>103</v>
      </c>
      <c r="B1" s="26"/>
      <c r="C1" s="26"/>
      <c r="D1" s="26"/>
    </row>
    <row r="3" spans="1:4" x14ac:dyDescent="0.2">
      <c r="A3" s="19" t="s">
        <v>104</v>
      </c>
    </row>
    <row r="4" spans="1:4" x14ac:dyDescent="0.2">
      <c r="A4" s="16" t="s">
        <v>105</v>
      </c>
      <c r="B4" s="16" t="s">
        <v>106</v>
      </c>
      <c r="C4" s="16" t="s">
        <v>107</v>
      </c>
      <c r="D4" s="16" t="s">
        <v>108</v>
      </c>
    </row>
    <row r="5" spans="1:4" x14ac:dyDescent="0.2">
      <c r="A5" s="20" t="s">
        <v>109</v>
      </c>
      <c r="B5" s="3" t="s">
        <v>110</v>
      </c>
      <c r="C5" s="3" t="s">
        <v>111</v>
      </c>
      <c r="D5" s="4">
        <f>Adjustments_Analysis!C7</f>
        <v>-483</v>
      </c>
    </row>
    <row r="6" spans="1:4" x14ac:dyDescent="0.2">
      <c r="A6" s="20" t="s">
        <v>112</v>
      </c>
      <c r="B6" s="3" t="s">
        <v>113</v>
      </c>
      <c r="C6" s="3" t="s">
        <v>114</v>
      </c>
      <c r="D6" s="4" t="e">
        <f>P&amp;[1]L_Analysis!E15/1000</f>
        <v>#NAME?</v>
      </c>
    </row>
    <row r="7" spans="1:4" x14ac:dyDescent="0.2">
      <c r="A7" s="20" t="s">
        <v>115</v>
      </c>
      <c r="B7" s="3" t="s">
        <v>116</v>
      </c>
      <c r="C7" s="3" t="s">
        <v>117</v>
      </c>
      <c r="D7" s="4" t="e">
        <f>(P&amp;[1]L_Analysis!C9-P&amp;[1]L_Analysis!E9)/P&amp;[1]L_Analysis!C9</f>
        <v>#NAME?</v>
      </c>
    </row>
    <row r="8" spans="1:4" x14ac:dyDescent="0.2">
      <c r="A8" s="20" t="s">
        <v>118</v>
      </c>
      <c r="B8" s="3" t="s">
        <v>119</v>
      </c>
      <c r="C8" s="3" t="s">
        <v>120</v>
      </c>
      <c r="D8" s="3" t="s">
        <v>121</v>
      </c>
    </row>
    <row r="11" spans="1:4" x14ac:dyDescent="0.2">
      <c r="A11" s="21" t="s">
        <v>122</v>
      </c>
    </row>
    <row r="12" spans="1:4" x14ac:dyDescent="0.2">
      <c r="A12" s="16" t="s">
        <v>105</v>
      </c>
      <c r="B12" s="16" t="s">
        <v>106</v>
      </c>
      <c r="C12" s="16" t="s">
        <v>107</v>
      </c>
      <c r="D12" s="16" t="s">
        <v>108</v>
      </c>
    </row>
    <row r="13" spans="1:4" x14ac:dyDescent="0.2">
      <c r="A13" s="6" t="s">
        <v>123</v>
      </c>
      <c r="B13" s="3" t="s">
        <v>124</v>
      </c>
      <c r="C13" s="3" t="s">
        <v>125</v>
      </c>
      <c r="D13" s="22" t="e">
        <f>P&amp;[1]L_Analysis!E10/P&amp;[1]L_Analysis!E8</f>
        <v>#NAME?</v>
      </c>
    </row>
    <row r="14" spans="1:4" x14ac:dyDescent="0.2">
      <c r="A14" s="6" t="s">
        <v>126</v>
      </c>
      <c r="B14" s="3" t="s">
        <v>127</v>
      </c>
      <c r="C14" s="3" t="s">
        <v>128</v>
      </c>
      <c r="D14" s="4" t="e">
        <f>(P&amp;[1]L_Analysis!E11-P&amp;[1]L_Analysis!C11)/P&amp;[1]L_Analysis!C11</f>
        <v>#NAME?</v>
      </c>
    </row>
    <row r="15" spans="1:4" x14ac:dyDescent="0.2">
      <c r="A15" s="6" t="s">
        <v>129</v>
      </c>
      <c r="B15" s="3" t="s">
        <v>130</v>
      </c>
      <c r="C15" s="3" t="s">
        <v>131</v>
      </c>
      <c r="D15" s="4" t="e">
        <f>(P&amp;[1]L_Analysis!E17-P&amp;[1]L_Analysis!C17)/P&amp;[1]L_Analysis!C17</f>
        <v>#NAME?</v>
      </c>
    </row>
    <row r="16" spans="1:4" x14ac:dyDescent="0.2">
      <c r="A16" s="6" t="s">
        <v>132</v>
      </c>
      <c r="B16" s="3" t="s">
        <v>133</v>
      </c>
      <c r="C16" s="3" t="s">
        <v>134</v>
      </c>
      <c r="D16" s="3" t="s">
        <v>135</v>
      </c>
    </row>
    <row r="18" spans="1:4" x14ac:dyDescent="0.2">
      <c r="A18" s="23" t="s">
        <v>136</v>
      </c>
    </row>
    <row r="19" spans="1:4" x14ac:dyDescent="0.2">
      <c r="A19" s="16" t="s">
        <v>105</v>
      </c>
      <c r="B19" s="16" t="s">
        <v>106</v>
      </c>
      <c r="C19" s="16" t="s">
        <v>107</v>
      </c>
      <c r="D19" s="16" t="s">
        <v>108</v>
      </c>
    </row>
    <row r="20" spans="1:4" x14ac:dyDescent="0.2">
      <c r="A20" s="24" t="s">
        <v>137</v>
      </c>
      <c r="B20" s="3" t="s">
        <v>138</v>
      </c>
      <c r="C20" s="3" t="s">
        <v>139</v>
      </c>
      <c r="D20" s="3" t="s">
        <v>140</v>
      </c>
    </row>
    <row r="21" spans="1:4" x14ac:dyDescent="0.2">
      <c r="A21" s="24" t="s">
        <v>141</v>
      </c>
      <c r="B21" s="3" t="s">
        <v>142</v>
      </c>
      <c r="C21" s="3" t="s">
        <v>143</v>
      </c>
      <c r="D21" s="4" t="e">
        <f>P&amp;[1]L_Analysis!E8/1000*0.14</f>
        <v>#NAME?</v>
      </c>
    </row>
    <row r="22" spans="1:4" x14ac:dyDescent="0.2">
      <c r="A22" s="24" t="s">
        <v>144</v>
      </c>
      <c r="B22" s="3" t="s">
        <v>145</v>
      </c>
      <c r="C22" s="3" t="s">
        <v>146</v>
      </c>
      <c r="D22" s="3" t="s">
        <v>147</v>
      </c>
    </row>
    <row r="23" spans="1:4" x14ac:dyDescent="0.2">
      <c r="A23" s="24" t="s">
        <v>148</v>
      </c>
      <c r="B23" s="3" t="s">
        <v>149</v>
      </c>
      <c r="C23" s="3" t="s">
        <v>150</v>
      </c>
      <c r="D23" s="3" t="s">
        <v>151</v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3"/>
  <sheetViews>
    <sheetView workbookViewId="0"/>
  </sheetViews>
  <sheetFormatPr baseColWidth="10" defaultColWidth="8.83203125" defaultRowHeight="15" x14ac:dyDescent="0.2"/>
  <cols>
    <col min="1" max="4" width="25" customWidth="1"/>
  </cols>
  <sheetData>
    <row r="1" spans="1:4" ht="16" x14ac:dyDescent="0.2">
      <c r="A1" s="25" t="s">
        <v>152</v>
      </c>
      <c r="B1" s="26"/>
      <c r="C1" s="26"/>
      <c r="D1" s="26"/>
    </row>
    <row r="3" spans="1:4" ht="19" x14ac:dyDescent="0.25">
      <c r="A3" s="27" t="s">
        <v>153</v>
      </c>
      <c r="B3" s="26"/>
      <c r="C3" s="26"/>
      <c r="D3" s="26"/>
    </row>
    <row r="5" spans="1:4" x14ac:dyDescent="0.2">
      <c r="A5" s="13" t="s">
        <v>154</v>
      </c>
    </row>
    <row r="6" spans="1:4" x14ac:dyDescent="0.2">
      <c r="A6" s="3" t="s">
        <v>155</v>
      </c>
      <c r="B6" s="3" t="s">
        <v>156</v>
      </c>
      <c r="C6" s="3" t="s">
        <v>157</v>
      </c>
    </row>
    <row r="7" spans="1:4" x14ac:dyDescent="0.2">
      <c r="A7" s="3" t="s">
        <v>158</v>
      </c>
      <c r="B7" s="3" t="s">
        <v>159</v>
      </c>
      <c r="C7" s="3" t="s">
        <v>160</v>
      </c>
    </row>
    <row r="8" spans="1:4" x14ac:dyDescent="0.2">
      <c r="A8" s="3" t="s">
        <v>92</v>
      </c>
      <c r="B8" s="4">
        <f>Valuation_Analysis!B6</f>
        <v>9344.5</v>
      </c>
      <c r="C8" s="3" t="s">
        <v>161</v>
      </c>
    </row>
    <row r="9" spans="1:4" x14ac:dyDescent="0.2">
      <c r="A9" s="3" t="s">
        <v>93</v>
      </c>
      <c r="B9" s="4">
        <f>Valuation_Analysis!B8</f>
        <v>7194.5</v>
      </c>
      <c r="C9" s="3" t="s">
        <v>162</v>
      </c>
    </row>
    <row r="10" spans="1:4" x14ac:dyDescent="0.2">
      <c r="A10" s="3" t="s">
        <v>163</v>
      </c>
      <c r="B10" s="3" t="s">
        <v>164</v>
      </c>
      <c r="C10" s="3" t="s">
        <v>165</v>
      </c>
    </row>
    <row r="13" spans="1:4" x14ac:dyDescent="0.2">
      <c r="A13" s="23" t="s">
        <v>166</v>
      </c>
    </row>
    <row r="14" spans="1:4" x14ac:dyDescent="0.2">
      <c r="A14" s="3" t="s">
        <v>167</v>
      </c>
    </row>
    <row r="15" spans="1:4" x14ac:dyDescent="0.2">
      <c r="A15" s="3" t="s">
        <v>168</v>
      </c>
    </row>
    <row r="16" spans="1:4" x14ac:dyDescent="0.2">
      <c r="A16" s="3" t="s">
        <v>169</v>
      </c>
    </row>
    <row r="17" spans="1:3" x14ac:dyDescent="0.2">
      <c r="A17" s="3" t="s">
        <v>170</v>
      </c>
    </row>
    <row r="18" spans="1:3" x14ac:dyDescent="0.2">
      <c r="A18" s="3" t="s">
        <v>171</v>
      </c>
    </row>
    <row r="20" spans="1:3" x14ac:dyDescent="0.2">
      <c r="A20" s="2" t="s">
        <v>172</v>
      </c>
    </row>
    <row r="21" spans="1:3" x14ac:dyDescent="0.2">
      <c r="A21" s="3" t="s">
        <v>173</v>
      </c>
      <c r="B21" s="3" t="s">
        <v>174</v>
      </c>
      <c r="C21" s="3" t="s">
        <v>175</v>
      </c>
    </row>
    <row r="22" spans="1:3" x14ac:dyDescent="0.2">
      <c r="A22" s="3" t="s">
        <v>176</v>
      </c>
      <c r="B22" s="3" t="s">
        <v>177</v>
      </c>
      <c r="C22" s="3" t="s">
        <v>178</v>
      </c>
    </row>
    <row r="23" spans="1:3" x14ac:dyDescent="0.2">
      <c r="A23" s="3" t="s">
        <v>179</v>
      </c>
      <c r="B23" s="3" t="s">
        <v>180</v>
      </c>
      <c r="C23" s="3" t="s">
        <v>181</v>
      </c>
    </row>
  </sheetData>
  <mergeCells count="2">
    <mergeCell ref="A1:D1"/>
    <mergeCell ref="A3:D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P&amp;L_Analysis</vt:lpstr>
      <vt:lpstr>Adjustments_Analysis</vt:lpstr>
      <vt:lpstr>Valuation_Analysis</vt:lpstr>
      <vt:lpstr>Key_Issues</vt:lpstr>
      <vt:lpstr>Investment_Summary</vt:lpstr>
      <vt:lpstr>EnterpriseValue</vt:lpstr>
      <vt:lpstr>EquityValue</vt:lpstr>
      <vt:lpstr>NormalizedEBITDA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Drew Williams</cp:lastModifiedBy>
  <dcterms:created xsi:type="dcterms:W3CDTF">2025-07-28T14:20:21Z</dcterms:created>
  <dcterms:modified xsi:type="dcterms:W3CDTF">2025-07-28T23:15:15Z</dcterms:modified>
</cp:coreProperties>
</file>