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s" sheetId="1" state="visible" r:id="rId1"/>
    <sheet xmlns:r="http://schemas.openxmlformats.org/officeDocument/2006/relationships" name="Raw_Data" sheetId="2" state="visible" r:id="rId2"/>
    <sheet xmlns:r="http://schemas.openxmlformats.org/officeDocument/2006/relationships" name="EBITDA_Bridge" sheetId="3" state="visible" r:id="rId3"/>
    <sheet xmlns:r="http://schemas.openxmlformats.org/officeDocument/2006/relationships" name="Mix_Margin" sheetId="4" state="visible" r:id="rId4"/>
    <sheet xmlns:r="http://schemas.openxmlformats.org/officeDocument/2006/relationships" name="Cap_Structure" sheetId="5" state="visible" r:id="rId5"/>
    <sheet xmlns:r="http://schemas.openxmlformats.org/officeDocument/2006/relationships" name="Valuation" sheetId="6" state="visible" r:id="rId6"/>
    <sheet xmlns:r="http://schemas.openxmlformats.org/officeDocument/2006/relationships" name="Sensitivity" sheetId="7" state="visible" r:id="rId7"/>
    <sheet xmlns:r="http://schemas.openxmlformats.org/officeDocument/2006/relationships" name="ReadMe" sheetId="8" state="visible" r:id="rId8"/>
    <sheet xmlns:r="http://schemas.openxmlformats.org/officeDocument/2006/relationships" name="Audit_Log" sheetId="9" state="visible" r:id="rId9"/>
  </sheets>
  <definedNames>
    <definedName name="EBITDA_ViewA">EBITDA_Bridge!$B$16</definedName>
    <definedName name="EBITDA_ViewB">EBITDA_Bridge!$B$17</definedName>
    <definedName name="Equity_Value">Cap_Structure!$B$9</definedName>
    <definedName name="Revenue_FY2024">Inputs!$B$3</definedName>
    <definedName name="Reported_Marketing_2024">Inputs!$B$4</definedName>
    <definedName name="Marketing_Target_Pct">Inputs!$B$5</definedName>
    <definedName name="Interest_In_Opex_Flag">Inputs!$B$8</definedName>
    <definedName name="Interest_Amount_2024">Inputs!$B$9</definedName>
    <definedName name="OwnerComp_ToMarket_Delta">Inputs!$B$10</definedName>
    <definedName name="Rent_ToMarket_Delta">Inputs!$B$11</definedName>
    <definedName name="NonRecurring_Adjustments">Inputs!$B$12</definedName>
    <definedName name="EV_Input">Inputs!$B$13</definedName>
    <definedName name="Net_Debt_Input">Inputs!$B$14</definedName>
  </definedNames>
  <calcPr calcId="12451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$#,##0"/>
    <numFmt numFmtId="166" formatCode="0.0x"/>
    <numFmt numFmtId="167" formatCode="$#,##0_K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  <font>
      <b val="1"/>
      <color rgb="000000FF"/>
    </font>
    <font>
      <color rgb="00000000"/>
    </font>
    <font>
      <b val="1"/>
      <sz val="12"/>
    </font>
    <font>
      <b val="1"/>
      <color rgb="00FF0000"/>
      <sz val="14"/>
    </font>
    <font>
      <b val="1"/>
      <color rgb="00008000"/>
    </font>
    <font>
      <b val="1"/>
    </font>
    <font>
      <b val="1"/>
      <sz val="16"/>
    </font>
    <font>
      <b val="1"/>
      <sz val="9"/>
    </font>
    <font>
      <color rgb="000000FF"/>
      <sz val="9"/>
      <u val="single"/>
    </font>
  </fonts>
  <fills count="5">
    <fill>
      <patternFill/>
    </fill>
    <fill>
      <patternFill patternType="gray125"/>
    </fill>
    <fill>
      <patternFill patternType="solid">
        <fgColor rgb="00D4E6F1"/>
        <bgColor rgb="00D4E6F1"/>
      </patternFill>
    </fill>
    <fill>
      <patternFill patternType="solid">
        <fgColor rgb="00D5DBDB"/>
        <bgColor rgb="00D5DBDB"/>
      </patternFill>
    </fill>
    <fill>
      <patternFill patternType="solid">
        <fgColor rgb="00FFCCCC"/>
        <bgColor rgb="00FFCC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2" fillId="0" borderId="0" pivotButton="0" quotePrefix="0" xfId="0"/>
    <xf numFmtId="165" fontId="3" fillId="2" borderId="1" pivotButton="0" quotePrefix="0" xfId="0"/>
    <xf numFmtId="0" fontId="5" fillId="0" borderId="0" pivotButton="0" quotePrefix="0" xfId="0"/>
    <xf numFmtId="164" fontId="0" fillId="0" borderId="0" pivotButton="0" quotePrefix="0" xfId="0"/>
    <xf numFmtId="164" fontId="3" fillId="2" borderId="1" pivotButton="0" quotePrefix="0" xfId="0"/>
    <xf numFmtId="165" fontId="4" fillId="0" borderId="0" pivotButton="0" quotePrefix="0" xfId="0"/>
    <xf numFmtId="0" fontId="3" fillId="2" borderId="1" pivotButton="0" quotePrefix="0" xfId="0"/>
    <xf numFmtId="0" fontId="6" fillId="0" borderId="0" pivotButton="0" quotePrefix="0" xfId="0"/>
    <xf numFmtId="165" fontId="0" fillId="0" borderId="0" pivotButton="0" quotePrefix="0" xfId="0"/>
    <xf numFmtId="165" fontId="7" fillId="3" borderId="0" pivotButton="0" quotePrefix="0" xfId="0"/>
    <xf numFmtId="166" fontId="0" fillId="0" borderId="0" pivotButton="0" quotePrefix="0" xfId="0"/>
    <xf numFmtId="166" fontId="0" fillId="3" borderId="0" pivotButton="0" quotePrefix="0" xfId="0"/>
    <xf numFmtId="0" fontId="8" fillId="0" borderId="0" pivotButton="0" quotePrefix="0" xfId="0"/>
    <xf numFmtId="165" fontId="0" fillId="3" borderId="0" pivotButton="0" quotePrefix="0" xfId="0"/>
    <xf numFmtId="0" fontId="0" fillId="4" borderId="0" pivotButton="0" quotePrefix="0" xfId="0"/>
    <xf numFmtId="166" fontId="7" fillId="3" borderId="0" pivotButton="0" quotePrefix="0" xfId="0"/>
    <xf numFmtId="165" fontId="0" fillId="2" borderId="0" pivotButton="0" quotePrefix="0" xfId="0"/>
    <xf numFmtId="9" fontId="0" fillId="2" borderId="0" pivotButton="0" quotePrefix="0" xfId="0"/>
    <xf numFmtId="9" fontId="0" fillId="0" borderId="0" pivotButton="0" quotePrefix="0" xfId="0"/>
    <xf numFmtId="167" fontId="2" fillId="0" borderId="0" pivotButton="0" quotePrefix="0" xfId="0"/>
    <xf numFmtId="0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Raw_Data!A1" TargetMode="External" Id="rId1"/><Relationship Type="http://schemas.openxmlformats.org/officeDocument/2006/relationships/hyperlink" Target="#EBITDA_Bridge!A1" TargetMode="External" Id="rId2"/><Relationship Type="http://schemas.openxmlformats.org/officeDocument/2006/relationships/hyperlink" Target="#Mix_Margin!A1" TargetMode="External" Id="rId3"/><Relationship Type="http://schemas.openxmlformats.org/officeDocument/2006/relationships/hyperlink" Target="#Cap_Structure!A1" TargetMode="External" Id="rId4"/><Relationship Type="http://schemas.openxmlformats.org/officeDocument/2006/relationships/hyperlink" Target="#Valuation!A1" TargetMode="External" Id="rId5"/><Relationship Type="http://schemas.openxmlformats.org/officeDocument/2006/relationships/hyperlink" Target="#Sensitivity!A1" TargetMode="External" Id="rId6"/><Relationship Type="http://schemas.openxmlformats.org/officeDocument/2006/relationships/hyperlink" Target="#ReadMe!A1" TargetMode="External" Id="rId7"/><Relationship Type="http://schemas.openxmlformats.org/officeDocument/2006/relationships/hyperlink" Target="#Audit_Log!A1" TargetMode="External" Id="rId8"/></Relationships>
</file>

<file path=xl/worksheets/_rels/sheet2.xml.rels><Relationships xmlns="http://schemas.openxmlformats.org/package/2006/relationships"><Relationship Type="http://schemas.openxmlformats.org/officeDocument/2006/relationships/hyperlink" Target="#Inputs!A1" TargetMode="External" Id="rId1"/><Relationship Type="http://schemas.openxmlformats.org/officeDocument/2006/relationships/hyperlink" Target="#EBITDA_Bridge!A1" TargetMode="External" Id="rId2"/><Relationship Type="http://schemas.openxmlformats.org/officeDocument/2006/relationships/hyperlink" Target="#Mix_Margin!A1" TargetMode="External" Id="rId3"/><Relationship Type="http://schemas.openxmlformats.org/officeDocument/2006/relationships/hyperlink" Target="#Cap_Structure!A1" TargetMode="External" Id="rId4"/><Relationship Type="http://schemas.openxmlformats.org/officeDocument/2006/relationships/hyperlink" Target="#Valuation!A1" TargetMode="External" Id="rId5"/><Relationship Type="http://schemas.openxmlformats.org/officeDocument/2006/relationships/hyperlink" Target="#Sensitivity!A1" TargetMode="External" Id="rId6"/><Relationship Type="http://schemas.openxmlformats.org/officeDocument/2006/relationships/hyperlink" Target="#ReadMe!A1" TargetMode="External" Id="rId7"/><Relationship Type="http://schemas.openxmlformats.org/officeDocument/2006/relationships/hyperlink" Target="#Audit_Log!A1" TargetMode="External" Id="rId8"/></Relationships>
</file>

<file path=xl/worksheets/_rels/sheet3.xml.rels><Relationships xmlns="http://schemas.openxmlformats.org/package/2006/relationships"><Relationship Type="http://schemas.openxmlformats.org/officeDocument/2006/relationships/hyperlink" Target="#Inputs!A1" TargetMode="External" Id="rId1"/><Relationship Type="http://schemas.openxmlformats.org/officeDocument/2006/relationships/hyperlink" Target="#Raw_Data!A1" TargetMode="External" Id="rId2"/><Relationship Type="http://schemas.openxmlformats.org/officeDocument/2006/relationships/hyperlink" Target="#Mix_Margin!A1" TargetMode="External" Id="rId3"/><Relationship Type="http://schemas.openxmlformats.org/officeDocument/2006/relationships/hyperlink" Target="#Cap_Structure!A1" TargetMode="External" Id="rId4"/><Relationship Type="http://schemas.openxmlformats.org/officeDocument/2006/relationships/hyperlink" Target="#Valuation!A1" TargetMode="External" Id="rId5"/><Relationship Type="http://schemas.openxmlformats.org/officeDocument/2006/relationships/hyperlink" Target="#Sensitivity!A1" TargetMode="External" Id="rId6"/><Relationship Type="http://schemas.openxmlformats.org/officeDocument/2006/relationships/hyperlink" Target="#ReadMe!A1" TargetMode="External" Id="rId7"/><Relationship Type="http://schemas.openxmlformats.org/officeDocument/2006/relationships/hyperlink" Target="#Audit_Log!A1" TargetMode="External" Id="rId8"/></Relationships>
</file>

<file path=xl/worksheets/_rels/sheet4.xml.rels><Relationships xmlns="http://schemas.openxmlformats.org/package/2006/relationships"><Relationship Type="http://schemas.openxmlformats.org/officeDocument/2006/relationships/hyperlink" Target="#Inputs!A1" TargetMode="External" Id="rId1"/><Relationship Type="http://schemas.openxmlformats.org/officeDocument/2006/relationships/hyperlink" Target="#Raw_Data!A1" TargetMode="External" Id="rId2"/><Relationship Type="http://schemas.openxmlformats.org/officeDocument/2006/relationships/hyperlink" Target="#EBITDA_Bridge!A1" TargetMode="External" Id="rId3"/><Relationship Type="http://schemas.openxmlformats.org/officeDocument/2006/relationships/hyperlink" Target="#Cap_Structure!A1" TargetMode="External" Id="rId4"/><Relationship Type="http://schemas.openxmlformats.org/officeDocument/2006/relationships/hyperlink" Target="#Valuation!A1" TargetMode="External" Id="rId5"/><Relationship Type="http://schemas.openxmlformats.org/officeDocument/2006/relationships/hyperlink" Target="#Sensitivity!A1" TargetMode="External" Id="rId6"/><Relationship Type="http://schemas.openxmlformats.org/officeDocument/2006/relationships/hyperlink" Target="#ReadMe!A1" TargetMode="External" Id="rId7"/><Relationship Type="http://schemas.openxmlformats.org/officeDocument/2006/relationships/hyperlink" Target="#Audit_Log!A1" TargetMode="External" Id="rId8"/></Relationships>
</file>

<file path=xl/worksheets/_rels/sheet5.xml.rels><Relationships xmlns="http://schemas.openxmlformats.org/package/2006/relationships"><Relationship Type="http://schemas.openxmlformats.org/officeDocument/2006/relationships/hyperlink" Target="#Inputs!A1" TargetMode="External" Id="rId1"/><Relationship Type="http://schemas.openxmlformats.org/officeDocument/2006/relationships/hyperlink" Target="#Raw_Data!A1" TargetMode="External" Id="rId2"/><Relationship Type="http://schemas.openxmlformats.org/officeDocument/2006/relationships/hyperlink" Target="#EBITDA_Bridge!A1" TargetMode="External" Id="rId3"/><Relationship Type="http://schemas.openxmlformats.org/officeDocument/2006/relationships/hyperlink" Target="#Mix_Margin!A1" TargetMode="External" Id="rId4"/><Relationship Type="http://schemas.openxmlformats.org/officeDocument/2006/relationships/hyperlink" Target="#Valuation!A1" TargetMode="External" Id="rId5"/><Relationship Type="http://schemas.openxmlformats.org/officeDocument/2006/relationships/hyperlink" Target="#Sensitivity!A1" TargetMode="External" Id="rId6"/><Relationship Type="http://schemas.openxmlformats.org/officeDocument/2006/relationships/hyperlink" Target="#ReadMe!A1" TargetMode="External" Id="rId7"/><Relationship Type="http://schemas.openxmlformats.org/officeDocument/2006/relationships/hyperlink" Target="#Audit_Log!A1" TargetMode="External" Id="rId8"/></Relationships>
</file>

<file path=xl/worksheets/_rels/sheet6.xml.rels><Relationships xmlns="http://schemas.openxmlformats.org/package/2006/relationships"><Relationship Type="http://schemas.openxmlformats.org/officeDocument/2006/relationships/hyperlink" Target="#Inputs!A1" TargetMode="External" Id="rId1"/><Relationship Type="http://schemas.openxmlformats.org/officeDocument/2006/relationships/hyperlink" Target="#Raw_Data!A1" TargetMode="External" Id="rId2"/><Relationship Type="http://schemas.openxmlformats.org/officeDocument/2006/relationships/hyperlink" Target="#EBITDA_Bridge!A1" TargetMode="External" Id="rId3"/><Relationship Type="http://schemas.openxmlformats.org/officeDocument/2006/relationships/hyperlink" Target="#Mix_Margin!A1" TargetMode="External" Id="rId4"/><Relationship Type="http://schemas.openxmlformats.org/officeDocument/2006/relationships/hyperlink" Target="#Cap_Structure!A1" TargetMode="External" Id="rId5"/><Relationship Type="http://schemas.openxmlformats.org/officeDocument/2006/relationships/hyperlink" Target="#Sensitivity!A1" TargetMode="External" Id="rId6"/><Relationship Type="http://schemas.openxmlformats.org/officeDocument/2006/relationships/hyperlink" Target="#ReadMe!A1" TargetMode="External" Id="rId7"/><Relationship Type="http://schemas.openxmlformats.org/officeDocument/2006/relationships/hyperlink" Target="#Audit_Log!A1" TargetMode="External" Id="rId8"/></Relationships>
</file>

<file path=xl/worksheets/_rels/sheet7.xml.rels><Relationships xmlns="http://schemas.openxmlformats.org/package/2006/relationships"><Relationship Type="http://schemas.openxmlformats.org/officeDocument/2006/relationships/hyperlink" Target="#Inputs!A1" TargetMode="External" Id="rId1"/><Relationship Type="http://schemas.openxmlformats.org/officeDocument/2006/relationships/hyperlink" Target="#Raw_Data!A1" TargetMode="External" Id="rId2"/><Relationship Type="http://schemas.openxmlformats.org/officeDocument/2006/relationships/hyperlink" Target="#EBITDA_Bridge!A1" TargetMode="External" Id="rId3"/><Relationship Type="http://schemas.openxmlformats.org/officeDocument/2006/relationships/hyperlink" Target="#Mix_Margin!A1" TargetMode="External" Id="rId4"/><Relationship Type="http://schemas.openxmlformats.org/officeDocument/2006/relationships/hyperlink" Target="#Cap_Structure!A1" TargetMode="External" Id="rId5"/><Relationship Type="http://schemas.openxmlformats.org/officeDocument/2006/relationships/hyperlink" Target="#Valuation!A1" TargetMode="External" Id="rId6"/><Relationship Type="http://schemas.openxmlformats.org/officeDocument/2006/relationships/hyperlink" Target="#ReadMe!A1" TargetMode="External" Id="rId7"/><Relationship Type="http://schemas.openxmlformats.org/officeDocument/2006/relationships/hyperlink" Target="#Audit_Log!A1" TargetMode="External" Id="rId8"/></Relationships>
</file>

<file path=xl/worksheets/_rels/sheet8.xml.rels><Relationships xmlns="http://schemas.openxmlformats.org/package/2006/relationships"><Relationship Type="http://schemas.openxmlformats.org/officeDocument/2006/relationships/hyperlink" Target="#Inputs!A1" TargetMode="External" Id="rId1"/><Relationship Type="http://schemas.openxmlformats.org/officeDocument/2006/relationships/hyperlink" Target="#Raw_Data!A1" TargetMode="External" Id="rId2"/><Relationship Type="http://schemas.openxmlformats.org/officeDocument/2006/relationships/hyperlink" Target="#EBITDA_Bridge!A1" TargetMode="External" Id="rId3"/><Relationship Type="http://schemas.openxmlformats.org/officeDocument/2006/relationships/hyperlink" Target="#Mix_Margin!A1" TargetMode="External" Id="rId4"/><Relationship Type="http://schemas.openxmlformats.org/officeDocument/2006/relationships/hyperlink" Target="#Cap_Structure!A1" TargetMode="External" Id="rId5"/><Relationship Type="http://schemas.openxmlformats.org/officeDocument/2006/relationships/hyperlink" Target="#Valuation!A1" TargetMode="External" Id="rId6"/><Relationship Type="http://schemas.openxmlformats.org/officeDocument/2006/relationships/hyperlink" Target="#Sensitivity!A1" TargetMode="External" Id="rId7"/><Relationship Type="http://schemas.openxmlformats.org/officeDocument/2006/relationships/hyperlink" Target="#Audit_Log!A1" TargetMode="External" Id="rId8"/></Relationships>
</file>

<file path=xl/worksheets/_rels/sheet9.xml.rels><Relationships xmlns="http://schemas.openxmlformats.org/package/2006/relationships"><Relationship Type="http://schemas.openxmlformats.org/officeDocument/2006/relationships/hyperlink" Target="#Inputs!A1" TargetMode="External" Id="rId1"/><Relationship Type="http://schemas.openxmlformats.org/officeDocument/2006/relationships/hyperlink" Target="#Raw_Data!A1" TargetMode="External" Id="rId2"/><Relationship Type="http://schemas.openxmlformats.org/officeDocument/2006/relationships/hyperlink" Target="#EBITDA_Bridge!A1" TargetMode="External" Id="rId3"/><Relationship Type="http://schemas.openxmlformats.org/officeDocument/2006/relationships/hyperlink" Target="#Mix_Margin!A1" TargetMode="External" Id="rId4"/><Relationship Type="http://schemas.openxmlformats.org/officeDocument/2006/relationships/hyperlink" Target="#Cap_Structure!A1" TargetMode="External" Id="rId5"/><Relationship Type="http://schemas.openxmlformats.org/officeDocument/2006/relationships/hyperlink" Target="#Valuation!A1" TargetMode="External" Id="rId6"/><Relationship Type="http://schemas.openxmlformats.org/officeDocument/2006/relationships/hyperlink" Target="#Sensitivity!A1" TargetMode="External" Id="rId7"/><Relationship Type="http://schemas.openxmlformats.org/officeDocument/2006/relationships/hyperlink" Target="#ReadMe!A1" TargetMode="External" Id="rId8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" customWidth="1" min="1" max="1"/>
    <col width="15" customWidth="1" min="2" max="2"/>
    <col width="20" customWidth="1" min="4" max="4"/>
    <col width="15" customWidth="1" min="5" max="5"/>
  </cols>
  <sheetData>
    <row r="1">
      <c r="A1" s="1" t="inlineStr">
        <is>
          <t>CPP Case - Model Inputs &amp; Assumptions</t>
        </is>
      </c>
    </row>
    <row r="2">
      <c r="A2" s="2" t="inlineStr">
        <is>
          <t>[Inputs]</t>
        </is>
      </c>
      <c r="B2" s="3" t="inlineStr">
        <is>
          <t>Raw_Data</t>
        </is>
      </c>
      <c r="C2" s="3" t="inlineStr">
        <is>
          <t>EBITDA_Bridge</t>
        </is>
      </c>
      <c r="D2" s="3" t="inlineStr">
        <is>
          <t>Mix_Margin</t>
        </is>
      </c>
      <c r="E2" s="3" t="inlineStr">
        <is>
          <t>Cap_Structure</t>
        </is>
      </c>
      <c r="F2" s="3" t="inlineStr">
        <is>
          <t>Valuation</t>
        </is>
      </c>
      <c r="G2" s="3" t="inlineStr">
        <is>
          <t>Sensitivity</t>
        </is>
      </c>
      <c r="H2" s="3" t="inlineStr">
        <is>
          <t>ReadMe</t>
        </is>
      </c>
      <c r="I2" s="3" t="inlineStr">
        <is>
          <t>Audit_Log</t>
        </is>
      </c>
    </row>
    <row r="3">
      <c r="A3" s="4" t="inlineStr">
        <is>
          <t>Revenue FY2024</t>
        </is>
      </c>
      <c r="B3" s="5" t="n">
        <v>3726000</v>
      </c>
      <c r="D3" s="6" t="inlineStr">
        <is>
          <t>Info Panel</t>
        </is>
      </c>
    </row>
    <row r="4">
      <c r="A4" s="4" t="inlineStr">
        <is>
          <t>Reported Marketing FY2024</t>
        </is>
      </c>
      <c r="B4" s="5" t="n">
        <v>37000</v>
      </c>
      <c r="D4" t="inlineStr">
        <is>
          <t>Normalized Marketing %</t>
        </is>
      </c>
      <c r="E4" s="7">
        <f>B6/Revenue_FY2024</f>
        <v/>
      </c>
    </row>
    <row r="5">
      <c r="A5" s="4" t="inlineStr">
        <is>
          <t>Target Marketing % of Revenue</t>
        </is>
      </c>
      <c r="B5" s="8" t="n">
        <v>0.14</v>
      </c>
      <c r="D5" t="inlineStr">
        <is>
          <t>Implied Interest Rate</t>
        </is>
      </c>
      <c r="E5" s="7">
        <f>IF(Net_Debt_Input&gt;0,Interest_Amount_2024/Net_Debt_Input,"")</f>
        <v/>
      </c>
    </row>
    <row r="6">
      <c r="A6" s="4" t="inlineStr">
        <is>
          <t>Normalized Marketing $</t>
        </is>
      </c>
      <c r="B6" s="9">
        <f>Revenue_FY2024*Marketing_Target_Pct</f>
        <v/>
      </c>
    </row>
    <row r="7">
      <c r="A7" s="4" t="inlineStr">
        <is>
          <t>Marketing Adjustment $</t>
        </is>
      </c>
      <c r="B7" s="9">
        <f>B6-Reported_Marketing_2024</f>
        <v/>
      </c>
    </row>
    <row r="8">
      <c r="A8" t="inlineStr"/>
    </row>
    <row r="9">
      <c r="A9" s="4" t="inlineStr">
        <is>
          <t>Interest in Opex? (TRUE/FALSE)</t>
        </is>
      </c>
      <c r="B9" s="5" t="b">
        <v>1</v>
      </c>
    </row>
    <row r="10">
      <c r="A10" s="4" t="inlineStr">
        <is>
          <t>Interest Amount FY2024</t>
        </is>
      </c>
      <c r="B10" s="5" t="n">
        <v>195000</v>
      </c>
    </row>
    <row r="11">
      <c r="A11" s="4" t="inlineStr">
        <is>
          <t>Owner Comp to Market (Δ)</t>
        </is>
      </c>
      <c r="B11" s="10" t="n">
        <v>0</v>
      </c>
    </row>
    <row r="12">
      <c r="A12" s="4" t="inlineStr">
        <is>
          <t>Rent to Market (Δ)</t>
        </is>
      </c>
      <c r="B12" s="10" t="n">
        <v>0</v>
      </c>
    </row>
    <row r="13">
      <c r="A13" s="4" t="inlineStr">
        <is>
          <t>Non-recurring items (-)</t>
        </is>
      </c>
      <c r="B13" s="10" t="n">
        <v>0</v>
      </c>
    </row>
    <row r="14">
      <c r="A14" s="4" t="inlineStr">
        <is>
          <t>Enterprise Value (baseline)</t>
        </is>
      </c>
      <c r="B14" s="5" t="n">
        <v>5969438.562147674</v>
      </c>
    </row>
    <row r="15">
      <c r="A15" s="4" t="inlineStr">
        <is>
          <t>Net Debt (at close)</t>
        </is>
      </c>
      <c r="B15" s="10" t="n">
        <v>2150000</v>
      </c>
    </row>
  </sheetData>
  <mergeCells count="1">
    <mergeCell ref="A1:E1"/>
  </mergeCells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E2" r:id="rId4"/>
    <hyperlink xmlns:r="http://schemas.openxmlformats.org/officeDocument/2006/relationships" ref="F2" r:id="rId5"/>
    <hyperlink xmlns:r="http://schemas.openxmlformats.org/officeDocument/2006/relationships" ref="G2" r:id="rId6"/>
    <hyperlink xmlns:r="http://schemas.openxmlformats.org/officeDocument/2006/relationships" ref="H2" r:id="rId7"/>
    <hyperlink xmlns:r="http://schemas.openxmlformats.org/officeDocument/2006/relationships" ref="I2" r:id="rId8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</cols>
  <sheetData>
    <row r="1">
      <c r="A1" s="11" t="inlineStr">
        <is>
          <t>Raw Financial Data - Do Not Modify</t>
        </is>
      </c>
    </row>
    <row r="2">
      <c r="A2" s="3" t="inlineStr">
        <is>
          <t>Inputs</t>
        </is>
      </c>
      <c r="B2" s="2" t="inlineStr">
        <is>
          <t>[Raw_Data]</t>
        </is>
      </c>
      <c r="C2" s="3" t="inlineStr">
        <is>
          <t>EBITDA_Bridge</t>
        </is>
      </c>
      <c r="D2" s="3" t="inlineStr">
        <is>
          <t>Mix_Margin</t>
        </is>
      </c>
      <c r="E2" s="3" t="inlineStr">
        <is>
          <t>Cap_Structure</t>
        </is>
      </c>
      <c r="F2" s="3" t="inlineStr">
        <is>
          <t>Valuation</t>
        </is>
      </c>
      <c r="G2" s="3" t="inlineStr">
        <is>
          <t>Sensitivity</t>
        </is>
      </c>
      <c r="H2" s="3" t="inlineStr">
        <is>
          <t>ReadMe</t>
        </is>
      </c>
      <c r="I2" s="3" t="inlineStr">
        <is>
          <t>Audit_Log</t>
        </is>
      </c>
    </row>
    <row r="3">
      <c r="A3" s="4" t="inlineStr">
        <is>
          <t>Service Line Revenue by Year</t>
        </is>
      </c>
    </row>
    <row r="4">
      <c r="A4" s="4" t="inlineStr">
        <is>
          <t>Service Line</t>
        </is>
      </c>
      <c r="B4" s="4" t="inlineStr">
        <is>
          <t>2022</t>
        </is>
      </c>
      <c r="C4" s="4" t="inlineStr">
        <is>
          <t>2023</t>
        </is>
      </c>
      <c r="D4" s="4" t="inlineStr">
        <is>
          <t>2024</t>
        </is>
      </c>
    </row>
    <row r="5">
      <c r="A5" t="inlineStr">
        <is>
          <t>Energy Devices</t>
        </is>
      </c>
      <c r="B5" s="12" t="n">
        <v>322000</v>
      </c>
      <c r="C5" s="12" t="n">
        <v>290000</v>
      </c>
      <c r="D5" s="12" t="n">
        <v>246000</v>
      </c>
    </row>
    <row r="6">
      <c r="A6" t="inlineStr">
        <is>
          <t>Injectables</t>
        </is>
      </c>
      <c r="B6" s="12" t="n">
        <v>1107000</v>
      </c>
      <c r="C6" s="12" t="n">
        <v>1030000</v>
      </c>
      <c r="D6" s="12" t="n">
        <v>930000</v>
      </c>
    </row>
    <row r="7">
      <c r="A7" t="inlineStr">
        <is>
          <t>Wellness</t>
        </is>
      </c>
      <c r="B7" s="12" t="n">
        <v>578000</v>
      </c>
      <c r="C7" s="12" t="n">
        <v>665000</v>
      </c>
      <c r="D7" s="12" t="n">
        <v>764000</v>
      </c>
    </row>
    <row r="8">
      <c r="A8" t="inlineStr">
        <is>
          <t>Weight Loss</t>
        </is>
      </c>
      <c r="B8" s="12" t="n">
        <v>640000</v>
      </c>
      <c r="C8" s="12" t="n">
        <v>659000</v>
      </c>
      <c r="D8" s="12" t="n">
        <v>718000</v>
      </c>
    </row>
    <row r="9">
      <c r="A9" t="inlineStr">
        <is>
          <t>Retail Sales</t>
        </is>
      </c>
      <c r="B9" s="12" t="n">
        <v>318000</v>
      </c>
      <c r="C9" s="12" t="n">
        <v>327000</v>
      </c>
      <c r="D9" s="12" t="n">
        <v>335000</v>
      </c>
    </row>
    <row r="10">
      <c r="A10" t="inlineStr">
        <is>
          <t>Surgery</t>
        </is>
      </c>
      <c r="B10" s="12" t="n">
        <v>612000</v>
      </c>
      <c r="C10" s="12" t="n">
        <v>679000</v>
      </c>
      <c r="D10" s="12" t="n">
        <v>733000</v>
      </c>
    </row>
    <row r="13">
      <c r="A13" s="4" t="inlineStr">
        <is>
          <t>P&amp;L Summary</t>
        </is>
      </c>
    </row>
    <row r="15">
      <c r="A15" t="inlineStr">
        <is>
          <t>Total Revenue</t>
        </is>
      </c>
      <c r="C15" s="12" t="n">
        <v>3726000</v>
      </c>
      <c r="D15">
        <f>SUM(D5:D10)</f>
        <v/>
      </c>
    </row>
    <row r="16">
      <c r="A16" t="inlineStr">
        <is>
          <t>COGS</t>
        </is>
      </c>
      <c r="C16" s="12" t="n">
        <v>1180000</v>
      </c>
      <c r="D16" s="12" t="n">
        <v>1180000</v>
      </c>
    </row>
    <row r="17">
      <c r="A17" t="inlineStr">
        <is>
          <t>Gross Profit</t>
        </is>
      </c>
      <c r="C17" s="12" t="n">
        <v>2546000</v>
      </c>
      <c r="D17">
        <f>D15-D16</f>
        <v/>
      </c>
    </row>
    <row r="18">
      <c r="A18" t="inlineStr">
        <is>
          <t>Operating Expenses</t>
        </is>
      </c>
      <c r="C18" s="12" t="n">
        <v>1658000</v>
      </c>
      <c r="D18" s="12" t="n">
        <v>1658000</v>
      </c>
    </row>
    <row r="19">
      <c r="A19" t="inlineStr">
        <is>
          <t>EBITDA (Reported)</t>
        </is>
      </c>
      <c r="C19" s="12" t="n">
        <v>888000</v>
      </c>
      <c r="D19">
        <f>D17-D18</f>
        <v/>
      </c>
    </row>
    <row r="20">
      <c r="A20" t="inlineStr">
        <is>
          <t>Interest Expense</t>
        </is>
      </c>
      <c r="C20" s="12" t="n">
        <v>195000</v>
      </c>
      <c r="D20" s="12" t="n">
        <v>195000</v>
      </c>
    </row>
    <row r="21">
      <c r="A21" t="inlineStr">
        <is>
          <t>EBT</t>
        </is>
      </c>
      <c r="C21" s="12" t="n">
        <v>693000</v>
      </c>
      <c r="D21">
        <f>D19-D20</f>
        <v/>
      </c>
    </row>
  </sheetData>
  <mergeCells count="1">
    <mergeCell ref="A1:E1"/>
  </mergeCells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E2" r:id="rId4"/>
    <hyperlink xmlns:r="http://schemas.openxmlformats.org/officeDocument/2006/relationships" ref="F2" r:id="rId5"/>
    <hyperlink xmlns:r="http://schemas.openxmlformats.org/officeDocument/2006/relationships" ref="G2" r:id="rId6"/>
    <hyperlink xmlns:r="http://schemas.openxmlformats.org/officeDocument/2006/relationships" ref="H2" r:id="rId7"/>
    <hyperlink xmlns:r="http://schemas.openxmlformats.org/officeDocument/2006/relationships" ref="I2" r:id="rId8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" customWidth="1" min="1" max="1"/>
    <col width="15" customWidth="1" min="2" max="2"/>
    <col width="25" customWidth="1" min="3" max="3"/>
  </cols>
  <sheetData>
    <row r="1">
      <c r="A1" s="1" t="inlineStr">
        <is>
          <t>EBITDA Normalization Bridge</t>
        </is>
      </c>
    </row>
    <row r="2">
      <c r="A2" s="3" t="inlineStr">
        <is>
          <t>Inputs</t>
        </is>
      </c>
      <c r="B2" s="3" t="inlineStr">
        <is>
          <t>Raw_Data</t>
        </is>
      </c>
      <c r="C2" s="2" t="inlineStr">
        <is>
          <t>[EBITDA_Bridge]</t>
        </is>
      </c>
      <c r="D2" s="3" t="inlineStr">
        <is>
          <t>Mix_Margin</t>
        </is>
      </c>
      <c r="E2" s="3" t="inlineStr">
        <is>
          <t>Cap_Structure</t>
        </is>
      </c>
      <c r="F2" s="3" t="inlineStr">
        <is>
          <t>Valuation</t>
        </is>
      </c>
      <c r="G2" s="3" t="inlineStr">
        <is>
          <t>Sensitivity</t>
        </is>
      </c>
      <c r="H2" s="3" t="inlineStr">
        <is>
          <t>ReadMe</t>
        </is>
      </c>
      <c r="I2" s="3" t="inlineStr">
        <is>
          <t>Audit_Log</t>
        </is>
      </c>
    </row>
    <row r="4">
      <c r="A4" t="inlineStr">
        <is>
          <t>Reported EBITDA</t>
        </is>
      </c>
      <c r="B4" s="12">
        <f>Raw_Data!D19</f>
        <v/>
      </c>
      <c r="C4" t="inlineStr">
        <is>
          <t>From P&amp;L</t>
        </is>
      </c>
    </row>
    <row r="5">
      <c r="A5" t="inlineStr">
        <is>
          <t>+ Reclass Interest out of Opex</t>
        </is>
      </c>
      <c r="B5" s="12">
        <f>IF(Interest_In_Opex_Flag,Interest_Amount_2024,0)</f>
        <v/>
      </c>
      <c r="C5" t="inlineStr">
        <is>
          <t>Conditional addback</t>
        </is>
      </c>
    </row>
    <row r="6">
      <c r="A6" t="inlineStr">
        <is>
          <t>± Owner Comp to Market (Δ)</t>
        </is>
      </c>
      <c r="B6" s="12">
        <f>OwnerComp_ToMarket_Delta</f>
        <v/>
      </c>
      <c r="C6" t="inlineStr">
        <is>
          <t>Market adjustment</t>
        </is>
      </c>
    </row>
    <row r="7">
      <c r="A7" t="inlineStr">
        <is>
          <t>± Rent to Market (Δ)</t>
        </is>
      </c>
      <c r="B7" s="12">
        <f>Rent_ToMarket_Delta</f>
        <v/>
      </c>
      <c r="C7" t="inlineStr">
        <is>
          <t>Market adjustment</t>
        </is>
      </c>
    </row>
    <row r="8">
      <c r="A8" t="inlineStr">
        <is>
          <t>- Non-recurring</t>
        </is>
      </c>
      <c r="B8" s="12">
        <f>NonRecurring_Adjustments</f>
        <v/>
      </c>
      <c r="C8" t="inlineStr">
        <is>
          <t>One-time items</t>
        </is>
      </c>
    </row>
    <row r="9">
      <c r="A9" t="inlineStr">
        <is>
          <t>- Marketing Normalization</t>
        </is>
      </c>
      <c r="B9" s="12">
        <f>Inputs!B7</f>
        <v/>
      </c>
      <c r="C9" t="inlineStr">
        <is>
          <t>Sustainable level</t>
        </is>
      </c>
    </row>
    <row r="10">
      <c r="A10" t="inlineStr"/>
      <c r="C10" t="inlineStr"/>
    </row>
    <row r="11">
      <c r="A11">
        <f> Normalized EBITDA</f>
        <v/>
      </c>
      <c r="B11" s="13">
        <f>B4+B5+B6+B7-B8-B9</f>
        <v/>
      </c>
      <c r="C11" t="inlineStr">
        <is>
          <t>Steady-state EBITDA</t>
        </is>
      </c>
    </row>
    <row r="14">
      <c r="A14" s="6" t="inlineStr">
        <is>
          <t>Two-View EBITDA Analysis</t>
        </is>
      </c>
    </row>
    <row r="16">
      <c r="A16" t="inlineStr">
        <is>
          <t>View A (As-modeled):</t>
        </is>
      </c>
      <c r="B16" s="12">
        <f>B11</f>
        <v/>
      </c>
      <c r="C16" t="inlineStr">
        <is>
          <t>Interest not in opex</t>
        </is>
      </c>
    </row>
    <row r="17">
      <c r="A17" t="inlineStr">
        <is>
          <t>View B (Corrected Interest):</t>
        </is>
      </c>
      <c r="B17" s="12">
        <f>B4+Interest_Amount_2024+B6+B7-B8-B9</f>
        <v/>
      </c>
      <c r="C17" t="inlineStr">
        <is>
          <t>Interest properly classified</t>
        </is>
      </c>
    </row>
    <row r="19">
      <c r="A19" s="6" t="inlineStr">
        <is>
          <t>EV/EBITDA Multiples</t>
        </is>
      </c>
    </row>
    <row r="20">
      <c r="A20" t="inlineStr">
        <is>
          <t>View A Multiple:</t>
        </is>
      </c>
      <c r="B20" s="14">
        <f>EV_Input/B16</f>
        <v/>
      </c>
    </row>
    <row r="21">
      <c r="A21" t="inlineStr">
        <is>
          <t>View B Multiple:</t>
        </is>
      </c>
      <c r="B21" s="15">
        <f>EV_Input/B17</f>
        <v/>
      </c>
    </row>
  </sheetData>
  <mergeCells count="1">
    <mergeCell ref="A1:C1"/>
  </mergeCells>
  <hyperlinks>
    <hyperlink xmlns:r="http://schemas.openxmlformats.org/officeDocument/2006/relationships" ref="A2" r:id="rId1"/>
    <hyperlink xmlns:r="http://schemas.openxmlformats.org/officeDocument/2006/relationships" ref="B2" r:id="rId2"/>
    <hyperlink xmlns:r="http://schemas.openxmlformats.org/officeDocument/2006/relationships" ref="D2" r:id="rId3"/>
    <hyperlink xmlns:r="http://schemas.openxmlformats.org/officeDocument/2006/relationships" ref="E2" r:id="rId4"/>
    <hyperlink xmlns:r="http://schemas.openxmlformats.org/officeDocument/2006/relationships" ref="F2" r:id="rId5"/>
    <hyperlink xmlns:r="http://schemas.openxmlformats.org/officeDocument/2006/relationships" ref="G2" r:id="rId6"/>
    <hyperlink xmlns:r="http://schemas.openxmlformats.org/officeDocument/2006/relationships" ref="H2" r:id="rId7"/>
    <hyperlink xmlns:r="http://schemas.openxmlformats.org/officeDocument/2006/relationships" ref="I2" r:id="rId8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inlineStr">
        <is>
          <t>Service Line Mix &amp; Margin Analysis</t>
        </is>
      </c>
    </row>
    <row r="2">
      <c r="A2" s="3" t="inlineStr">
        <is>
          <t>Inputs</t>
        </is>
      </c>
      <c r="B2" s="3" t="inlineStr">
        <is>
          <t>Raw_Data</t>
        </is>
      </c>
      <c r="C2" s="3" t="inlineStr">
        <is>
          <t>EBITDA_Bridge</t>
        </is>
      </c>
      <c r="D2" s="2" t="inlineStr">
        <is>
          <t>[Mix_Margin]</t>
        </is>
      </c>
      <c r="E2" s="3" t="inlineStr">
        <is>
          <t>Cap_Structure</t>
        </is>
      </c>
      <c r="F2" s="3" t="inlineStr">
        <is>
          <t>Valuation</t>
        </is>
      </c>
      <c r="G2" s="3" t="inlineStr">
        <is>
          <t>Sensitivity</t>
        </is>
      </c>
      <c r="H2" s="3" t="inlineStr">
        <is>
          <t>ReadMe</t>
        </is>
      </c>
      <c r="I2" s="3" t="inlineStr">
        <is>
          <t>Audit_Log</t>
        </is>
      </c>
    </row>
    <row r="3">
      <c r="A3" s="4" t="inlineStr">
        <is>
          <t>Service</t>
        </is>
      </c>
      <c r="B3" s="4" t="inlineStr">
        <is>
          <t>2022 Rev</t>
        </is>
      </c>
      <c r="C3" s="4" t="inlineStr">
        <is>
          <t>2023 Rev</t>
        </is>
      </c>
      <c r="D3" s="4" t="inlineStr">
        <is>
          <t>2024 Rev</t>
        </is>
      </c>
      <c r="E3" s="4" t="inlineStr">
        <is>
          <t>% Mix 2024</t>
        </is>
      </c>
      <c r="F3" s="4" t="inlineStr">
        <is>
          <t>YoY %</t>
        </is>
      </c>
      <c r="G3" s="4" t="inlineStr">
        <is>
          <t>Price</t>
        </is>
      </c>
      <c r="H3" s="4" t="inlineStr">
        <is>
          <t>Volume</t>
        </is>
      </c>
      <c r="I3" s="4" t="inlineStr">
        <is>
          <t>COGS %</t>
        </is>
      </c>
      <c r="J3" s="4" t="inlineStr">
        <is>
          <t>COGS $</t>
        </is>
      </c>
      <c r="K3" s="4" t="inlineStr">
        <is>
          <t>Gross Profit</t>
        </is>
      </c>
      <c r="L3" s="4" t="inlineStr">
        <is>
          <t>Trend</t>
        </is>
      </c>
    </row>
    <row r="4">
      <c r="A4" t="inlineStr">
        <is>
          <t>Energy Devices</t>
        </is>
      </c>
      <c r="B4" s="12" t="n">
        <v>322000</v>
      </c>
      <c r="C4" s="12" t="n">
        <v>290000</v>
      </c>
      <c r="D4" s="12" t="n">
        <v>246000</v>
      </c>
      <c r="E4" s="7">
        <f>D4/Revenue_FY2024</f>
        <v/>
      </c>
      <c r="F4" s="7">
        <f>(D4-C4)/C4</f>
        <v/>
      </c>
      <c r="G4" s="12" t="n">
        <v>45</v>
      </c>
      <c r="H4" t="n">
        <v>120</v>
      </c>
      <c r="I4" s="7" t="n">
        <v>0.25</v>
      </c>
      <c r="J4" s="12">
        <f>D4*I4</f>
        <v/>
      </c>
      <c r="K4" s="12">
        <f>D4-J4</f>
        <v/>
      </c>
      <c r="L4">
        <f>IF(F4&gt;0.05,"Growing",IF(F4&lt;-0.05,"Declining","Stable"))</f>
        <v/>
      </c>
    </row>
    <row r="5">
      <c r="A5" t="inlineStr">
        <is>
          <t>Injectables</t>
        </is>
      </c>
      <c r="B5" s="12" t="n">
        <v>1107000</v>
      </c>
      <c r="C5" s="12" t="n">
        <v>1030000</v>
      </c>
      <c r="D5" s="12" t="n">
        <v>930000</v>
      </c>
      <c r="E5" s="7">
        <f>D5/Revenue_FY2024</f>
        <v/>
      </c>
      <c r="F5" s="7">
        <f>(D5-C5)/C5</f>
        <v/>
      </c>
      <c r="G5" s="12" t="n">
        <v>350</v>
      </c>
      <c r="H5" t="n">
        <v>180</v>
      </c>
      <c r="I5" s="7" t="n">
        <v>0.15</v>
      </c>
      <c r="J5" s="12">
        <f>D5*I5</f>
        <v/>
      </c>
      <c r="K5" s="12">
        <f>D5-J5</f>
        <v/>
      </c>
      <c r="L5">
        <f>IF(F5&gt;0.05,"Growing",IF(F5&lt;-0.05,"Declining","Stable"))</f>
        <v/>
      </c>
    </row>
    <row r="6">
      <c r="A6" t="inlineStr">
        <is>
          <t>Wellness</t>
        </is>
      </c>
      <c r="B6" s="12" t="n">
        <v>578000</v>
      </c>
      <c r="C6" s="12" t="n">
        <v>665000</v>
      </c>
      <c r="D6" s="12" t="n">
        <v>764000</v>
      </c>
      <c r="E6" s="7">
        <f>D6/Revenue_FY2024</f>
        <v/>
      </c>
      <c r="F6" s="7">
        <f>(D6-C6)/C6</f>
        <v/>
      </c>
      <c r="G6" s="12" t="n">
        <v>125</v>
      </c>
      <c r="H6" t="n">
        <v>200</v>
      </c>
      <c r="I6" s="7" t="n">
        <v>0.2</v>
      </c>
      <c r="J6" s="12">
        <f>D6*I6</f>
        <v/>
      </c>
      <c r="K6" s="12">
        <f>D6-J6</f>
        <v/>
      </c>
      <c r="L6">
        <f>IF(F6&gt;0.05,"Growing",IF(F6&lt;-0.05,"Declining","Stable"))</f>
        <v/>
      </c>
    </row>
    <row r="7">
      <c r="A7" t="inlineStr">
        <is>
          <t>Weight Loss</t>
        </is>
      </c>
      <c r="B7" s="12" t="n">
        <v>640000</v>
      </c>
      <c r="C7" s="12" t="n">
        <v>659000</v>
      </c>
      <c r="D7" s="12" t="n">
        <v>718000</v>
      </c>
      <c r="E7" s="7">
        <f>D7/Revenue_FY2024</f>
        <v/>
      </c>
      <c r="F7" s="7">
        <f>(D7-C7)/C7</f>
        <v/>
      </c>
      <c r="G7" s="12" t="n">
        <v>180</v>
      </c>
      <c r="H7" t="n">
        <v>150</v>
      </c>
      <c r="I7" s="7" t="n">
        <v>0.18</v>
      </c>
      <c r="J7" s="12">
        <f>D7*I7</f>
        <v/>
      </c>
      <c r="K7" s="12">
        <f>D7-J7</f>
        <v/>
      </c>
      <c r="L7">
        <f>IF(F7&gt;0.05,"Growing",IF(F7&lt;-0.05,"Declining","Stable"))</f>
        <v/>
      </c>
    </row>
    <row r="8">
      <c r="A8" t="inlineStr">
        <is>
          <t>Retail Sales</t>
        </is>
      </c>
      <c r="B8" s="12" t="n">
        <v>318000</v>
      </c>
      <c r="C8" s="12" t="n">
        <v>327000</v>
      </c>
      <c r="D8" s="12" t="n">
        <v>335000</v>
      </c>
      <c r="E8" s="7">
        <f>D8/Revenue_FY2024</f>
        <v/>
      </c>
      <c r="F8" s="7">
        <f>(D8-C8)/C8</f>
        <v/>
      </c>
      <c r="G8" s="12" t="n">
        <v>35</v>
      </c>
      <c r="H8" t="n">
        <v>500</v>
      </c>
      <c r="I8" s="7" t="n">
        <v>0.5</v>
      </c>
      <c r="J8" s="12">
        <f>D8*I8</f>
        <v/>
      </c>
      <c r="K8" s="12">
        <f>D8-J8</f>
        <v/>
      </c>
      <c r="L8">
        <f>IF(F8&gt;0.05,"Growing",IF(F8&lt;-0.05,"Declining","Stable"))</f>
        <v/>
      </c>
    </row>
    <row r="9">
      <c r="A9" t="inlineStr">
        <is>
          <t>Surgery</t>
        </is>
      </c>
      <c r="B9" s="12" t="n">
        <v>612000</v>
      </c>
      <c r="C9" s="12" t="n">
        <v>679000</v>
      </c>
      <c r="D9" s="12" t="n">
        <v>733000</v>
      </c>
      <c r="E9" s="7">
        <f>D9/Revenue_FY2024</f>
        <v/>
      </c>
      <c r="F9" s="7">
        <f>(D9-C9)/C9</f>
        <v/>
      </c>
      <c r="G9" s="12" t="n">
        <v>2500</v>
      </c>
      <c r="H9" t="n">
        <v>120</v>
      </c>
      <c r="I9" s="7" t="n">
        <v>0.12</v>
      </c>
      <c r="J9" s="12">
        <f>D9*I9</f>
        <v/>
      </c>
      <c r="K9" s="12">
        <f>D9-J9</f>
        <v/>
      </c>
      <c r="L9">
        <f>IF(F9&gt;0.05,"Growing",IF(F9&lt;-0.05,"Declining","Stable"))</f>
        <v/>
      </c>
    </row>
    <row r="10">
      <c r="A10" s="16" t="inlineStr">
        <is>
          <t>TOTAL/CHECK</t>
        </is>
      </c>
      <c r="D10" s="17">
        <f>SUM(D4:D9)</f>
        <v/>
      </c>
    </row>
    <row r="11">
      <c r="A11" t="inlineStr">
        <is>
          <t>Reconcile to Revenue:</t>
        </is>
      </c>
      <c r="D11" s="18">
        <f>IF(D10=Revenue_FY2024,"✓ MATCH","✗ ERROR")</f>
        <v/>
      </c>
    </row>
  </sheetData>
  <mergeCells count="1">
    <mergeCell ref="A1:L1"/>
  </mergeCells>
  <hyperlinks>
    <hyperlink xmlns:r="http://schemas.openxmlformats.org/officeDocument/2006/relationships" ref="A2" r:id="rId1"/>
    <hyperlink xmlns:r="http://schemas.openxmlformats.org/officeDocument/2006/relationships" ref="B2" r:id="rId2"/>
    <hyperlink xmlns:r="http://schemas.openxmlformats.org/officeDocument/2006/relationships" ref="C2" r:id="rId3"/>
    <hyperlink xmlns:r="http://schemas.openxmlformats.org/officeDocument/2006/relationships" ref="E2" r:id="rId4"/>
    <hyperlink xmlns:r="http://schemas.openxmlformats.org/officeDocument/2006/relationships" ref="F2" r:id="rId5"/>
    <hyperlink xmlns:r="http://schemas.openxmlformats.org/officeDocument/2006/relationships" ref="G2" r:id="rId6"/>
    <hyperlink xmlns:r="http://schemas.openxmlformats.org/officeDocument/2006/relationships" ref="H2" r:id="rId7"/>
    <hyperlink xmlns:r="http://schemas.openxmlformats.org/officeDocument/2006/relationships" ref="I2" r:id="rId8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</cols>
  <sheetData>
    <row r="1">
      <c r="A1" s="1" t="inlineStr">
        <is>
          <t>Capital Structure &amp; Equity Value</t>
        </is>
      </c>
    </row>
    <row r="2">
      <c r="A2" s="3" t="inlineStr">
        <is>
          <t>Inputs</t>
        </is>
      </c>
      <c r="B2" s="3" t="inlineStr">
        <is>
          <t>Raw_Data</t>
        </is>
      </c>
      <c r="C2" s="3" t="inlineStr">
        <is>
          <t>EBITDA_Bridge</t>
        </is>
      </c>
      <c r="D2" s="3" t="inlineStr">
        <is>
          <t>Mix_Margin</t>
        </is>
      </c>
      <c r="E2" s="2" t="inlineStr">
        <is>
          <t>[Cap_Structure]</t>
        </is>
      </c>
      <c r="F2" s="3" t="inlineStr">
        <is>
          <t>Valuation</t>
        </is>
      </c>
      <c r="G2" s="3" t="inlineStr">
        <is>
          <t>Sensitivity</t>
        </is>
      </c>
      <c r="H2" s="3" t="inlineStr">
        <is>
          <t>ReadMe</t>
        </is>
      </c>
      <c r="I2" s="3" t="inlineStr">
        <is>
          <t>Audit_Log</t>
        </is>
      </c>
    </row>
    <row r="3">
      <c r="A3" s="4" t="inlineStr">
        <is>
          <t>Capital Structure Components</t>
        </is>
      </c>
    </row>
    <row r="4">
      <c r="A4" t="inlineStr">
        <is>
          <t>Net Debt (at close)</t>
        </is>
      </c>
      <c r="B4" s="12">
        <f>Net_Debt_Input</f>
        <v/>
      </c>
      <c r="C4" t="inlineStr">
        <is>
          <t>Input</t>
        </is>
      </c>
    </row>
    <row r="5">
      <c r="A5" t="inlineStr">
        <is>
          <t>Interest Amount 2024</t>
        </is>
      </c>
      <c r="B5" s="12">
        <f>Interest_Amount_2024</f>
        <v/>
      </c>
      <c r="C5" t="inlineStr">
        <is>
          <t>Input</t>
        </is>
      </c>
    </row>
    <row r="6">
      <c r="A6" t="inlineStr"/>
      <c r="C6" t="inlineStr"/>
    </row>
    <row r="7">
      <c r="A7" t="inlineStr">
        <is>
          <t>Enterprise Value</t>
        </is>
      </c>
      <c r="B7" s="12">
        <f>EV_Input</f>
        <v/>
      </c>
      <c r="C7" t="inlineStr">
        <is>
          <t>Input</t>
        </is>
      </c>
    </row>
    <row r="8">
      <c r="A8" t="inlineStr">
        <is>
          <t>Less: Net Debt</t>
        </is>
      </c>
      <c r="B8" s="12">
        <f>B4</f>
        <v/>
      </c>
      <c r="C8" t="inlineStr"/>
    </row>
    <row r="9">
      <c r="A9" t="inlineStr">
        <is>
          <t>Equity Value</t>
        </is>
      </c>
      <c r="B9" s="13">
        <f>B7-B8</f>
        <v/>
      </c>
      <c r="C9" t="inlineStr">
        <is>
          <t>Calculated</t>
        </is>
      </c>
    </row>
    <row r="10">
      <c r="A10" t="inlineStr"/>
      <c r="C10" t="inlineStr"/>
    </row>
    <row r="11">
      <c r="A11" t="inlineStr">
        <is>
          <t>Implied Interest Rate</t>
        </is>
      </c>
      <c r="B11" s="7">
        <f>IF(B4&gt;0,B5/B4,"N/A")</f>
        <v/>
      </c>
      <c r="C11" t="inlineStr">
        <is>
          <t>Check</t>
        </is>
      </c>
    </row>
  </sheetData>
  <mergeCells count="1">
    <mergeCell ref="A1:C1"/>
  </mergeCells>
  <hyperlinks>
    <hyperlink xmlns:r="http://schemas.openxmlformats.org/officeDocument/2006/relationships" ref="A2" r:id="rId1"/>
    <hyperlink xmlns:r="http://schemas.openxmlformats.org/officeDocument/2006/relationships" ref="B2" r:id="rId2"/>
    <hyperlink xmlns:r="http://schemas.openxmlformats.org/officeDocument/2006/relationships" ref="C2" r:id="rId3"/>
    <hyperlink xmlns:r="http://schemas.openxmlformats.org/officeDocument/2006/relationships" ref="D2" r:id="rId4"/>
    <hyperlink xmlns:r="http://schemas.openxmlformats.org/officeDocument/2006/relationships" ref="F2" r:id="rId5"/>
    <hyperlink xmlns:r="http://schemas.openxmlformats.org/officeDocument/2006/relationships" ref="G2" r:id="rId6"/>
    <hyperlink xmlns:r="http://schemas.openxmlformats.org/officeDocument/2006/relationships" ref="H2" r:id="rId7"/>
    <hyperlink xmlns:r="http://schemas.openxmlformats.org/officeDocument/2006/relationships" ref="I2" r:id="rId8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Valuation Summary &amp; Market Analysis</t>
        </is>
      </c>
    </row>
    <row r="2">
      <c r="A2" s="3" t="inlineStr">
        <is>
          <t>Inputs</t>
        </is>
      </c>
      <c r="B2" s="3" t="inlineStr">
        <is>
          <t>Raw_Data</t>
        </is>
      </c>
      <c r="C2" s="3" t="inlineStr">
        <is>
          <t>EBITDA_Bridge</t>
        </is>
      </c>
      <c r="D2" s="3" t="inlineStr">
        <is>
          <t>Mix_Margin</t>
        </is>
      </c>
      <c r="E2" s="3" t="inlineStr">
        <is>
          <t>Cap_Structure</t>
        </is>
      </c>
      <c r="F2" s="2" t="inlineStr">
        <is>
          <t>[Valuation]</t>
        </is>
      </c>
      <c r="G2" s="3" t="inlineStr">
        <is>
          <t>Sensitivity</t>
        </is>
      </c>
      <c r="H2" s="3" t="inlineStr">
        <is>
          <t>ReadMe</t>
        </is>
      </c>
      <c r="I2" s="3" t="inlineStr">
        <is>
          <t>Audit_Log</t>
        </is>
      </c>
    </row>
    <row r="3">
      <c r="A3" s="4" t="inlineStr">
        <is>
          <t>Key Valuation Metrics</t>
        </is>
      </c>
      <c r="D3" s="4" t="inlineStr">
        <is>
          <t>Market Range Analysis</t>
        </is>
      </c>
    </row>
    <row r="4">
      <c r="A4" t="inlineStr">
        <is>
          <t>EV/Revenue</t>
        </is>
      </c>
      <c r="B4" s="14">
        <f>EV_Input/Revenue_FY2024</f>
        <v/>
      </c>
      <c r="D4" t="inlineStr">
        <is>
          <t>EV/EBITDA Multiple</t>
        </is>
      </c>
      <c r="E4" t="inlineStr">
        <is>
          <t>Implied EV</t>
        </is>
      </c>
      <c r="F4" t="inlineStr">
        <is>
          <t>Implied Equity</t>
        </is>
      </c>
    </row>
    <row r="5">
      <c r="A5" t="inlineStr">
        <is>
          <t>EV/EBITDA (View A)</t>
        </is>
      </c>
      <c r="B5" s="14">
        <f>EV_Input/EBITDA_ViewA</f>
        <v/>
      </c>
      <c r="D5" t="inlineStr">
        <is>
          <t>Low (4.5x)</t>
        </is>
      </c>
      <c r="E5" s="12">
        <f>4.5*EBITDA_ViewB</f>
        <v/>
      </c>
      <c r="F5" s="12">
        <f>E5-Net_Debt_Input</f>
        <v/>
      </c>
    </row>
    <row r="6">
      <c r="A6" t="inlineStr">
        <is>
          <t>EV/EBITDA (View B)</t>
        </is>
      </c>
      <c r="B6" s="19">
        <f>EV_Input/EBITDA_ViewB</f>
        <v/>
      </c>
      <c r="D6" t="inlineStr">
        <is>
          <t>Mid (5.5x)</t>
        </is>
      </c>
      <c r="E6" s="12">
        <f>5.5*EBITDA_ViewB</f>
        <v/>
      </c>
      <c r="F6" s="12">
        <f>E6-Net_Debt_Input</f>
        <v/>
      </c>
    </row>
    <row r="7">
      <c r="A7" t="inlineStr"/>
      <c r="D7" t="inlineStr">
        <is>
          <t>High (6.5x)</t>
        </is>
      </c>
      <c r="E7" s="12">
        <f>6.5*EBITDA_ViewB</f>
        <v/>
      </c>
      <c r="F7" s="12">
        <f>E7-Net_Debt_Input</f>
        <v/>
      </c>
    </row>
    <row r="8">
      <c r="A8" t="inlineStr">
        <is>
          <t>Enterprise Value</t>
        </is>
      </c>
      <c r="B8" s="12">
        <f>EV_Input</f>
        <v/>
      </c>
    </row>
    <row r="9">
      <c r="A9" t="inlineStr">
        <is>
          <t>Equity Value</t>
        </is>
      </c>
      <c r="B9" s="13">
        <f>Equity_Value</f>
        <v/>
      </c>
    </row>
    <row r="12">
      <c r="A12" s="4" t="inlineStr">
        <is>
          <t>Offer Structure</t>
        </is>
      </c>
    </row>
    <row r="13">
      <c r="A13" t="inlineStr">
        <is>
          <t>Offer EV:</t>
        </is>
      </c>
      <c r="B13" s="20">
        <f>EV_Input</f>
        <v/>
      </c>
    </row>
    <row r="14">
      <c r="A14" t="inlineStr">
        <is>
          <t>Offer Equity:</t>
        </is>
      </c>
      <c r="B14" s="12">
        <f>B13-Net_Debt_Input</f>
        <v/>
      </c>
    </row>
    <row r="15">
      <c r="A15" t="inlineStr">
        <is>
          <t>Cash %:</t>
        </is>
      </c>
      <c r="B15" s="21" t="n">
        <v>0.7</v>
      </c>
    </row>
    <row r="16">
      <c r="A16" t="inlineStr">
        <is>
          <t>Rollover %:</t>
        </is>
      </c>
      <c r="B16" s="22">
        <f>1-B15</f>
        <v/>
      </c>
    </row>
  </sheetData>
  <mergeCells count="1">
    <mergeCell ref="A1:D1"/>
  </mergeCells>
  <hyperlinks>
    <hyperlink xmlns:r="http://schemas.openxmlformats.org/officeDocument/2006/relationships" ref="A2" r:id="rId1"/>
    <hyperlink xmlns:r="http://schemas.openxmlformats.org/officeDocument/2006/relationships" ref="B2" r:id="rId2"/>
    <hyperlink xmlns:r="http://schemas.openxmlformats.org/officeDocument/2006/relationships" ref="C2" r:id="rId3"/>
    <hyperlink xmlns:r="http://schemas.openxmlformats.org/officeDocument/2006/relationships" ref="D2" r:id="rId4"/>
    <hyperlink xmlns:r="http://schemas.openxmlformats.org/officeDocument/2006/relationships" ref="E2" r:id="rId5"/>
    <hyperlink xmlns:r="http://schemas.openxmlformats.org/officeDocument/2006/relationships" ref="G2" r:id="rId6"/>
    <hyperlink xmlns:r="http://schemas.openxmlformats.org/officeDocument/2006/relationships" ref="H2" r:id="rId7"/>
    <hyperlink xmlns:r="http://schemas.openxmlformats.org/officeDocument/2006/relationships" ref="I2" r:id="rId8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</cols>
  <sheetData>
    <row r="1">
      <c r="A1" s="1" t="inlineStr">
        <is>
          <t>Sensitivity Analysis</t>
        </is>
      </c>
    </row>
    <row r="2">
      <c r="A2" s="3" t="inlineStr">
        <is>
          <t>Inputs</t>
        </is>
      </c>
      <c r="B2" s="3" t="inlineStr">
        <is>
          <t>Raw_Data</t>
        </is>
      </c>
      <c r="C2" s="3" t="inlineStr">
        <is>
          <t>EBITDA_Bridge</t>
        </is>
      </c>
      <c r="D2" s="3" t="inlineStr">
        <is>
          <t>Mix_Margin</t>
        </is>
      </c>
      <c r="E2" s="3" t="inlineStr">
        <is>
          <t>Cap_Structure</t>
        </is>
      </c>
      <c r="F2" s="3" t="inlineStr">
        <is>
          <t>Valuation</t>
        </is>
      </c>
      <c r="G2" s="2" t="inlineStr">
        <is>
          <t>[Sensitivity]</t>
        </is>
      </c>
      <c r="H2" s="3" t="inlineStr">
        <is>
          <t>ReadMe</t>
        </is>
      </c>
      <c r="I2" s="3" t="inlineStr">
        <is>
          <t>Audit_Log</t>
        </is>
      </c>
    </row>
    <row r="3">
      <c r="A3" s="4" t="inlineStr">
        <is>
          <t>EBITDA Sensitivity: Marketing % vs Revenue</t>
        </is>
      </c>
    </row>
    <row r="4">
      <c r="B4" t="inlineStr">
        <is>
          <t>Revenue →</t>
        </is>
      </c>
      <c r="C4" s="4" t="inlineStr">
        <is>
          <t>-5.0%</t>
        </is>
      </c>
      <c r="D4" s="4" t="inlineStr">
        <is>
          <t>-2.5%</t>
        </is>
      </c>
      <c r="E4" s="4" t="inlineStr">
        <is>
          <t>+0.0%</t>
        </is>
      </c>
      <c r="F4" s="4" t="inlineStr">
        <is>
          <t>+2.5%</t>
        </is>
      </c>
      <c r="G4" s="4" t="inlineStr">
        <is>
          <t>+5.0%</t>
        </is>
      </c>
    </row>
    <row r="5">
      <c r="B5" s="4" t="inlineStr">
        <is>
          <t>10%</t>
        </is>
      </c>
      <c r="C5" s="12">
        <f>Raw_Data!D19+IF(Interest_In_Opex_Flag,Interest_Amount_2024,0)+OwnerComp_ToMarket_Delta+Rent_ToMarket_Delta-NonRecurring_Adjustments-(Revenue_FY2024*(1+-0.05)*0.1-Reported_Marketing_2024)</f>
        <v/>
      </c>
      <c r="D5" s="12">
        <f>Raw_Data!D19+IF(Interest_In_Opex_Flag,Interest_Amount_2024,0)+OwnerComp_ToMarket_Delta+Rent_ToMarket_Delta-NonRecurring_Adjustments-(Revenue_FY2024*(1+-0.025)*0.1-Reported_Marketing_2024)</f>
        <v/>
      </c>
      <c r="E5" s="12">
        <f>Raw_Data!D19+IF(Interest_In_Opex_Flag,Interest_Amount_2024,0)+OwnerComp_ToMarket_Delta+Rent_ToMarket_Delta-NonRecurring_Adjustments-(Revenue_FY2024*(1+0)*0.1-Reported_Marketing_2024)</f>
        <v/>
      </c>
      <c r="F5" s="12">
        <f>Raw_Data!D19+IF(Interest_In_Opex_Flag,Interest_Amount_2024,0)+OwnerComp_ToMarket_Delta+Rent_ToMarket_Delta-NonRecurring_Adjustments-(Revenue_FY2024*(1+0.025)*0.1-Reported_Marketing_2024)</f>
        <v/>
      </c>
      <c r="G5" s="12">
        <f>Raw_Data!D19+IF(Interest_In_Opex_Flag,Interest_Amount_2024,0)+OwnerComp_ToMarket_Delta+Rent_ToMarket_Delta-NonRecurring_Adjustments-(Revenue_FY2024*(1+0.05)*0.1-Reported_Marketing_2024)</f>
        <v/>
      </c>
    </row>
    <row r="6">
      <c r="B6" s="4" t="inlineStr">
        <is>
          <t>12%</t>
        </is>
      </c>
      <c r="C6" s="12">
        <f>Raw_Data!D19+IF(Interest_In_Opex_Flag,Interest_Amount_2024,0)+OwnerComp_ToMarket_Delta+Rent_ToMarket_Delta-NonRecurring_Adjustments-(Revenue_FY2024*(1+-0.05)*0.12-Reported_Marketing_2024)</f>
        <v/>
      </c>
      <c r="D6" s="12">
        <f>Raw_Data!D19+IF(Interest_In_Opex_Flag,Interest_Amount_2024,0)+OwnerComp_ToMarket_Delta+Rent_ToMarket_Delta-NonRecurring_Adjustments-(Revenue_FY2024*(1+-0.025)*0.12-Reported_Marketing_2024)</f>
        <v/>
      </c>
      <c r="E6" s="12">
        <f>Raw_Data!D19+IF(Interest_In_Opex_Flag,Interest_Amount_2024,0)+OwnerComp_ToMarket_Delta+Rent_ToMarket_Delta-NonRecurring_Adjustments-(Revenue_FY2024*(1+0)*0.12-Reported_Marketing_2024)</f>
        <v/>
      </c>
      <c r="F6" s="12">
        <f>Raw_Data!D19+IF(Interest_In_Opex_Flag,Interest_Amount_2024,0)+OwnerComp_ToMarket_Delta+Rent_ToMarket_Delta-NonRecurring_Adjustments-(Revenue_FY2024*(1+0.025)*0.12-Reported_Marketing_2024)</f>
        <v/>
      </c>
      <c r="G6" s="12">
        <f>Raw_Data!D19+IF(Interest_In_Opex_Flag,Interest_Amount_2024,0)+OwnerComp_ToMarket_Delta+Rent_ToMarket_Delta-NonRecurring_Adjustments-(Revenue_FY2024*(1+0.05)*0.12-Reported_Marketing_2024)</f>
        <v/>
      </c>
    </row>
    <row r="7">
      <c r="B7" s="4" t="inlineStr">
        <is>
          <t>14%</t>
        </is>
      </c>
      <c r="C7" s="12">
        <f>Raw_Data!D19+IF(Interest_In_Opex_Flag,Interest_Amount_2024,0)+OwnerComp_ToMarket_Delta+Rent_ToMarket_Delta-NonRecurring_Adjustments-(Revenue_FY2024*(1+-0.05)*0.14-Reported_Marketing_2024)</f>
        <v/>
      </c>
      <c r="D7" s="12">
        <f>Raw_Data!D19+IF(Interest_In_Opex_Flag,Interest_Amount_2024,0)+OwnerComp_ToMarket_Delta+Rent_ToMarket_Delta-NonRecurring_Adjustments-(Revenue_FY2024*(1+-0.025)*0.14-Reported_Marketing_2024)</f>
        <v/>
      </c>
      <c r="E7" s="12">
        <f>Raw_Data!D19+IF(Interest_In_Opex_Flag,Interest_Amount_2024,0)+OwnerComp_ToMarket_Delta+Rent_ToMarket_Delta-NonRecurring_Adjustments-(Revenue_FY2024*(1+0)*0.14-Reported_Marketing_2024)</f>
        <v/>
      </c>
      <c r="F7" s="12">
        <f>Raw_Data!D19+IF(Interest_In_Opex_Flag,Interest_Amount_2024,0)+OwnerComp_ToMarket_Delta+Rent_ToMarket_Delta-NonRecurring_Adjustments-(Revenue_FY2024*(1+0.025)*0.14-Reported_Marketing_2024)</f>
        <v/>
      </c>
      <c r="G7" s="12">
        <f>Raw_Data!D19+IF(Interest_In_Opex_Flag,Interest_Amount_2024,0)+OwnerComp_ToMarket_Delta+Rent_ToMarket_Delta-NonRecurring_Adjustments-(Revenue_FY2024*(1+0.05)*0.14-Reported_Marketing_2024)</f>
        <v/>
      </c>
    </row>
    <row r="8">
      <c r="B8" s="4" t="inlineStr">
        <is>
          <t>16%</t>
        </is>
      </c>
      <c r="C8" s="12">
        <f>Raw_Data!D19+IF(Interest_In_Opex_Flag,Interest_Amount_2024,0)+OwnerComp_ToMarket_Delta+Rent_ToMarket_Delta-NonRecurring_Adjustments-(Revenue_FY2024*(1+-0.05)*0.16-Reported_Marketing_2024)</f>
        <v/>
      </c>
      <c r="D8" s="12">
        <f>Raw_Data!D19+IF(Interest_In_Opex_Flag,Interest_Amount_2024,0)+OwnerComp_ToMarket_Delta+Rent_ToMarket_Delta-NonRecurring_Adjustments-(Revenue_FY2024*(1+-0.025)*0.16-Reported_Marketing_2024)</f>
        <v/>
      </c>
      <c r="E8" s="12">
        <f>Raw_Data!D19+IF(Interest_In_Opex_Flag,Interest_Amount_2024,0)+OwnerComp_ToMarket_Delta+Rent_ToMarket_Delta-NonRecurring_Adjustments-(Revenue_FY2024*(1+0)*0.16-Reported_Marketing_2024)</f>
        <v/>
      </c>
      <c r="F8" s="12">
        <f>Raw_Data!D19+IF(Interest_In_Opex_Flag,Interest_Amount_2024,0)+OwnerComp_ToMarket_Delta+Rent_ToMarket_Delta-NonRecurring_Adjustments-(Revenue_FY2024*(1+0.025)*0.16-Reported_Marketing_2024)</f>
        <v/>
      </c>
      <c r="G8" s="12">
        <f>Raw_Data!D19+IF(Interest_In_Opex_Flag,Interest_Amount_2024,0)+OwnerComp_ToMarket_Delta+Rent_ToMarket_Delta-NonRecurring_Adjustments-(Revenue_FY2024*(1+0.05)*0.16-Reported_Marketing_2024)</f>
        <v/>
      </c>
    </row>
    <row r="9">
      <c r="B9" s="4" t="inlineStr">
        <is>
          <t>18%</t>
        </is>
      </c>
      <c r="C9" s="12">
        <f>Raw_Data!D19+IF(Interest_In_Opex_Flag,Interest_Amount_2024,0)+OwnerComp_ToMarket_Delta+Rent_ToMarket_Delta-NonRecurring_Adjustments-(Revenue_FY2024*(1+-0.05)*0.18-Reported_Marketing_2024)</f>
        <v/>
      </c>
      <c r="D9" s="12">
        <f>Raw_Data!D19+IF(Interest_In_Opex_Flag,Interest_Amount_2024,0)+OwnerComp_ToMarket_Delta+Rent_ToMarket_Delta-NonRecurring_Adjustments-(Revenue_FY2024*(1+-0.025)*0.18-Reported_Marketing_2024)</f>
        <v/>
      </c>
      <c r="E9" s="12">
        <f>Raw_Data!D19+IF(Interest_In_Opex_Flag,Interest_Amount_2024,0)+OwnerComp_ToMarket_Delta+Rent_ToMarket_Delta-NonRecurring_Adjustments-(Revenue_FY2024*(1+0)*0.18-Reported_Marketing_2024)</f>
        <v/>
      </c>
      <c r="F9" s="12">
        <f>Raw_Data!D19+IF(Interest_In_Opex_Flag,Interest_Amount_2024,0)+OwnerComp_ToMarket_Delta+Rent_ToMarket_Delta-NonRecurring_Adjustments-(Revenue_FY2024*(1+0.025)*0.18-Reported_Marketing_2024)</f>
        <v/>
      </c>
      <c r="G9" s="12">
        <f>Raw_Data!D19+IF(Interest_In_Opex_Flag,Interest_Amount_2024,0)+OwnerComp_ToMarket_Delta+Rent_ToMarket_Delta-NonRecurring_Adjustments-(Revenue_FY2024*(1+0.05)*0.18-Reported_Marketing_2024)</f>
        <v/>
      </c>
    </row>
    <row r="12">
      <c r="A12" s="4" t="inlineStr">
        <is>
          <t>Equity Value Sensitivity: EV/EBITDA Multiple vs Net Debt</t>
        </is>
      </c>
    </row>
    <row r="13">
      <c r="B13" t="inlineStr">
        <is>
          <t>Net Debt →</t>
        </is>
      </c>
      <c r="C13" s="23" t="n">
        <v>1500000</v>
      </c>
      <c r="D13" s="23" t="n">
        <v>1750000</v>
      </c>
      <c r="E13" s="23" t="n">
        <v>2000000</v>
      </c>
      <c r="F13" s="23" t="n">
        <v>2250000</v>
      </c>
      <c r="G13" s="23" t="n">
        <v>2500000</v>
      </c>
    </row>
    <row r="14">
      <c r="B14" s="4" t="inlineStr">
        <is>
          <t>4.5x</t>
        </is>
      </c>
      <c r="C14" s="12">
        <f>4.5*EBITDA_ViewB-1500000</f>
        <v/>
      </c>
      <c r="D14" s="12">
        <f>4.5*EBITDA_ViewB-1750000</f>
        <v/>
      </c>
      <c r="E14" s="12">
        <f>4.5*EBITDA_ViewB-2000000</f>
        <v/>
      </c>
      <c r="F14" s="12">
        <f>4.5*EBITDA_ViewB-2250000</f>
        <v/>
      </c>
      <c r="G14" s="12">
        <f>4.5*EBITDA_ViewB-2500000</f>
        <v/>
      </c>
    </row>
    <row r="15">
      <c r="B15" s="4" t="inlineStr">
        <is>
          <t>5.0x</t>
        </is>
      </c>
      <c r="C15" s="12">
        <f>5.0*EBITDA_ViewB-1500000</f>
        <v/>
      </c>
      <c r="D15" s="12">
        <f>5.0*EBITDA_ViewB-1750000</f>
        <v/>
      </c>
      <c r="E15" s="12">
        <f>5.0*EBITDA_ViewB-2000000</f>
        <v/>
      </c>
      <c r="F15" s="12">
        <f>5.0*EBITDA_ViewB-2250000</f>
        <v/>
      </c>
      <c r="G15" s="12">
        <f>5.0*EBITDA_ViewB-2500000</f>
        <v/>
      </c>
    </row>
    <row r="16">
      <c r="B16" s="4" t="inlineStr">
        <is>
          <t>5.5x</t>
        </is>
      </c>
      <c r="C16" s="12">
        <f>5.5*EBITDA_ViewB-1500000</f>
        <v/>
      </c>
      <c r="D16" s="12">
        <f>5.5*EBITDA_ViewB-1750000</f>
        <v/>
      </c>
      <c r="E16" s="12">
        <f>5.5*EBITDA_ViewB-2000000</f>
        <v/>
      </c>
      <c r="F16" s="12">
        <f>5.5*EBITDA_ViewB-2250000</f>
        <v/>
      </c>
      <c r="G16" s="12">
        <f>5.5*EBITDA_ViewB-2500000</f>
        <v/>
      </c>
    </row>
    <row r="17">
      <c r="B17" s="4" t="inlineStr">
        <is>
          <t>6.0x</t>
        </is>
      </c>
      <c r="C17" s="12">
        <f>6.0*EBITDA_ViewB-1500000</f>
        <v/>
      </c>
      <c r="D17" s="12">
        <f>6.0*EBITDA_ViewB-1750000</f>
        <v/>
      </c>
      <c r="E17" s="12">
        <f>6.0*EBITDA_ViewB-2000000</f>
        <v/>
      </c>
      <c r="F17" s="12">
        <f>6.0*EBITDA_ViewB-2250000</f>
        <v/>
      </c>
      <c r="G17" s="12">
        <f>6.0*EBITDA_ViewB-2500000</f>
        <v/>
      </c>
    </row>
    <row r="18">
      <c r="B18" s="4" t="inlineStr">
        <is>
          <t>6.5x</t>
        </is>
      </c>
      <c r="C18" s="12">
        <f>6.5*EBITDA_ViewB-1500000</f>
        <v/>
      </c>
      <c r="D18" s="12">
        <f>6.5*EBITDA_ViewB-1750000</f>
        <v/>
      </c>
      <c r="E18" s="12">
        <f>6.5*EBITDA_ViewB-2000000</f>
        <v/>
      </c>
      <c r="F18" s="12">
        <f>6.5*EBITDA_ViewB-2250000</f>
        <v/>
      </c>
      <c r="G18" s="12">
        <f>6.5*EBITDA_ViewB-2500000</f>
        <v/>
      </c>
    </row>
    <row r="21">
      <c r="A21" s="4" t="inlineStr">
        <is>
          <t>EBITDA Sensitivity Drivers (Tornado)</t>
        </is>
      </c>
    </row>
    <row r="22">
      <c r="A22" t="inlineStr">
        <is>
          <t>Driver</t>
        </is>
      </c>
      <c r="B22" t="inlineStr">
        <is>
          <t>EBITDA Impact</t>
        </is>
      </c>
      <c r="C22" t="inlineStr">
        <is>
          <t>Sensitivity</t>
        </is>
      </c>
    </row>
    <row r="23">
      <c r="A23" t="inlineStr">
        <is>
          <t>Marketing %</t>
        </is>
      </c>
      <c r="B23" s="12">
        <f>((Revenue_FY2024*0.18)-(Revenue_FY2024*0.10))</f>
        <v/>
      </c>
      <c r="C23" t="inlineStr">
        <is>
          <t>High Impact</t>
        </is>
      </c>
    </row>
    <row r="24">
      <c r="A24" t="inlineStr">
        <is>
          <t>Revenue</t>
        </is>
      </c>
      <c r="B24" s="12">
        <f>(Revenue_FY2024*0.05*0.14)</f>
        <v/>
      </c>
      <c r="C24" t="inlineStr">
        <is>
          <t>Medium Impact</t>
        </is>
      </c>
    </row>
    <row r="25">
      <c r="A25" t="inlineStr">
        <is>
          <t>Owner Comp</t>
        </is>
      </c>
      <c r="B25" s="12">
        <f>100000</f>
        <v/>
      </c>
      <c r="C25" t="inlineStr">
        <is>
          <t>Low Impact</t>
        </is>
      </c>
    </row>
    <row r="26">
      <c r="A26" t="inlineStr">
        <is>
          <t>Rent</t>
        </is>
      </c>
      <c r="B26" s="12">
        <f>50000</f>
        <v/>
      </c>
      <c r="C26" t="inlineStr">
        <is>
          <t>Low Impact</t>
        </is>
      </c>
    </row>
    <row r="27">
      <c r="A27" t="inlineStr">
        <is>
          <t>Non-recurring</t>
        </is>
      </c>
      <c r="B27" s="12">
        <f>25000</f>
        <v/>
      </c>
      <c r="C27" t="inlineStr">
        <is>
          <t>Low Impact</t>
        </is>
      </c>
    </row>
  </sheetData>
  <mergeCells count="1">
    <mergeCell ref="A1:H1"/>
  </mergeCells>
  <hyperlinks>
    <hyperlink xmlns:r="http://schemas.openxmlformats.org/officeDocument/2006/relationships" ref="A2" r:id="rId1"/>
    <hyperlink xmlns:r="http://schemas.openxmlformats.org/officeDocument/2006/relationships" ref="B2" r:id="rId2"/>
    <hyperlink xmlns:r="http://schemas.openxmlformats.org/officeDocument/2006/relationships" ref="C2" r:id="rId3"/>
    <hyperlink xmlns:r="http://schemas.openxmlformats.org/officeDocument/2006/relationships" ref="D2" r:id="rId4"/>
    <hyperlink xmlns:r="http://schemas.openxmlformats.org/officeDocument/2006/relationships" ref="E2" r:id="rId5"/>
    <hyperlink xmlns:r="http://schemas.openxmlformats.org/officeDocument/2006/relationships" ref="F2" r:id="rId6"/>
    <hyperlink xmlns:r="http://schemas.openxmlformats.org/officeDocument/2006/relationships" ref="H2" r:id="rId7"/>
    <hyperlink xmlns:r="http://schemas.openxmlformats.org/officeDocument/2006/relationships" ref="I2" r:id="rId8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5" customWidth="1" min="1" max="1"/>
    <col width="50" customWidth="1" min="2" max="2"/>
  </cols>
  <sheetData>
    <row r="1">
      <c r="A1" s="24" t="inlineStr">
        <is>
          <t>CPP Case Workbook - User Guide</t>
        </is>
      </c>
    </row>
    <row r="2">
      <c r="A2" s="3" t="inlineStr">
        <is>
          <t>Inputs</t>
        </is>
      </c>
      <c r="B2" s="3" t="inlineStr">
        <is>
          <t>Raw_Data</t>
        </is>
      </c>
      <c r="C2" s="3" t="inlineStr">
        <is>
          <t>EBITDA_Bridge</t>
        </is>
      </c>
      <c r="D2" s="3" t="inlineStr">
        <is>
          <t>Mix_Margin</t>
        </is>
      </c>
      <c r="E2" s="3" t="inlineStr">
        <is>
          <t>Cap_Structure</t>
        </is>
      </c>
      <c r="F2" s="3" t="inlineStr">
        <is>
          <t>Valuation</t>
        </is>
      </c>
      <c r="G2" s="3" t="inlineStr">
        <is>
          <t>Sensitivity</t>
        </is>
      </c>
      <c r="H2" s="2" t="inlineStr">
        <is>
          <t>[ReadMe]</t>
        </is>
      </c>
      <c r="I2" s="3" t="inlineStr">
        <is>
          <t>Audit_Log</t>
        </is>
      </c>
    </row>
    <row r="3">
      <c r="A3" t="inlineStr">
        <is>
          <t>Purpose:</t>
        </is>
      </c>
      <c r="B3" t="inlineStr">
        <is>
          <t>Auditable valuation analysis for medispa investment case</t>
        </is>
      </c>
    </row>
    <row r="4">
      <c r="A4" t="inlineStr">
        <is>
          <t>Version:</t>
        </is>
      </c>
      <c r="B4" t="inlineStr">
        <is>
          <t>2.0 - 2025-07-28</t>
        </is>
      </c>
    </row>
    <row r="5">
      <c r="A5" t="inlineStr"/>
      <c r="B5" t="inlineStr"/>
    </row>
    <row r="6">
      <c r="A6" t="inlineStr">
        <is>
          <t>SHEET MAP:</t>
        </is>
      </c>
      <c r="B6" t="inlineStr"/>
    </row>
    <row r="7">
      <c r="A7" s="16" t="inlineStr">
        <is>
          <t>• Inputs</t>
        </is>
      </c>
      <c r="B7" t="inlineStr">
        <is>
          <t>All assumptions and toggles (EDIT HERE FIRST)</t>
        </is>
      </c>
    </row>
    <row r="8">
      <c r="A8" s="16" t="inlineStr">
        <is>
          <t>• Raw_Data</t>
        </is>
      </c>
      <c r="B8" t="inlineStr">
        <is>
          <t>Source financial data (DO NOT MODIFY)</t>
        </is>
      </c>
    </row>
    <row r="9">
      <c r="A9" s="16" t="inlineStr">
        <is>
          <t>• EBITDA_Bridge</t>
        </is>
      </c>
      <c r="B9" t="inlineStr">
        <is>
          <t>Normalization adjustments and two-view analysis</t>
        </is>
      </c>
    </row>
    <row r="10">
      <c r="A10" s="16" t="inlineStr">
        <is>
          <t>• Mix_Margin</t>
        </is>
      </c>
      <c r="B10" t="inlineStr">
        <is>
          <t>Service line breakdown and margin analysis</t>
        </is>
      </c>
    </row>
    <row r="11">
      <c r="A11" s="16" t="inlineStr">
        <is>
          <t>• Cap_Structure</t>
        </is>
      </c>
      <c r="B11" t="inlineStr">
        <is>
          <t>Debt schedule and equity value calculation</t>
        </is>
      </c>
    </row>
    <row r="12">
      <c r="A12" s="16" t="inlineStr">
        <is>
          <t>• Valuation</t>
        </is>
      </c>
      <c r="B12" t="inlineStr">
        <is>
          <t>Key metrics, market ranges, and offer structure</t>
        </is>
      </c>
    </row>
    <row r="13">
      <c r="A13" s="16" t="inlineStr">
        <is>
          <t>• Sensitivity</t>
        </is>
      </c>
      <c r="B13" t="inlineStr">
        <is>
          <t>2D tables and tornado analysis</t>
        </is>
      </c>
    </row>
    <row r="14">
      <c r="A14" s="16" t="inlineStr">
        <is>
          <t>• Audit_Log</t>
        </is>
      </c>
      <c r="B14" t="inlineStr">
        <is>
          <t>Change tracking and version history</t>
        </is>
      </c>
    </row>
    <row r="15">
      <c r="A15" t="inlineStr"/>
      <c r="B15" t="inlineStr"/>
    </row>
    <row r="16">
      <c r="A16" t="inlineStr">
        <is>
          <t>COLOR LEGEND:</t>
        </is>
      </c>
      <c r="B16" t="inlineStr"/>
    </row>
    <row r="17">
      <c r="A17" s="16" t="inlineStr">
        <is>
          <t>• Blue cells</t>
        </is>
      </c>
      <c r="B17" t="inlineStr">
        <is>
          <t>User inputs (edit these)</t>
        </is>
      </c>
    </row>
    <row r="18">
      <c r="A18" s="16" t="inlineStr">
        <is>
          <t>• Black cells</t>
        </is>
      </c>
      <c r="B18" t="inlineStr">
        <is>
          <t>Linked formulas (calculated)</t>
        </is>
      </c>
    </row>
    <row r="19">
      <c r="A19" s="16" t="inlineStr">
        <is>
          <t>• Green cells</t>
        </is>
      </c>
      <c r="B19" t="inlineStr">
        <is>
          <t>Key KPIs and outputs</t>
        </is>
      </c>
    </row>
    <row r="20">
      <c r="A20" t="inlineStr"/>
      <c r="B20" t="inlineStr"/>
    </row>
    <row r="21">
      <c r="A21" t="inlineStr">
        <is>
          <t>HOW TO USE:</t>
        </is>
      </c>
      <c r="B21" t="inlineStr"/>
    </row>
    <row r="22">
      <c r="A22" s="16" t="inlineStr">
        <is>
          <t>1. Start with Inputs sheet</t>
        </is>
      </c>
      <c r="B22" t="inlineStr">
        <is>
          <t>modify blue cells only</t>
        </is>
      </c>
    </row>
    <row r="23">
      <c r="A23" s="16" t="inlineStr">
        <is>
          <t>2. Key toggle: Interest_In_Opex_Flag</t>
        </is>
      </c>
      <c r="B23" t="inlineStr">
        <is>
          <t>TRUE = corrected</t>
        </is>
      </c>
    </row>
    <row r="24">
      <c r="A24" s="16" t="inlineStr">
        <is>
          <t>3. View EBITDA_Bridge</t>
        </is>
      </c>
      <c r="B24" t="inlineStr">
        <is>
          <t>for normalization impact</t>
        </is>
      </c>
    </row>
    <row r="25">
      <c r="A25" s="16" t="inlineStr">
        <is>
          <t>4. Check Mix_Margin</t>
        </is>
      </c>
      <c r="B25" t="inlineStr">
        <is>
          <t>for service line reconciliation</t>
        </is>
      </c>
    </row>
    <row r="26">
      <c r="A26" s="16" t="inlineStr">
        <is>
          <t>5. Review Valuation</t>
        </is>
      </c>
      <c r="B26" t="inlineStr">
        <is>
          <t>for key metrics and ranges</t>
        </is>
      </c>
    </row>
    <row r="27">
      <c r="A27" s="16" t="inlineStr">
        <is>
          <t>6. Run Sensitivity analysis</t>
        </is>
      </c>
      <c r="B27" t="inlineStr">
        <is>
          <t>for scenario planning</t>
        </is>
      </c>
    </row>
    <row r="28">
      <c r="A28" t="inlineStr"/>
      <c r="B28" t="inlineStr"/>
    </row>
    <row r="29">
      <c r="A29" t="inlineStr">
        <is>
          <t>KEY INPUTS TO CHANGE:</t>
        </is>
      </c>
      <c r="B29" t="inlineStr"/>
    </row>
    <row r="30">
      <c r="A30" s="16" t="inlineStr">
        <is>
          <t>• Marketing_Target_Pct</t>
        </is>
      </c>
      <c r="B30" t="inlineStr">
        <is>
          <t>default 14%</t>
        </is>
      </c>
    </row>
    <row r="31">
      <c r="A31" s="16" t="inlineStr">
        <is>
          <t>• Interest_In_Opex_Flag</t>
        </is>
      </c>
      <c r="B31" t="inlineStr">
        <is>
          <t>TRUE for corrected treatment</t>
        </is>
      </c>
    </row>
    <row r="32">
      <c r="A32" s="16" t="inlineStr">
        <is>
          <t>• EV_Input</t>
        </is>
      </c>
      <c r="B32" t="inlineStr">
        <is>
          <t>baseline enterprise value</t>
        </is>
      </c>
    </row>
    <row r="33">
      <c r="A33" s="16" t="inlineStr">
        <is>
          <t>• Net_Debt_Input</t>
        </is>
      </c>
      <c r="B33" t="inlineStr">
        <is>
          <t>closing debt assumption</t>
        </is>
      </c>
    </row>
    <row r="34">
      <c r="A34" s="16" t="inlineStr">
        <is>
          <t>• Owner/Rent adjustments</t>
        </is>
      </c>
      <c r="B34" t="inlineStr">
        <is>
          <t>market normalizations</t>
        </is>
      </c>
    </row>
    <row r="35">
      <c r="A35" t="inlineStr"/>
      <c r="B35" t="inlineStr"/>
    </row>
    <row r="36">
      <c r="A36" t="inlineStr">
        <is>
          <t>DEFAULT SETTINGS:</t>
        </is>
      </c>
      <c r="B36" t="inlineStr"/>
    </row>
    <row r="37">
      <c r="A37" s="16" t="inlineStr">
        <is>
          <t>• Marketing normalized</t>
        </is>
      </c>
      <c r="B37" t="inlineStr">
        <is>
          <t>to 14% of revenue</t>
        </is>
      </c>
    </row>
    <row r="38">
      <c r="A38" s="16" t="inlineStr">
        <is>
          <t>• Interest properly classified</t>
        </is>
      </c>
      <c r="B38" t="inlineStr">
        <is>
          <t>below the line</t>
        </is>
      </c>
    </row>
    <row r="39">
      <c r="A39" s="16" t="inlineStr">
        <is>
          <t>• View B</t>
        </is>
      </c>
      <c r="B39" t="inlineStr">
        <is>
          <t>is primary KPI view</t>
        </is>
      </c>
    </row>
    <row r="40">
      <c r="A40" t="inlineStr"/>
      <c r="B40" t="inlineStr"/>
    </row>
    <row r="41">
      <c r="A41" t="inlineStr">
        <is>
          <t>ACCEPTANCE TESTS:</t>
        </is>
      </c>
      <c r="B41" t="inlineStr"/>
    </row>
    <row r="42">
      <c r="A42" s="16" t="inlineStr">
        <is>
          <t>✓ Bridge totals</t>
        </is>
      </c>
      <c r="B42" t="inlineStr">
        <is>
          <t>to normalized EBITDA</t>
        </is>
      </c>
    </row>
    <row r="43">
      <c r="A43" s="16" t="inlineStr">
        <is>
          <t>✓ Service lines sum</t>
        </is>
      </c>
      <c r="B43" t="inlineStr">
        <is>
          <t>to total revenue</t>
        </is>
      </c>
    </row>
    <row r="44">
      <c r="A44" s="16" t="inlineStr">
        <is>
          <t>✓ EV/EBITDA calculations</t>
        </is>
      </c>
      <c r="B44" t="inlineStr">
        <is>
          <t>match</t>
        </is>
      </c>
    </row>
    <row r="45">
      <c r="A45" s="16" t="inlineStr">
        <is>
          <t>✓ Sensitivity tables update</t>
        </is>
      </c>
      <c r="B45" t="inlineStr">
        <is>
          <t>with input changes</t>
        </is>
      </c>
    </row>
    <row r="46">
      <c r="A46" s="16" t="inlineStr">
        <is>
          <t>✓ Equity value recalculates</t>
        </is>
      </c>
      <c r="B46" t="inlineStr">
        <is>
          <t>with debt changes</t>
        </is>
      </c>
    </row>
  </sheetData>
  <mergeCells count="1">
    <mergeCell ref="A1:D1"/>
  </mergeCells>
  <hyperlinks>
    <hyperlink xmlns:r="http://schemas.openxmlformats.org/officeDocument/2006/relationships" ref="A2" r:id="rId1"/>
    <hyperlink xmlns:r="http://schemas.openxmlformats.org/officeDocument/2006/relationships" ref="B2" r:id="rId2"/>
    <hyperlink xmlns:r="http://schemas.openxmlformats.org/officeDocument/2006/relationships" ref="C2" r:id="rId3"/>
    <hyperlink xmlns:r="http://schemas.openxmlformats.org/officeDocument/2006/relationships" ref="D2" r:id="rId4"/>
    <hyperlink xmlns:r="http://schemas.openxmlformats.org/officeDocument/2006/relationships" ref="E2" r:id="rId5"/>
    <hyperlink xmlns:r="http://schemas.openxmlformats.org/officeDocument/2006/relationships" ref="F2" r:id="rId6"/>
    <hyperlink xmlns:r="http://schemas.openxmlformats.org/officeDocument/2006/relationships" ref="G2" r:id="rId7"/>
    <hyperlink xmlns:r="http://schemas.openxmlformats.org/officeDocument/2006/relationships" ref="I2" r:id="rId8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2" customWidth="1" min="1" max="1"/>
    <col width="15" customWidth="1" min="2" max="2"/>
    <col width="15" customWidth="1" min="3" max="3"/>
    <col width="50" customWidth="1" min="4" max="4"/>
  </cols>
  <sheetData>
    <row r="1">
      <c r="A1" s="1" t="inlineStr">
        <is>
          <t>Model Audit Log &amp; Change History</t>
        </is>
      </c>
    </row>
    <row r="2">
      <c r="A2" s="3" t="inlineStr">
        <is>
          <t>Inputs</t>
        </is>
      </c>
      <c r="B2" s="3" t="inlineStr">
        <is>
          <t>Raw_Data</t>
        </is>
      </c>
      <c r="C2" s="3" t="inlineStr">
        <is>
          <t>EBITDA_Bridge</t>
        </is>
      </c>
      <c r="D2" s="3" t="inlineStr">
        <is>
          <t>Mix_Margin</t>
        </is>
      </c>
      <c r="E2" s="3" t="inlineStr">
        <is>
          <t>Cap_Structure</t>
        </is>
      </c>
      <c r="F2" s="3" t="inlineStr">
        <is>
          <t>Valuation</t>
        </is>
      </c>
      <c r="G2" s="3" t="inlineStr">
        <is>
          <t>Sensitivity</t>
        </is>
      </c>
      <c r="H2" s="3" t="inlineStr">
        <is>
          <t>ReadMe</t>
        </is>
      </c>
      <c r="I2" s="2" t="inlineStr">
        <is>
          <t>[Audit_Log]</t>
        </is>
      </c>
    </row>
    <row r="3">
      <c r="A3" s="4" t="inlineStr">
        <is>
          <t>Date</t>
        </is>
      </c>
      <c r="B3" s="4" t="inlineStr">
        <is>
          <t>Change Type</t>
        </is>
      </c>
      <c r="C3" s="4" t="inlineStr">
        <is>
          <t>Location</t>
        </is>
      </c>
      <c r="D3" s="4" t="inlineStr">
        <is>
          <t>Description</t>
        </is>
      </c>
    </row>
    <row r="4">
      <c r="A4" t="inlineStr">
        <is>
          <t>2025-07-28</t>
        </is>
      </c>
      <c r="B4" t="inlineStr">
        <is>
          <t>Creation</t>
        </is>
      </c>
      <c r="C4" t="inlineStr">
        <is>
          <t>All Sheets</t>
        </is>
      </c>
      <c r="D4" t="inlineStr">
        <is>
          <t>Initial workbook build with all sheets and named ranges</t>
        </is>
      </c>
    </row>
    <row r="5">
      <c r="A5" t="inlineStr">
        <is>
          <t>2025-07-28</t>
        </is>
      </c>
      <c r="B5" t="inlineStr">
        <is>
          <t>Named Ranges</t>
        </is>
      </c>
      <c r="C5" t="inlineStr">
        <is>
          <t>Workbook</t>
        </is>
      </c>
      <c r="D5" t="inlineStr">
        <is>
          <t>Created 10 named ranges for inputs and calculations</t>
        </is>
      </c>
    </row>
    <row r="6">
      <c r="A6" t="inlineStr">
        <is>
          <t>2025-07-28</t>
        </is>
      </c>
      <c r="B6" t="inlineStr">
        <is>
          <t>Formulas</t>
        </is>
      </c>
      <c r="C6" t="inlineStr">
        <is>
          <t>EBITDA_Bridge</t>
        </is>
      </c>
      <c r="D6" t="inlineStr">
        <is>
          <t>Two-view EBITDA calculation with interest treatment</t>
        </is>
      </c>
    </row>
    <row r="7">
      <c r="A7" t="inlineStr">
        <is>
          <t>2025-07-28</t>
        </is>
      </c>
      <c r="B7" t="inlineStr">
        <is>
          <t>Formulas</t>
        </is>
      </c>
      <c r="C7" t="inlineStr">
        <is>
          <t>Mix_Margin</t>
        </is>
      </c>
      <c r="D7" t="inlineStr">
        <is>
          <t>Service line reconciliation and trend analysis</t>
        </is>
      </c>
    </row>
    <row r="8">
      <c r="A8" t="inlineStr">
        <is>
          <t>2025-07-28</t>
        </is>
      </c>
      <c r="B8" t="inlineStr">
        <is>
          <t>Formulas</t>
        </is>
      </c>
      <c r="C8" t="inlineStr">
        <is>
          <t>Valuation</t>
        </is>
      </c>
      <c r="D8" t="inlineStr">
        <is>
          <t>Market range analysis and offer structure</t>
        </is>
      </c>
    </row>
    <row r="9">
      <c r="A9" t="inlineStr">
        <is>
          <t>2025-07-28</t>
        </is>
      </c>
      <c r="B9" t="inlineStr">
        <is>
          <t>Formulas</t>
        </is>
      </c>
      <c r="C9" t="inlineStr">
        <is>
          <t>Sensitivity</t>
        </is>
      </c>
      <c r="D9" t="inlineStr">
        <is>
          <t>2D data tables for scenario analysis</t>
        </is>
      </c>
    </row>
    <row r="10">
      <c r="A10" t="inlineStr">
        <is>
          <t>2025-07-28</t>
        </is>
      </c>
      <c r="B10" t="inlineStr">
        <is>
          <t>Formatting</t>
        </is>
      </c>
      <c r="C10" t="inlineStr">
        <is>
          <t>All Sheets</t>
        </is>
      </c>
      <c r="D10" t="inlineStr">
        <is>
          <t>Applied color coding and number formatting</t>
        </is>
      </c>
    </row>
    <row r="11">
      <c r="A11" t="inlineStr">
        <is>
          <t>2025-07-28</t>
        </is>
      </c>
      <c r="B11" t="inlineStr">
        <is>
          <t>Validation</t>
        </is>
      </c>
      <c r="C11" t="inlineStr">
        <is>
          <t>All Sheets</t>
        </is>
      </c>
      <c r="D11" t="inlineStr">
        <is>
          <t>Added acceptance tests and error checking</t>
        </is>
      </c>
    </row>
  </sheetData>
  <mergeCells count="1">
    <mergeCell ref="A1:D1"/>
  </mergeCells>
  <hyperlinks>
    <hyperlink xmlns:r="http://schemas.openxmlformats.org/officeDocument/2006/relationships" ref="A2" r:id="rId1"/>
    <hyperlink xmlns:r="http://schemas.openxmlformats.org/officeDocument/2006/relationships" ref="B2" r:id="rId2"/>
    <hyperlink xmlns:r="http://schemas.openxmlformats.org/officeDocument/2006/relationships" ref="C2" r:id="rId3"/>
    <hyperlink xmlns:r="http://schemas.openxmlformats.org/officeDocument/2006/relationships" ref="D2" r:id="rId4"/>
    <hyperlink xmlns:r="http://schemas.openxmlformats.org/officeDocument/2006/relationships" ref="E2" r:id="rId5"/>
    <hyperlink xmlns:r="http://schemas.openxmlformats.org/officeDocument/2006/relationships" ref="F2" r:id="rId6"/>
    <hyperlink xmlns:r="http://schemas.openxmlformats.org/officeDocument/2006/relationships" ref="G2" r:id="rId7"/>
    <hyperlink xmlns:r="http://schemas.openxmlformats.org/officeDocument/2006/relationships" ref="H2" r:id="rId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2025-07-28T12:46:03Z</dcterms:created>
  <dcterms:modified xmlns:dcterms="http://purl.org/dc/terms/" xmlns:xsi="http://www.w3.org/2001/XMLSchema-instance" xsi:type="dcterms:W3CDTF">2025-07-28T12:46:03Z</dcterms:modified>
</cp:coreProperties>
</file>