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4"/>
  </bookViews>
  <sheets>
    <sheet name="Cases" sheetId="1" r:id="rId1"/>
    <sheet name="Goals" sheetId="6" r:id="rId2"/>
    <sheet name="Optimal asset allocation" sheetId="2" r:id="rId3"/>
    <sheet name="Assett and income check up" sheetId="4" r:id="rId4"/>
    <sheet name="Long term projections" sheetId="5" r:id="rId5"/>
    <sheet name="Funds" sheetId="3" r:id="rId6"/>
    <sheet name="Current vs recommended" sheetId="8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C7" i="5"/>
  <c r="C6"/>
  <c r="C10"/>
  <c r="B10"/>
  <c r="B11"/>
  <c r="C11"/>
  <c r="G8" i="4"/>
  <c r="H8"/>
  <c r="I8" s="1"/>
  <c r="J8" s="1"/>
  <c r="K8" s="1"/>
  <c r="G11"/>
  <c r="H11" s="1"/>
  <c r="I11" s="1"/>
  <c r="J11" s="1"/>
  <c r="K11" s="1"/>
  <c r="G14"/>
  <c r="H14"/>
  <c r="I14" s="1"/>
  <c r="J14" s="1"/>
  <c r="K14" s="1"/>
  <c r="G15"/>
  <c r="H15" s="1"/>
  <c r="I15" s="1"/>
  <c r="J15" s="1"/>
  <c r="K15" s="1"/>
  <c r="G18"/>
  <c r="H18"/>
  <c r="I18" s="1"/>
  <c r="J18" s="1"/>
  <c r="K18" s="1"/>
  <c r="C40" i="5"/>
  <c r="C39"/>
  <c r="B9"/>
  <c r="C9" s="1"/>
  <c r="D9" s="1"/>
  <c r="E9" s="1"/>
  <c r="F9" s="1"/>
  <c r="G9" s="1"/>
  <c r="B8"/>
  <c r="C8" s="1"/>
  <c r="D8" s="1"/>
  <c r="E8" s="1"/>
  <c r="F8" s="1"/>
  <c r="G8" s="1"/>
  <c r="B4"/>
  <c r="C4" s="1"/>
  <c r="B7"/>
  <c r="B6"/>
  <c r="B5"/>
  <c r="C5" s="1"/>
  <c r="L5" i="8"/>
  <c r="L4"/>
  <c r="I5" i="6"/>
  <c r="D21"/>
  <c r="C29" i="5"/>
  <c r="D29" s="1"/>
  <c r="E29" s="1"/>
  <c r="F29" s="1"/>
  <c r="G29" s="1"/>
  <c r="C17"/>
  <c r="D17" s="1"/>
  <c r="E17" s="1"/>
  <c r="F17" s="1"/>
  <c r="G17" s="1"/>
  <c r="C12" l="1"/>
  <c r="B12"/>
  <c r="C16"/>
  <c r="D15" i="6"/>
  <c r="B2" i="8"/>
  <c r="B8"/>
  <c r="K2"/>
  <c r="C35" i="5" l="1"/>
  <c r="C18"/>
  <c r="C19" s="1"/>
  <c r="D34" s="1"/>
  <c r="D40" s="1"/>
  <c r="C15"/>
  <c r="D16"/>
  <c r="D4"/>
  <c r="E4" s="1"/>
  <c r="F4" s="1"/>
  <c r="G4" s="1"/>
  <c r="K3" i="8"/>
  <c r="K5" s="1"/>
  <c r="F15" i="2"/>
  <c r="J5" i="6"/>
  <c r="F6"/>
  <c r="F7"/>
  <c r="F5"/>
  <c r="C17"/>
  <c r="E8" s="1"/>
  <c r="F8" s="1"/>
  <c r="K8" s="1"/>
  <c r="H5"/>
  <c r="D24"/>
  <c r="G6" s="1"/>
  <c r="A1" i="5"/>
  <c r="A3"/>
  <c r="A4"/>
  <c r="A5"/>
  <c r="A6"/>
  <c r="A7"/>
  <c r="A8"/>
  <c r="A11"/>
  <c r="A12"/>
  <c r="A14"/>
  <c r="A15"/>
  <c r="A16"/>
  <c r="A17"/>
  <c r="A18"/>
  <c r="A19"/>
  <c r="A20"/>
  <c r="A22"/>
  <c r="A23"/>
  <c r="A25"/>
  <c r="A26"/>
  <c r="A27"/>
  <c r="A28"/>
  <c r="A29"/>
  <c r="A31"/>
  <c r="C37" i="4"/>
  <c r="C31"/>
  <c r="C19"/>
  <c r="J15" i="2"/>
  <c r="B15"/>
  <c r="D33" i="5" l="1"/>
  <c r="D39" s="1"/>
  <c r="C41"/>
  <c r="C42" s="1"/>
  <c r="C36"/>
  <c r="C37" s="1"/>
  <c r="C20"/>
  <c r="D15"/>
  <c r="D18"/>
  <c r="D19" s="1"/>
  <c r="E34" s="1"/>
  <c r="E40" s="1"/>
  <c r="E16"/>
  <c r="C25" i="4"/>
  <c r="E8"/>
  <c r="E17"/>
  <c r="E12"/>
  <c r="E18"/>
  <c r="E11"/>
  <c r="E13"/>
  <c r="E9"/>
  <c r="E16"/>
  <c r="E7"/>
  <c r="E10"/>
  <c r="K4" i="8"/>
  <c r="J6" i="6"/>
  <c r="J7"/>
  <c r="J8"/>
  <c r="K7"/>
  <c r="L6"/>
  <c r="N5"/>
  <c r="N17" s="1"/>
  <c r="O7"/>
  <c r="P6"/>
  <c r="K5"/>
  <c r="L7"/>
  <c r="M6"/>
  <c r="O5"/>
  <c r="O17" s="1"/>
  <c r="P7"/>
  <c r="L5"/>
  <c r="L17" s="1"/>
  <c r="M7"/>
  <c r="N6"/>
  <c r="P5"/>
  <c r="K6"/>
  <c r="M5"/>
  <c r="M17" s="1"/>
  <c r="N7"/>
  <c r="O6"/>
  <c r="P8"/>
  <c r="O8"/>
  <c r="N8"/>
  <c r="M8"/>
  <c r="L8"/>
  <c r="C39" i="4"/>
  <c r="K17" i="6"/>
  <c r="H8"/>
  <c r="I8" s="1"/>
  <c r="K20" s="1"/>
  <c r="H12"/>
  <c r="I12" s="1"/>
  <c r="H9"/>
  <c r="I9" s="1"/>
  <c r="H10"/>
  <c r="I10" s="1"/>
  <c r="H11"/>
  <c r="I11" s="1"/>
  <c r="J17"/>
  <c r="P17"/>
  <c r="H6"/>
  <c r="I6" s="1"/>
  <c r="H7"/>
  <c r="I7" s="1"/>
  <c r="E9"/>
  <c r="F9" s="1"/>
  <c r="J9" s="1"/>
  <c r="E12"/>
  <c r="F12" s="1"/>
  <c r="J12" s="1"/>
  <c r="E11"/>
  <c r="F11" s="1"/>
  <c r="J11" s="1"/>
  <c r="E10"/>
  <c r="F10" s="1"/>
  <c r="J10" s="1"/>
  <c r="E7"/>
  <c r="E6"/>
  <c r="E5"/>
  <c r="N15" i="2"/>
  <c r="K19" i="6" l="1"/>
  <c r="E18" i="5"/>
  <c r="E19" s="1"/>
  <c r="F34" s="1"/>
  <c r="F40" s="1"/>
  <c r="F16"/>
  <c r="E15"/>
  <c r="D20"/>
  <c r="E20" i="4"/>
  <c r="B3" i="8" s="1"/>
  <c r="B5" s="1"/>
  <c r="M20" i="6"/>
  <c r="P19"/>
  <c r="L20"/>
  <c r="P20"/>
  <c r="K18"/>
  <c r="O20"/>
  <c r="N20"/>
  <c r="N19"/>
  <c r="N18"/>
  <c r="M18"/>
  <c r="J19"/>
  <c r="O12"/>
  <c r="O24" s="1"/>
  <c r="P12"/>
  <c r="P24" s="1"/>
  <c r="O10"/>
  <c r="O22" s="1"/>
  <c r="P10"/>
  <c r="P22" s="1"/>
  <c r="O9"/>
  <c r="O21" s="1"/>
  <c r="P9"/>
  <c r="P21" s="1"/>
  <c r="O11"/>
  <c r="O23" s="1"/>
  <c r="P11"/>
  <c r="P23" s="1"/>
  <c r="M10"/>
  <c r="M22" s="1"/>
  <c r="N10"/>
  <c r="N22" s="1"/>
  <c r="M12"/>
  <c r="M24" s="1"/>
  <c r="N12"/>
  <c r="N24" s="1"/>
  <c r="M11"/>
  <c r="M23" s="1"/>
  <c r="N11"/>
  <c r="N23" s="1"/>
  <c r="M9"/>
  <c r="M21" s="1"/>
  <c r="N9"/>
  <c r="N21" s="1"/>
  <c r="K11"/>
  <c r="K23" s="1"/>
  <c r="L11"/>
  <c r="L23" s="1"/>
  <c r="K12"/>
  <c r="K24" s="1"/>
  <c r="L12"/>
  <c r="L24" s="1"/>
  <c r="K10"/>
  <c r="K22" s="1"/>
  <c r="L10"/>
  <c r="L22" s="1"/>
  <c r="K9"/>
  <c r="K21" s="1"/>
  <c r="L9"/>
  <c r="L21" s="1"/>
  <c r="J20"/>
  <c r="J18"/>
  <c r="M19"/>
  <c r="L19"/>
  <c r="P18"/>
  <c r="L18"/>
  <c r="O19"/>
  <c r="O18"/>
  <c r="E20" i="5" l="1"/>
  <c r="G16"/>
  <c r="F15"/>
  <c r="F18"/>
  <c r="F19" s="1"/>
  <c r="G34" s="1"/>
  <c r="G40" s="1"/>
  <c r="B4" i="8"/>
  <c r="J22" i="6"/>
  <c r="J23"/>
  <c r="J24"/>
  <c r="J21"/>
  <c r="K25"/>
  <c r="F9" i="4" s="1"/>
  <c r="D6" i="5" s="1"/>
  <c r="N25" i="6"/>
  <c r="F12" i="4" s="1"/>
  <c r="D5" i="5" s="1"/>
  <c r="O25" i="6"/>
  <c r="F13" i="4" s="1"/>
  <c r="D10" i="5" s="1"/>
  <c r="E10" s="1"/>
  <c r="F10" s="1"/>
  <c r="G10" s="1"/>
  <c r="M25" i="6"/>
  <c r="F10" i="4" s="1"/>
  <c r="G10" s="1"/>
  <c r="H10" s="1"/>
  <c r="I10" s="1"/>
  <c r="J10" s="1"/>
  <c r="K10" s="1"/>
  <c r="L25" i="6"/>
  <c r="F17" i="4" s="1"/>
  <c r="D11" i="5" s="1"/>
  <c r="P25" i="6"/>
  <c r="F16" i="4" s="1"/>
  <c r="G16" s="1"/>
  <c r="H16" s="1"/>
  <c r="I16" s="1"/>
  <c r="J16" s="1"/>
  <c r="K16" s="1"/>
  <c r="G13" l="1"/>
  <c r="H13" s="1"/>
  <c r="I13" s="1"/>
  <c r="J13" s="1"/>
  <c r="K13" s="1"/>
  <c r="G17"/>
  <c r="H17" s="1"/>
  <c r="I17" s="1"/>
  <c r="J17" s="1"/>
  <c r="K17" s="1"/>
  <c r="G9"/>
  <c r="E6" i="5" s="1"/>
  <c r="G12" i="4"/>
  <c r="H12" s="1"/>
  <c r="I12" s="1"/>
  <c r="J12" s="1"/>
  <c r="K12" s="1"/>
  <c r="F20" i="5"/>
  <c r="G15"/>
  <c r="G18"/>
  <c r="G19" s="1"/>
  <c r="J25" i="6"/>
  <c r="F7" i="4" s="1"/>
  <c r="D7" i="5" s="1"/>
  <c r="E11" l="1"/>
  <c r="F11" s="1"/>
  <c r="G11" s="1"/>
  <c r="E5"/>
  <c r="F5" s="1"/>
  <c r="G5" s="1"/>
  <c r="H9" i="4"/>
  <c r="F6" i="5" s="1"/>
  <c r="G19" i="4"/>
  <c r="G7"/>
  <c r="H7" s="1"/>
  <c r="I7" s="1"/>
  <c r="J7" s="1"/>
  <c r="K7" s="1"/>
  <c r="G20" i="5"/>
  <c r="C22"/>
  <c r="F19" i="4"/>
  <c r="E7" i="5" l="1"/>
  <c r="F7" s="1"/>
  <c r="G7" s="1"/>
  <c r="D12"/>
  <c r="D35" s="1"/>
  <c r="D38" s="1"/>
  <c r="I9" i="4"/>
  <c r="G6" i="5" s="1"/>
  <c r="H19" i="4"/>
  <c r="C23" i="5"/>
  <c r="C31" s="1"/>
  <c r="D22"/>
  <c r="E22" s="1"/>
  <c r="F22" s="1"/>
  <c r="G22" s="1"/>
  <c r="E33" l="1"/>
  <c r="E39" s="1"/>
  <c r="E12"/>
  <c r="E23" s="1"/>
  <c r="E31" s="1"/>
  <c r="D41"/>
  <c r="D42" s="1"/>
  <c r="J9" i="4"/>
  <c r="I19"/>
  <c r="D23" i="5"/>
  <c r="D31" s="1"/>
  <c r="F12"/>
  <c r="D36" l="1"/>
  <c r="D37" s="1"/>
  <c r="E35"/>
  <c r="E38" s="1"/>
  <c r="K9" i="4"/>
  <c r="K19" s="1"/>
  <c r="J19"/>
  <c r="F23" i="5"/>
  <c r="F31" s="1"/>
  <c r="G12"/>
  <c r="F33" l="1"/>
  <c r="F39" s="1"/>
  <c r="E41"/>
  <c r="E42" s="1"/>
  <c r="E36"/>
  <c r="E37" s="1"/>
  <c r="G23"/>
  <c r="G31" s="1"/>
  <c r="F35" l="1"/>
  <c r="F38" s="1"/>
  <c r="F36" l="1"/>
  <c r="F37" s="1"/>
  <c r="F41"/>
  <c r="F42" s="1"/>
  <c r="G33"/>
  <c r="G39" s="1"/>
  <c r="G35" l="1"/>
  <c r="G38" s="1"/>
  <c r="G41" l="1"/>
  <c r="G42" s="1"/>
  <c r="G36"/>
  <c r="G37" s="1"/>
</calcChain>
</file>

<file path=xl/sharedStrings.xml><?xml version="1.0" encoding="utf-8"?>
<sst xmlns="http://schemas.openxmlformats.org/spreadsheetml/2006/main" count="210" uniqueCount="130">
  <si>
    <t>Emergency Fund</t>
  </si>
  <si>
    <t>Retirement</t>
  </si>
  <si>
    <t>Early stage of career (20-35yrs age)</t>
  </si>
  <si>
    <t>Mid stage of career (35-50yrs age)</t>
  </si>
  <si>
    <t>Later stage of career (50-60yrs age)</t>
  </si>
  <si>
    <t>Return assumptions</t>
  </si>
  <si>
    <t>Proportions (%)</t>
  </si>
  <si>
    <t>Equity mutual fund returns</t>
  </si>
  <si>
    <t>Real estate investment</t>
  </si>
  <si>
    <t>Fixed deposits</t>
  </si>
  <si>
    <t>Recurring deposits</t>
  </si>
  <si>
    <t>PPF</t>
  </si>
  <si>
    <t>National Pension scheme (NPS)</t>
  </si>
  <si>
    <t>ELSS</t>
  </si>
  <si>
    <t>ULIP</t>
  </si>
  <si>
    <t>Gold ETF</t>
  </si>
  <si>
    <t>LIC</t>
  </si>
  <si>
    <t>Blended returns</t>
  </si>
  <si>
    <t>Blended return over course of working life</t>
  </si>
  <si>
    <t>Asset Class</t>
  </si>
  <si>
    <t>Goals</t>
  </si>
  <si>
    <t>Equity Funds</t>
  </si>
  <si>
    <t>Asset class</t>
  </si>
  <si>
    <t>Recommended Funds</t>
  </si>
  <si>
    <t>Rank</t>
  </si>
  <si>
    <t xml:space="preserve">Debt funds </t>
  </si>
  <si>
    <t>Hybrid Funds</t>
  </si>
  <si>
    <t>Gold ETFs</t>
  </si>
  <si>
    <t>Franklin India Government Securities Fund - Composite Plan - Direct Plan</t>
  </si>
  <si>
    <t>HDFC Balanced Fund</t>
  </si>
  <si>
    <t>HDFC Mid-Cap Opportunities Fund - Direct Plan</t>
  </si>
  <si>
    <t>Goldman Sachs Gold ETF</t>
  </si>
  <si>
    <t>HDFC Gilt Fund - Long Term Plan - Direct Plan</t>
  </si>
  <si>
    <t>Tata Balanced Fund - Direct Plan</t>
  </si>
  <si>
    <t>Birla Sun Life Top 100 Fund - Direct Plan</t>
  </si>
  <si>
    <t>Birla Sun Life Gold ETF</t>
  </si>
  <si>
    <t>Birla Sun Life Gilt Plus - PF Plan - Direct Plan</t>
  </si>
  <si>
    <t>L&amp;T India Prudence Fund - Direct Plan</t>
  </si>
  <si>
    <t>HDFC Gold ETF</t>
  </si>
  <si>
    <t>SBI Magnum Gilt Fund - Long Term Plan - Direct Plan</t>
  </si>
  <si>
    <t>Asset and income checkup</t>
  </si>
  <si>
    <t>Balance sheet</t>
  </si>
  <si>
    <t>Asset</t>
  </si>
  <si>
    <t>Current value (INR, lakh)</t>
  </si>
  <si>
    <t>Real estate</t>
  </si>
  <si>
    <t>Fixed deposit</t>
  </si>
  <si>
    <t>Debt/Hybrid funds</t>
  </si>
  <si>
    <t>Equity funds</t>
  </si>
  <si>
    <t xml:space="preserve">Other Savings(LIC) </t>
  </si>
  <si>
    <t>Total assets</t>
  </si>
  <si>
    <t>Liabilities</t>
  </si>
  <si>
    <t>Car loan</t>
  </si>
  <si>
    <t>Total net worth</t>
  </si>
  <si>
    <t>Cash flow statement</t>
  </si>
  <si>
    <t>Income</t>
  </si>
  <si>
    <t>Total monthly income</t>
  </si>
  <si>
    <t>Household expenses</t>
  </si>
  <si>
    <t>Loan EMIs</t>
  </si>
  <si>
    <t>Insurance premium</t>
  </si>
  <si>
    <t>Investment</t>
  </si>
  <si>
    <t>Total expenses</t>
  </si>
  <si>
    <t>Net savings</t>
  </si>
  <si>
    <t>Incremental asset allocation p.a.</t>
  </si>
  <si>
    <t>Actual Goals</t>
  </si>
  <si>
    <t>Amount</t>
  </si>
  <si>
    <t>Target Date</t>
  </si>
  <si>
    <t>EMI required</t>
  </si>
  <si>
    <t>Amount allocation(monthly)</t>
  </si>
  <si>
    <t>Emergency Fund EMI calculation</t>
  </si>
  <si>
    <t>Funds required</t>
  </si>
  <si>
    <t>Months</t>
  </si>
  <si>
    <t>Returns (%)</t>
  </si>
  <si>
    <t>EMI</t>
  </si>
  <si>
    <t>Equity fund</t>
  </si>
  <si>
    <t>NPS</t>
  </si>
  <si>
    <t>Hybrid/debt fund</t>
  </si>
  <si>
    <t>Equity mutual fund</t>
  </si>
  <si>
    <t xml:space="preserve">Equity mutual fund </t>
  </si>
  <si>
    <t>Savings Account</t>
  </si>
  <si>
    <t>Payback Loans</t>
  </si>
  <si>
    <t>Savings/month</t>
  </si>
  <si>
    <t>A goal</t>
  </si>
  <si>
    <t>M Goal</t>
  </si>
  <si>
    <t>Today's date</t>
  </si>
  <si>
    <t>Years to Target date</t>
  </si>
  <si>
    <t>Age</t>
  </si>
  <si>
    <t>Amount allocation (monthly)</t>
  </si>
  <si>
    <t xml:space="preserve">Case 1
Age 20-35 </t>
  </si>
  <si>
    <t xml:space="preserve">Case 2
Age 36-50 </t>
  </si>
  <si>
    <t>Case 3
Age 51-60</t>
  </si>
  <si>
    <t>Long Term</t>
  </si>
  <si>
    <t>Short Term</t>
  </si>
  <si>
    <t>Hybrid/ debt fund</t>
  </si>
  <si>
    <t>Asset Classes</t>
  </si>
  <si>
    <t>Final Asset Allocation/month</t>
  </si>
  <si>
    <t>Other income</t>
  </si>
  <si>
    <t>Saving Account</t>
  </si>
  <si>
    <t xml:space="preserve"> </t>
  </si>
  <si>
    <t>Proportion</t>
  </si>
  <si>
    <t xml:space="preserve">Blended Return:   </t>
  </si>
  <si>
    <t>RETURN Assumption</t>
  </si>
  <si>
    <t>Monthly savings</t>
  </si>
  <si>
    <t>Blended return of current asset allocation</t>
  </si>
  <si>
    <t>Blended return of recommended asset allocation</t>
  </si>
  <si>
    <t>Current asset allocation</t>
  </si>
  <si>
    <t>Savings at the end of 10 years</t>
  </si>
  <si>
    <t>Savings at the end of 20 years</t>
  </si>
  <si>
    <t>Recommended asset allocation</t>
  </si>
  <si>
    <t>Down Payment for house renovation</t>
  </si>
  <si>
    <t>Wedding</t>
  </si>
  <si>
    <t>Down Payment for car</t>
  </si>
  <si>
    <t>Savings rate (%)</t>
  </si>
  <si>
    <t>Target pension savings at retirement (crores)</t>
  </si>
  <si>
    <t>Income growth (%, pa)</t>
  </si>
  <si>
    <t>Inflation rate</t>
  </si>
  <si>
    <t>Interest rate</t>
  </si>
  <si>
    <t>Recurring Deposit</t>
  </si>
  <si>
    <t>Balance at the beginning of the year</t>
  </si>
  <si>
    <t>Additions</t>
  </si>
  <si>
    <t xml:space="preserve">Returns </t>
  </si>
  <si>
    <t>FY16</t>
  </si>
  <si>
    <t>FY17</t>
  </si>
  <si>
    <t>FY18</t>
  </si>
  <si>
    <t>FY19</t>
  </si>
  <si>
    <t>FY20</t>
  </si>
  <si>
    <t>FY21</t>
  </si>
  <si>
    <t>FY22</t>
  </si>
  <si>
    <t>Equity Funds Return</t>
  </si>
  <si>
    <t>Debt/Hybrid Funds return</t>
  </si>
  <si>
    <t>Gold ETF Return</t>
  </si>
</sst>
</file>

<file path=xl/styles.xml><?xml version="1.0" encoding="utf-8"?>
<styleSheet xmlns="http://schemas.openxmlformats.org/spreadsheetml/2006/main">
  <numFmts count="9">
    <numFmt numFmtId="8" formatCode="&quot;₹&quot;\ #,##0.00;[Red]&quot;₹&quot;\ \-#,##0.00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(* #,##0_);_(* \(#,##0\);_(* &quot;-&quot;??_);_(@_)"/>
    <numFmt numFmtId="167" formatCode="_ * #,##0.0_ ;_ * \-#,##0.0_ ;_ * &quot;-&quot;??_ ;_ @_ "/>
    <numFmt numFmtId="168" formatCode="0.0"/>
    <numFmt numFmtId="169" formatCode="#,##0.0"/>
    <numFmt numFmtId="170" formatCode="0.000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7499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0" fontId="3" fillId="0" borderId="1" xfId="0" applyFont="1" applyBorder="1"/>
    <xf numFmtId="164" fontId="3" fillId="0" borderId="2" xfId="0" applyNumberFormat="1" applyFont="1" applyBorder="1"/>
    <xf numFmtId="0" fontId="0" fillId="0" borderId="7" xfId="0" applyBorder="1"/>
    <xf numFmtId="9" fontId="4" fillId="0" borderId="0" xfId="0" applyNumberFormat="1" applyFont="1" applyBorder="1"/>
    <xf numFmtId="9" fontId="4" fillId="0" borderId="8" xfId="0" applyNumberFormat="1" applyFont="1" applyBorder="1"/>
    <xf numFmtId="0" fontId="0" fillId="0" borderId="11" xfId="0" applyBorder="1"/>
    <xf numFmtId="0" fontId="3" fillId="0" borderId="12" xfId="0" applyFont="1" applyBorder="1"/>
    <xf numFmtId="164" fontId="3" fillId="0" borderId="13" xfId="0" applyNumberFormat="1" applyFont="1" applyBorder="1"/>
    <xf numFmtId="0" fontId="0" fillId="0" borderId="14" xfId="0" applyBorder="1"/>
    <xf numFmtId="0" fontId="3" fillId="0" borderId="13" xfId="0" applyFont="1" applyBorder="1"/>
    <xf numFmtId="0" fontId="3" fillId="0" borderId="14" xfId="0" applyFont="1" applyBorder="1"/>
    <xf numFmtId="0" fontId="2" fillId="2" borderId="0" xfId="0" applyFont="1" applyFill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9" fontId="4" fillId="0" borderId="14" xfId="0" applyNumberFormat="1" applyFont="1" applyFill="1" applyBorder="1" applyAlignment="1">
      <alignment vertical="center"/>
    </xf>
    <xf numFmtId="9" fontId="4" fillId="0" borderId="16" xfId="0" applyNumberFormat="1" applyFont="1" applyFill="1" applyBorder="1" applyAlignment="1">
      <alignment vertical="center"/>
    </xf>
    <xf numFmtId="9" fontId="4" fillId="0" borderId="11" xfId="0" applyNumberFormat="1" applyFont="1" applyFill="1" applyBorder="1" applyAlignment="1">
      <alignment vertical="center"/>
    </xf>
    <xf numFmtId="0" fontId="3" fillId="4" borderId="0" xfId="0" applyFont="1" applyFill="1"/>
    <xf numFmtId="0" fontId="0" fillId="5" borderId="0" xfId="0" applyFill="1"/>
    <xf numFmtId="0" fontId="6" fillId="5" borderId="0" xfId="0" applyFont="1" applyFill="1"/>
    <xf numFmtId="0" fontId="3" fillId="5" borderId="0" xfId="0" applyFont="1" applyFill="1"/>
    <xf numFmtId="0" fontId="3" fillId="5" borderId="17" xfId="0" applyFont="1" applyFill="1" applyBorder="1"/>
    <xf numFmtId="3" fontId="3" fillId="5" borderId="17" xfId="0" applyNumberFormat="1" applyFont="1" applyFill="1" applyBorder="1"/>
    <xf numFmtId="9" fontId="0" fillId="0" borderId="0" xfId="2" applyFont="1"/>
    <xf numFmtId="165" fontId="0" fillId="0" borderId="0" xfId="1" applyNumberFormat="1" applyFont="1"/>
    <xf numFmtId="164" fontId="0" fillId="0" borderId="0" xfId="1" applyNumberFormat="1" applyFont="1"/>
    <xf numFmtId="165" fontId="3" fillId="0" borderId="0" xfId="1" applyNumberFormat="1" applyFont="1"/>
    <xf numFmtId="0" fontId="7" fillId="0" borderId="12" xfId="0" applyFont="1" applyFill="1" applyBorder="1" applyAlignment="1">
      <alignment horizontal="center"/>
    </xf>
    <xf numFmtId="0" fontId="8" fillId="0" borderId="7" xfId="0" applyFont="1" applyFill="1" applyBorder="1"/>
    <xf numFmtId="166" fontId="0" fillId="0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9" fontId="8" fillId="0" borderId="10" xfId="2" applyFont="1" applyFill="1" applyBorder="1" applyAlignment="1">
      <alignment horizontal="center"/>
    </xf>
    <xf numFmtId="9" fontId="8" fillId="0" borderId="0" xfId="2" applyNumberFormat="1" applyFont="1" applyFill="1" applyBorder="1" applyAlignment="1">
      <alignment horizontal="center"/>
    </xf>
    <xf numFmtId="9" fontId="8" fillId="0" borderId="10" xfId="2" applyNumberFormat="1" applyFont="1" applyFill="1" applyBorder="1" applyAlignment="1">
      <alignment horizontal="center"/>
    </xf>
    <xf numFmtId="0" fontId="7" fillId="0" borderId="5" xfId="0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0" xfId="0" applyNumberFormat="1" applyFont="1" applyFill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164" fontId="0" fillId="0" borderId="0" xfId="0" applyNumberFormat="1"/>
    <xf numFmtId="9" fontId="0" fillId="0" borderId="0" xfId="0" applyNumberFormat="1" applyBorder="1"/>
    <xf numFmtId="8" fontId="0" fillId="0" borderId="0" xfId="0" applyNumberFormat="1" applyBorder="1"/>
    <xf numFmtId="43" fontId="0" fillId="0" borderId="0" xfId="1" applyFont="1" applyBorder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167" fontId="9" fillId="0" borderId="0" xfId="1" applyNumberFormat="1" applyFont="1" applyFill="1" applyBorder="1"/>
    <xf numFmtId="0" fontId="7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/>
    </xf>
    <xf numFmtId="165" fontId="0" fillId="6" borderId="0" xfId="1" applyNumberFormat="1" applyFont="1" applyFill="1" applyBorder="1"/>
    <xf numFmtId="166" fontId="0" fillId="6" borderId="0" xfId="1" applyNumberFormat="1" applyFont="1" applyFill="1" applyBorder="1"/>
    <xf numFmtId="14" fontId="0" fillId="6" borderId="0" xfId="0" applyNumberFormat="1" applyFill="1" applyBorder="1"/>
    <xf numFmtId="14" fontId="0" fillId="6" borderId="0" xfId="0" applyNumberFormat="1" applyFont="1" applyFill="1" applyBorder="1"/>
    <xf numFmtId="0" fontId="7" fillId="0" borderId="9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9" fontId="0" fillId="0" borderId="0" xfId="0" applyNumberFormat="1" applyFill="1" applyBorder="1"/>
    <xf numFmtId="0" fontId="8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left"/>
    </xf>
    <xf numFmtId="9" fontId="8" fillId="0" borderId="8" xfId="0" applyNumberFormat="1" applyFont="1" applyFill="1" applyBorder="1" applyAlignment="1">
      <alignment horizontal="center" wrapText="1"/>
    </xf>
    <xf numFmtId="9" fontId="8" fillId="0" borderId="11" xfId="0" applyNumberFormat="1" applyFont="1" applyFill="1" applyBorder="1" applyAlignment="1">
      <alignment horizontal="center" wrapText="1"/>
    </xf>
    <xf numFmtId="167" fontId="8" fillId="0" borderId="7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9" fontId="0" fillId="0" borderId="8" xfId="0" applyNumberFormat="1" applyFill="1" applyBorder="1"/>
    <xf numFmtId="0" fontId="0" fillId="0" borderId="12" xfId="0" applyFill="1" applyBorder="1" applyAlignment="1"/>
    <xf numFmtId="0" fontId="0" fillId="0" borderId="13" xfId="0" applyFill="1" applyBorder="1" applyAlignment="1"/>
    <xf numFmtId="165" fontId="0" fillId="0" borderId="0" xfId="0" applyNumberFormat="1"/>
    <xf numFmtId="0" fontId="7" fillId="0" borderId="7" xfId="0" applyFont="1" applyFill="1" applyBorder="1" applyAlignment="1">
      <alignment horizontal="center" wrapText="1"/>
    </xf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166" fontId="1" fillId="6" borderId="0" xfId="1" applyNumberFormat="1" applyFont="1" applyFill="1" applyBorder="1"/>
    <xf numFmtId="3" fontId="0" fillId="6" borderId="0" xfId="0" applyNumberFormat="1" applyFill="1"/>
    <xf numFmtId="165" fontId="0" fillId="5" borderId="15" xfId="1" applyNumberFormat="1" applyFont="1" applyFill="1" applyBorder="1"/>
    <xf numFmtId="165" fontId="0" fillId="0" borderId="15" xfId="1" applyNumberFormat="1" applyFont="1" applyFill="1" applyBorder="1"/>
    <xf numFmtId="9" fontId="0" fillId="5" borderId="0" xfId="2" applyFont="1" applyFill="1"/>
    <xf numFmtId="9" fontId="2" fillId="0" borderId="0" xfId="2" applyFont="1" applyFill="1"/>
    <xf numFmtId="3" fontId="3" fillId="5" borderId="0" xfId="0" applyNumberFormat="1" applyFont="1" applyFill="1" applyBorder="1"/>
    <xf numFmtId="0" fontId="3" fillId="5" borderId="0" xfId="0" applyFont="1" applyFill="1" applyBorder="1"/>
    <xf numFmtId="0" fontId="0" fillId="0" borderId="0" xfId="0" applyFill="1"/>
    <xf numFmtId="0" fontId="7" fillId="0" borderId="4" xfId="0" applyFont="1" applyFill="1" applyBorder="1" applyAlignment="1">
      <alignment horizontal="left" wrapText="1"/>
    </xf>
    <xf numFmtId="3" fontId="0" fillId="5" borderId="0" xfId="0" applyNumberFormat="1" applyFill="1"/>
    <xf numFmtId="0" fontId="0" fillId="5" borderId="12" xfId="0" applyFill="1" applyBorder="1"/>
    <xf numFmtId="9" fontId="0" fillId="5" borderId="14" xfId="2" applyFont="1" applyFill="1" applyBorder="1"/>
    <xf numFmtId="0" fontId="0" fillId="5" borderId="7" xfId="0" applyFill="1" applyBorder="1"/>
    <xf numFmtId="165" fontId="0" fillId="5" borderId="0" xfId="1" applyNumberFormat="1" applyFont="1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7" xfId="0" applyFill="1" applyBorder="1" applyAlignment="1">
      <alignment wrapText="1"/>
    </xf>
    <xf numFmtId="9" fontId="0" fillId="5" borderId="0" xfId="0" applyNumberFormat="1" applyFill="1" applyBorder="1"/>
    <xf numFmtId="164" fontId="0" fillId="5" borderId="0" xfId="2" applyNumberFormat="1" applyFont="1" applyFill="1" applyBorder="1"/>
    <xf numFmtId="8" fontId="0" fillId="5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9" fontId="8" fillId="5" borderId="0" xfId="2" applyFont="1" applyFill="1"/>
    <xf numFmtId="9" fontId="8" fillId="5" borderId="0" xfId="0" applyNumberFormat="1" applyFont="1" applyFill="1" applyBorder="1"/>
    <xf numFmtId="9" fontId="8" fillId="0" borderId="0" xfId="0" applyNumberFormat="1" applyFont="1" applyBorder="1"/>
    <xf numFmtId="0" fontId="3" fillId="5" borderId="12" xfId="0" applyFont="1" applyFill="1" applyBorder="1"/>
    <xf numFmtId="3" fontId="3" fillId="5" borderId="13" xfId="0" applyNumberFormat="1" applyFont="1" applyFill="1" applyBorder="1"/>
    <xf numFmtId="0" fontId="0" fillId="5" borderId="13" xfId="0" applyFill="1" applyBorder="1"/>
    <xf numFmtId="165" fontId="3" fillId="5" borderId="3" xfId="0" applyNumberFormat="1" applyFont="1" applyFill="1" applyBorder="1"/>
    <xf numFmtId="165" fontId="8" fillId="6" borderId="0" xfId="1" applyNumberFormat="1" applyFont="1" applyFill="1" applyBorder="1"/>
    <xf numFmtId="165" fontId="11" fillId="0" borderId="18" xfId="1" applyNumberFormat="1" applyFont="1" applyFill="1" applyBorder="1" applyAlignment="1">
      <alignment vertical="top" wrapText="1"/>
    </xf>
    <xf numFmtId="14" fontId="9" fillId="0" borderId="0" xfId="0" applyNumberFormat="1" applyFont="1" applyFill="1" applyBorder="1"/>
    <xf numFmtId="166" fontId="8" fillId="0" borderId="0" xfId="1" applyNumberFormat="1" applyFont="1" applyFill="1" applyBorder="1"/>
    <xf numFmtId="165" fontId="10" fillId="0" borderId="0" xfId="1" applyNumberFormat="1" applyFont="1" applyFill="1" applyBorder="1"/>
    <xf numFmtId="165" fontId="0" fillId="0" borderId="0" xfId="1" applyNumberFormat="1" applyFont="1" applyFill="1" applyBorder="1"/>
    <xf numFmtId="14" fontId="9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/>
    <xf numFmtId="166" fontId="0" fillId="0" borderId="0" xfId="1" applyNumberFormat="1" applyFont="1" applyFill="1" applyBorder="1"/>
    <xf numFmtId="0" fontId="0" fillId="0" borderId="0" xfId="0" applyFill="1" applyBorder="1"/>
    <xf numFmtId="0" fontId="0" fillId="0" borderId="7" xfId="0" applyFill="1" applyBorder="1"/>
    <xf numFmtId="165" fontId="0" fillId="0" borderId="8" xfId="1" applyNumberFormat="1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8" fontId="0" fillId="0" borderId="11" xfId="0" applyNumberFormat="1" applyFill="1" applyBorder="1"/>
    <xf numFmtId="168" fontId="4" fillId="0" borderId="0" xfId="0" applyNumberFormat="1" applyFont="1"/>
    <xf numFmtId="169" fontId="4" fillId="0" borderId="0" xfId="0" applyNumberFormat="1" applyFont="1"/>
    <xf numFmtId="164" fontId="4" fillId="0" borderId="0" xfId="0" applyNumberFormat="1" applyFont="1"/>
    <xf numFmtId="2" fontId="0" fillId="5" borderId="0" xfId="0" applyNumberFormat="1" applyFill="1" applyBorder="1"/>
    <xf numFmtId="3" fontId="0" fillId="0" borderId="0" xfId="0" applyNumberFormat="1"/>
    <xf numFmtId="165" fontId="3" fillId="0" borderId="0" xfId="0" applyNumberFormat="1" applyFont="1"/>
    <xf numFmtId="0" fontId="2" fillId="2" borderId="0" xfId="0" applyFont="1" applyFill="1" applyAlignment="1">
      <alignment horizontal="center"/>
    </xf>
    <xf numFmtId="10" fontId="0" fillId="0" borderId="0" xfId="0" applyNumberFormat="1" applyBorder="1"/>
    <xf numFmtId="170" fontId="0" fillId="0" borderId="0" xfId="0" applyNumberFormat="1"/>
    <xf numFmtId="10" fontId="4" fillId="0" borderId="0" xfId="0" applyNumberFormat="1" applyFont="1"/>
    <xf numFmtId="165" fontId="0" fillId="5" borderId="8" xfId="1" applyNumberFormat="1" applyFont="1" applyFill="1" applyBorder="1"/>
    <xf numFmtId="8" fontId="3" fillId="5" borderId="13" xfId="0" applyNumberFormat="1" applyFont="1" applyFill="1" applyBorder="1" applyAlignment="1">
      <alignment horizontal="center" wrapText="1"/>
    </xf>
    <xf numFmtId="8" fontId="3" fillId="5" borderId="10" xfId="0" applyNumberFormat="1" applyFont="1" applyFill="1" applyBorder="1" applyAlignment="1">
      <alignment horizontal="center" wrapText="1"/>
    </xf>
    <xf numFmtId="8" fontId="3" fillId="5" borderId="9" xfId="0" applyNumberFormat="1" applyFont="1" applyFill="1" applyBorder="1"/>
    <xf numFmtId="8" fontId="3" fillId="5" borderId="10" xfId="0" applyNumberFormat="1" applyFont="1" applyFill="1" applyBorder="1"/>
    <xf numFmtId="8" fontId="3" fillId="5" borderId="10" xfId="0" applyNumberFormat="1" applyFont="1" applyFill="1" applyBorder="1" applyAlignment="1">
      <alignment horizontal="center"/>
    </xf>
    <xf numFmtId="8" fontId="0" fillId="5" borderId="12" xfId="0" applyNumberFormat="1" applyFill="1" applyBorder="1"/>
    <xf numFmtId="8" fontId="0" fillId="5" borderId="13" xfId="0" applyNumberFormat="1" applyFill="1" applyBorder="1"/>
    <xf numFmtId="8" fontId="3" fillId="5" borderId="12" xfId="0" applyNumberFormat="1" applyFont="1" applyFill="1" applyBorder="1" applyAlignment="1">
      <alignment horizontal="center" wrapText="1"/>
    </xf>
    <xf numFmtId="8" fontId="0" fillId="5" borderId="13" xfId="0" applyNumberForma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  <xf numFmtId="164" fontId="0" fillId="0" borderId="0" xfId="2" applyNumberFormat="1" applyFont="1"/>
    <xf numFmtId="164" fontId="0" fillId="0" borderId="8" xfId="0" applyNumberFormat="1" applyFill="1" applyBorder="1"/>
    <xf numFmtId="10" fontId="0" fillId="0" borderId="0" xfId="0" applyNumberFormat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8" fontId="3" fillId="5" borderId="12" xfId="0" applyNumberFormat="1" applyFont="1" applyFill="1" applyBorder="1" applyAlignment="1">
      <alignment horizontal="center" wrapText="1"/>
    </xf>
    <xf numFmtId="8" fontId="3" fillId="5" borderId="13" xfId="0" applyNumberFormat="1" applyFont="1" applyFill="1" applyBorder="1" applyAlignment="1">
      <alignment horizontal="center" wrapText="1"/>
    </xf>
    <xf numFmtId="8" fontId="3" fillId="5" borderId="14" xfId="0" applyNumberFormat="1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Debt/Hybrid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allocation'!$E$3:$E$14</c:f>
              <c:strCache>
                <c:ptCount val="12"/>
                <c:pt idx="0">
                  <c:v>Equity mutual fund </c:v>
                </c:pt>
                <c:pt idx="1">
                  <c:v>Real estate investment</c:v>
                </c:pt>
                <c:pt idx="2">
                  <c:v>Debt/Hybrid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allocation'!$G$3:$G$14</c:f>
              <c:numCache>
                <c:formatCode>0%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allocation'!$I$3:$I$14</c:f>
              <c:strCache>
                <c:ptCount val="12"/>
                <c:pt idx="0">
                  <c:v>Equity mutual fund returns</c:v>
                </c:pt>
                <c:pt idx="1">
                  <c:v>Real estate investment</c:v>
                </c:pt>
                <c:pt idx="2">
                  <c:v>Debt/Hybrid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allocation'!$K$3:$K$14</c:f>
              <c:numCache>
                <c:formatCode>0%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0.36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7043963254593177E-2"/>
          <c:y val="9.7383917919350957E-2"/>
          <c:w val="0.87240048118985125"/>
          <c:h val="0.72660081126222864"/>
        </c:manualLayout>
      </c:layout>
      <c:barChart>
        <c:barDir val="col"/>
        <c:grouping val="stacked"/>
        <c:ser>
          <c:idx val="0"/>
          <c:order val="0"/>
          <c:tx>
            <c:strRef>
              <c:f>'Long term projections'!$A$39</c:f>
              <c:strCache>
                <c:ptCount val="1"/>
                <c:pt idx="0">
                  <c:v>Balance at the beginning of the year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projections'!$C$39:$G$39</c:f>
              <c:numCache>
                <c:formatCode>_ * #,##0_ ;_ * \-#,##0_ ;_ * "-"??_ ;_ @_ </c:formatCode>
                <c:ptCount val="5"/>
                <c:pt idx="0">
                  <c:v>3.05</c:v>
                </c:pt>
                <c:pt idx="1">
                  <c:v>3.2755035442622948</c:v>
                </c:pt>
                <c:pt idx="2">
                  <c:v>8.130050025933393</c:v>
                </c:pt>
                <c:pt idx="3">
                  <c:v>13.785420522516898</c:v>
                </c:pt>
                <c:pt idx="4">
                  <c:v>20.357130553603856</c:v>
                </c:pt>
              </c:numCache>
            </c:numRef>
          </c:val>
        </c:ser>
        <c:ser>
          <c:idx val="1"/>
          <c:order val="1"/>
          <c:tx>
            <c:strRef>
              <c:f>'Long term projections'!$A$40</c:f>
              <c:strCache>
                <c:ptCount val="1"/>
                <c:pt idx="0">
                  <c:v>Additions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projections'!$C$40:$G$40</c:f>
              <c:numCache>
                <c:formatCode>_ * #,##0_ ;_ * \-#,##0_ ;_ * "-"??_ ;_ @_ </c:formatCode>
                <c:ptCount val="5"/>
                <c:pt idx="0">
                  <c:v>0</c:v>
                </c:pt>
                <c:pt idx="1">
                  <c:v>4.2</c:v>
                </c:pt>
                <c:pt idx="2">
                  <c:v>4.4924999999999988</c:v>
                </c:pt>
                <c:pt idx="3">
                  <c:v>4.8052837499999983</c:v>
                </c:pt>
                <c:pt idx="4">
                  <c:v>5.1397528031249964</c:v>
                </c:pt>
              </c:numCache>
            </c:numRef>
          </c:val>
        </c:ser>
        <c:ser>
          <c:idx val="2"/>
          <c:order val="2"/>
          <c:tx>
            <c:strRef>
              <c:f>'Long term projections'!$A$41</c:f>
              <c:strCache>
                <c:ptCount val="1"/>
                <c:pt idx="0">
                  <c:v>Returns 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projections'!$C$41:$G$41</c:f>
              <c:numCache>
                <c:formatCode>_ * #,##0_ ;_ * \-#,##0_ ;_ * "-"??_ ;_ @_ </c:formatCode>
                <c:ptCount val="5"/>
                <c:pt idx="0">
                  <c:v>0.22550354426229488</c:v>
                </c:pt>
                <c:pt idx="1">
                  <c:v>0.65454648167109819</c:v>
                </c:pt>
                <c:pt idx="2">
                  <c:v>1.1628704965835064</c:v>
                </c:pt>
                <c:pt idx="3">
                  <c:v>1.7664262810869609</c:v>
                </c:pt>
                <c:pt idx="4">
                  <c:v>2.4806322644994454</c:v>
                </c:pt>
              </c:numCache>
            </c:numRef>
          </c:val>
        </c:ser>
        <c:overlap val="100"/>
        <c:axId val="65878656"/>
        <c:axId val="65880448"/>
      </c:barChart>
      <c:lineChart>
        <c:grouping val="standard"/>
        <c:ser>
          <c:idx val="3"/>
          <c:order val="3"/>
          <c:tx>
            <c:strRef>
              <c:f>'Long term projections'!$A$42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ln>
                <a:noFill/>
              </a:ln>
            </c:spPr>
            <c:dLblPos val="t"/>
            <c:showVal val="1"/>
          </c:dLbls>
          <c:val>
            <c:numRef>
              <c:f>'Long term projections'!$C$42:$G$42</c:f>
              <c:numCache>
                <c:formatCode>_ * #,##0_ ;_ * \-#,##0_ ;_ * "-"??_ ;_ @_ </c:formatCode>
                <c:ptCount val="5"/>
                <c:pt idx="0">
                  <c:v>3.2755035442622948</c:v>
                </c:pt>
                <c:pt idx="1">
                  <c:v>8.130050025933393</c:v>
                </c:pt>
                <c:pt idx="2">
                  <c:v>13.785420522516899</c:v>
                </c:pt>
                <c:pt idx="3">
                  <c:v>20.357130553603856</c:v>
                </c:pt>
                <c:pt idx="4">
                  <c:v>27.977515621228296</c:v>
                </c:pt>
              </c:numCache>
            </c:numRef>
          </c:val>
        </c:ser>
        <c:marker val="1"/>
        <c:axId val="65878656"/>
        <c:axId val="65880448"/>
      </c:lineChart>
      <c:catAx>
        <c:axId val="65878656"/>
        <c:scaling>
          <c:orientation val="minMax"/>
        </c:scaling>
        <c:axPos val="b"/>
        <c:tickLblPos val="nextTo"/>
        <c:crossAx val="65880448"/>
        <c:crosses val="autoZero"/>
        <c:auto val="1"/>
        <c:lblAlgn val="ctr"/>
        <c:lblOffset val="100"/>
      </c:catAx>
      <c:valAx>
        <c:axId val="65880448"/>
        <c:scaling>
          <c:orientation val="minMax"/>
        </c:scaling>
        <c:axPos val="l"/>
        <c:numFmt formatCode="_ * #,##0_ ;_ * \-#,##0_ ;_ * &quot;-&quot;??_ ;_ @_ " sourceLinked="1"/>
        <c:tickLblPos val="nextTo"/>
        <c:crossAx val="65878656"/>
        <c:crosses val="autoZero"/>
        <c:crossBetween val="between"/>
        <c:majorUnit val="10"/>
      </c:valAx>
    </c:plotArea>
    <c:legend>
      <c:legendPos val="b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'Assett and income check up'!$B$7:$B$18</c:f>
              <c:strCache>
                <c:ptCount val="12"/>
                <c:pt idx="0">
                  <c:v>Equity funds</c:v>
                </c:pt>
                <c:pt idx="1">
                  <c:v>Real estate</c:v>
                </c:pt>
                <c:pt idx="2">
                  <c:v>Debt/Hybrid funds</c:v>
                </c:pt>
                <c:pt idx="3">
                  <c:v>Fixed deposit</c:v>
                </c:pt>
                <c:pt idx="4">
                  <c:v>Recurring deposits</c:v>
                </c:pt>
                <c:pt idx="5">
                  <c:v>PPF</c:v>
                </c:pt>
                <c:pt idx="6">
                  <c:v>NPS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 Account</c:v>
                </c:pt>
                <c:pt idx="11">
                  <c:v>Other Savings(LIC) </c:v>
                </c:pt>
              </c:strCache>
            </c:strRef>
          </c:cat>
          <c:val>
            <c:numRef>
              <c:f>'Assett and income check up'!$E$7:$E$18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0.49180327868852458</c:v>
                </c:pt>
                <c:pt idx="5">
                  <c:v>0.32786885245901637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0.18032786885245902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9312642169728789"/>
          <c:y val="8.1030183727034147E-2"/>
          <c:w val="0.29020691163604695"/>
          <c:h val="0.918969816272965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cat>
            <c:numRef>
              <c:f>'Current vs recommended'!$B$2</c:f>
              <c:numCache>
                <c:formatCode>_ * #,##0_ ;_ * \-#,##0_ ;_ * "-"??_ ;_ @_ </c:formatCode>
                <c:ptCount val="1"/>
                <c:pt idx="0">
                  <c:v>35000</c:v>
                </c:pt>
              </c:numCache>
            </c:numRef>
          </c:cat>
          <c:val>
            <c:numRef>
              <c:f>'Current vs recommended'!$B$4</c:f>
              <c:numCache>
                <c:formatCode>"₹"\ #,##0.00;[Red]"₹"\ \-#,##0.00</c:formatCode>
                <c:ptCount val="1"/>
                <c:pt idx="0">
                  <c:v>5998221.9114410197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cat>
            <c:numRef>
              <c:f>'Current vs recommended'!$B$2</c:f>
              <c:numCache>
                <c:formatCode>_ * #,##0_ ;_ * \-#,##0_ ;_ * "-"??_ ;_ @_ </c:formatCode>
                <c:ptCount val="1"/>
                <c:pt idx="0">
                  <c:v>35000</c:v>
                </c:pt>
              </c:numCache>
            </c:numRef>
          </c:cat>
          <c:val>
            <c:numRef>
              <c:f>'Current vs recommended'!$B$5</c:f>
              <c:numCache>
                <c:formatCode>"₹"\ #,##0.00;[Red]"₹"\ \-#,##0.00</c:formatCode>
                <c:ptCount val="1"/>
                <c:pt idx="0">
                  <c:v>17838413.025512293</c:v>
                </c:pt>
              </c:numCache>
            </c:numRef>
          </c:val>
        </c:ser>
        <c:axId val="66054400"/>
        <c:axId val="66072576"/>
      </c:barChart>
      <c:catAx>
        <c:axId val="66054400"/>
        <c:scaling>
          <c:orientation val="minMax"/>
        </c:scaling>
        <c:axPos val="b"/>
        <c:numFmt formatCode="General" sourceLinked="0"/>
        <c:tickLblPos val="nextTo"/>
        <c:crossAx val="66072576"/>
        <c:crosses val="autoZero"/>
        <c:auto val="1"/>
        <c:lblAlgn val="ctr"/>
        <c:lblOffset val="100"/>
      </c:catAx>
      <c:valAx>
        <c:axId val="66072576"/>
        <c:scaling>
          <c:orientation val="minMax"/>
        </c:scaling>
        <c:delete val="1"/>
        <c:axPos val="l"/>
        <c:numFmt formatCode="&quot;₹&quot;\ #,##0.00;[Red]&quot;₹&quot;\ \-#,##0.00" sourceLinked="1"/>
        <c:tickLblPos val="nextTo"/>
        <c:crossAx val="66054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cat>
            <c:numRef>
              <c:f>'Current vs recommended'!$K$2</c:f>
              <c:numCache>
                <c:formatCode>_ * #,##0_ ;_ * \-#,##0_ ;_ * "-"??_ ;_ @_ </c:formatCode>
                <c:ptCount val="1"/>
                <c:pt idx="0">
                  <c:v>35000</c:v>
                </c:pt>
              </c:numCache>
            </c:numRef>
          </c:cat>
          <c:val>
            <c:numRef>
              <c:f>'Current vs recommended'!$K$4</c:f>
              <c:numCache>
                <c:formatCode>"₹"\ #,##0.00;[Red]"₹"\ \-#,##0.00</c:formatCode>
                <c:ptCount val="1"/>
                <c:pt idx="0">
                  <c:v>7654018.6389781162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cat>
            <c:numRef>
              <c:f>'Current vs recommended'!$K$2</c:f>
              <c:numCache>
                <c:formatCode>_ * #,##0_ ;_ * \-#,##0_ ;_ * "-"??_ ;_ @_ </c:formatCode>
                <c:ptCount val="1"/>
                <c:pt idx="0">
                  <c:v>35000</c:v>
                </c:pt>
              </c:numCache>
            </c:numRef>
          </c:cat>
          <c:val>
            <c:numRef>
              <c:f>'Current vs recommended'!$K$5</c:f>
              <c:numCache>
                <c:formatCode>"₹"\ #,##0.00;[Red]"₹"\ \-#,##0.00</c:formatCode>
                <c:ptCount val="1"/>
                <c:pt idx="0">
                  <c:v>30837679.629410185</c:v>
                </c:pt>
              </c:numCache>
            </c:numRef>
          </c:val>
        </c:ser>
        <c:axId val="66101248"/>
        <c:axId val="66102784"/>
      </c:barChart>
      <c:catAx>
        <c:axId val="66101248"/>
        <c:scaling>
          <c:orientation val="minMax"/>
        </c:scaling>
        <c:axPos val="b"/>
        <c:numFmt formatCode="_ * #,##0_ ;_ * \-#,##0_ ;_ * &quot;-&quot;??_ ;_ @_ " sourceLinked="1"/>
        <c:tickLblPos val="nextTo"/>
        <c:crossAx val="66102784"/>
        <c:crosses val="autoZero"/>
        <c:auto val="1"/>
        <c:lblAlgn val="ctr"/>
        <c:lblOffset val="100"/>
      </c:catAx>
      <c:valAx>
        <c:axId val="66102784"/>
        <c:scaling>
          <c:orientation val="minMax"/>
        </c:scaling>
        <c:axPos val="l"/>
        <c:numFmt formatCode="&quot;₹&quot;\ #,##0.00;[Red]&quot;₹&quot;\ \-#,##0.00" sourceLinked="1"/>
        <c:tickLblPos val="nextTo"/>
        <c:crossAx val="66101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Debt/Hybrid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990600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171450</xdr:rowOff>
    </xdr:from>
    <xdr:to>
      <xdr:col>7</xdr:col>
      <xdr:colOff>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15</xdr:row>
      <xdr:rowOff>171450</xdr:rowOff>
    </xdr:from>
    <xdr:to>
      <xdr:col>11</xdr:col>
      <xdr:colOff>9526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31</xdr:row>
      <xdr:rowOff>38101</xdr:rowOff>
    </xdr:from>
    <xdr:to>
      <xdr:col>13</xdr:col>
      <xdr:colOff>1381125</xdr:colOff>
      <xdr:row>47</xdr:row>
      <xdr:rowOff>133351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0.12292</cdr:x>
      <cdr:y>0.03072</cdr:y>
    </cdr:from>
    <cdr:to>
      <cdr:x>0.81667</cdr:x>
      <cdr:y>0.12969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975" y="85725"/>
          <a:ext cx="31718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latin typeface="+mn-lt"/>
              <a:ea typeface="+mn-ea"/>
              <a:cs typeface="+mn-cs"/>
            </a:rPr>
            <a:t>PROJECTED SAVINGS FOR YOU IF INVEST AS ABOVE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8</xdr:row>
      <xdr:rowOff>133351</xdr:rowOff>
    </xdr:from>
    <xdr:to>
      <xdr:col>4</xdr:col>
      <xdr:colOff>546287</xdr:colOff>
      <xdr:row>27</xdr:row>
      <xdr:rowOff>90768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29</xdr:row>
      <xdr:rowOff>28575</xdr:rowOff>
    </xdr:from>
    <xdr:to>
      <xdr:col>5</xdr:col>
      <xdr:colOff>19050</xdr:colOff>
      <xdr:row>43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36</xdr:row>
      <xdr:rowOff>19050</xdr:rowOff>
    </xdr:from>
    <xdr:to>
      <xdr:col>13</xdr:col>
      <xdr:colOff>581025</xdr:colOff>
      <xdr:row>50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8</xdr:row>
      <xdr:rowOff>0</xdr:rowOff>
    </xdr:from>
    <xdr:to>
      <xdr:col>13</xdr:col>
      <xdr:colOff>438150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0.23958</cdr:x>
      <cdr:y>0.02906</cdr:y>
    </cdr:from>
    <cdr:to>
      <cdr:x>0.81667</cdr:x>
      <cdr:y>0.04274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5375" y="97157"/>
          <a:ext cx="263842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y%20of%20Rajesh%20pant%20asset%20allocation_AS%20(2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et and Income checkup"/>
      <sheetName val="Goals"/>
      <sheetName val="Allocation Template"/>
      <sheetName val="Long term projections"/>
      <sheetName val="EMI"/>
    </sheetNames>
    <sheetDataSet>
      <sheetData sheetId="0"/>
      <sheetData sheetId="1"/>
      <sheetData sheetId="2"/>
      <sheetData sheetId="3">
        <row r="20">
          <cell r="A20" t="str">
            <v>Years</v>
          </cell>
        </row>
        <row r="22">
          <cell r="A22" t="str">
            <v>Projections</v>
          </cell>
        </row>
        <row r="23">
          <cell r="A23" t="str">
            <v>Real estate</v>
          </cell>
        </row>
        <row r="24">
          <cell r="A24" t="str">
            <v>Public provident fund (PPF)</v>
          </cell>
        </row>
        <row r="25">
          <cell r="A25" t="str">
            <v>Debt/Hybrid funds</v>
          </cell>
        </row>
        <row r="26">
          <cell r="A26" t="str">
            <v>Equity funds</v>
          </cell>
        </row>
        <row r="27">
          <cell r="A27" t="str">
            <v xml:space="preserve">Other Savings(LIC) </v>
          </cell>
        </row>
        <row r="28">
          <cell r="A28" t="str">
            <v>Emergency cash</v>
          </cell>
        </row>
        <row r="29">
          <cell r="A29" t="str">
            <v>Total</v>
          </cell>
        </row>
        <row r="31">
          <cell r="A31" t="str">
            <v>Savings from employment</v>
          </cell>
        </row>
        <row r="32">
          <cell r="A32" t="str">
            <v>Income (Employment)</v>
          </cell>
        </row>
        <row r="33">
          <cell r="A33" t="str">
            <v>Income , monthly</v>
          </cell>
        </row>
        <row r="34">
          <cell r="A34" t="str">
            <v>Expenses, monthly</v>
          </cell>
        </row>
        <row r="35">
          <cell r="A35" t="str">
            <v>Savings, monthly</v>
          </cell>
        </row>
        <row r="36">
          <cell r="A36" t="str">
            <v xml:space="preserve">Savings (annual) </v>
          </cell>
        </row>
        <row r="37">
          <cell r="A37" t="str">
            <v>Savings rate (%)</v>
          </cell>
        </row>
        <row r="39">
          <cell r="A39" t="str">
            <v>Gross Savings (NPV), savings from employment</v>
          </cell>
        </row>
        <row r="40">
          <cell r="A40" t="str">
            <v>NPV total savings</v>
          </cell>
        </row>
        <row r="42">
          <cell r="A42" t="str">
            <v>Cost of car</v>
          </cell>
        </row>
        <row r="43">
          <cell r="A43" t="str">
            <v>Son's education</v>
          </cell>
        </row>
        <row r="44">
          <cell r="A44" t="str">
            <v>Son's wedding</v>
          </cell>
        </row>
        <row r="45">
          <cell r="A45" t="str">
            <v>Total</v>
          </cell>
        </row>
        <row r="46">
          <cell r="A46" t="str">
            <v>Major costs excl Pensions (NPV)</v>
          </cell>
        </row>
        <row r="48">
          <cell r="A48" t="str">
            <v>Net Pension savings (NPV)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showGridLines="0" zoomScale="80" zoomScaleNormal="80" workbookViewId="0">
      <selection activeCell="B11" sqref="B11"/>
    </sheetView>
  </sheetViews>
  <sheetFormatPr defaultRowHeight="15"/>
  <cols>
    <col min="1" max="1" width="20.28515625" style="56" customWidth="1"/>
    <col min="2" max="5" width="10.7109375" style="56" customWidth="1"/>
    <col min="6" max="6" width="18.5703125" style="56" customWidth="1"/>
    <col min="7" max="7" width="22.85546875" style="69" customWidth="1"/>
    <col min="8" max="14" width="10.7109375" style="56" customWidth="1"/>
    <col min="15" max="15" width="9.140625" style="56"/>
    <col min="16" max="16" width="29.85546875" style="56" bestFit="1" customWidth="1"/>
    <col min="17" max="21" width="10.7109375" style="56" customWidth="1"/>
    <col min="22" max="16384" width="9.140625" style="56"/>
  </cols>
  <sheetData>
    <row r="1" spans="1:26">
      <c r="A1" s="85"/>
      <c r="B1" s="74"/>
      <c r="C1" s="74"/>
      <c r="D1" s="74"/>
      <c r="E1" s="74"/>
      <c r="F1" s="74"/>
      <c r="G1" s="68"/>
      <c r="H1" s="57"/>
      <c r="O1" s="63"/>
      <c r="V1" s="55"/>
      <c r="W1" s="55"/>
      <c r="X1" s="55"/>
    </row>
    <row r="2" spans="1:26">
      <c r="A2" s="84"/>
      <c r="B2" s="86"/>
      <c r="C2" s="86"/>
      <c r="D2" s="86"/>
      <c r="E2" s="86"/>
      <c r="F2" s="86"/>
      <c r="G2" s="68"/>
      <c r="H2" s="57"/>
      <c r="O2" s="59"/>
      <c r="V2" s="55"/>
      <c r="W2" s="55"/>
      <c r="X2" s="55"/>
    </row>
    <row r="3" spans="1:26">
      <c r="A3" s="46" t="s">
        <v>20</v>
      </c>
      <c r="B3" s="182" t="s">
        <v>22</v>
      </c>
      <c r="C3" s="182"/>
      <c r="D3" s="182"/>
      <c r="E3" s="182"/>
      <c r="F3" s="182"/>
      <c r="G3" s="182"/>
      <c r="H3" s="183"/>
      <c r="P3" s="59"/>
      <c r="W3" s="55"/>
      <c r="X3" s="55"/>
      <c r="Y3" s="55"/>
    </row>
    <row r="4" spans="1:26" s="69" customFormat="1" ht="30">
      <c r="A4" s="87" t="s">
        <v>87</v>
      </c>
      <c r="B4" s="67" t="s">
        <v>73</v>
      </c>
      <c r="C4" s="67" t="s">
        <v>75</v>
      </c>
      <c r="D4" s="67" t="s">
        <v>78</v>
      </c>
      <c r="E4" s="67" t="s">
        <v>9</v>
      </c>
      <c r="F4" s="67" t="s">
        <v>11</v>
      </c>
      <c r="G4" s="67" t="s">
        <v>12</v>
      </c>
      <c r="H4" s="88" t="s">
        <v>15</v>
      </c>
      <c r="P4" s="67"/>
      <c r="W4" s="68"/>
      <c r="X4" s="68"/>
      <c r="Y4" s="68"/>
      <c r="Z4" s="68"/>
    </row>
    <row r="5" spans="1:26">
      <c r="A5" s="92" t="s">
        <v>1</v>
      </c>
      <c r="B5" s="61">
        <v>0.5</v>
      </c>
      <c r="C5" s="61"/>
      <c r="D5" s="61"/>
      <c r="E5" s="61"/>
      <c r="F5" s="61">
        <v>0.3</v>
      </c>
      <c r="G5" s="61">
        <v>0.2</v>
      </c>
      <c r="H5" s="95"/>
      <c r="P5" s="50"/>
    </row>
    <row r="6" spans="1:26">
      <c r="A6" s="93" t="s">
        <v>0</v>
      </c>
      <c r="B6" s="61"/>
      <c r="C6" s="61">
        <v>0.5</v>
      </c>
      <c r="D6" s="61">
        <v>0.5</v>
      </c>
      <c r="E6" s="61"/>
      <c r="F6" s="61"/>
      <c r="G6" s="61"/>
      <c r="H6" s="95"/>
      <c r="P6" s="50"/>
    </row>
    <row r="7" spans="1:26">
      <c r="A7" s="47" t="s">
        <v>79</v>
      </c>
      <c r="B7" s="61"/>
      <c r="C7" s="61">
        <v>0.5</v>
      </c>
      <c r="D7" s="61">
        <v>0.5</v>
      </c>
      <c r="E7" s="61"/>
      <c r="F7" s="61"/>
      <c r="G7" s="61"/>
      <c r="H7" s="95"/>
      <c r="P7" s="50"/>
    </row>
    <row r="8" spans="1:26">
      <c r="A8" s="97" t="s">
        <v>91</v>
      </c>
      <c r="B8" s="61"/>
      <c r="C8" s="61">
        <v>1</v>
      </c>
      <c r="D8" s="61"/>
      <c r="E8" s="61"/>
      <c r="F8" s="61"/>
      <c r="G8" s="61"/>
      <c r="H8" s="95"/>
      <c r="P8" s="50"/>
    </row>
    <row r="9" spans="1:26">
      <c r="A9" s="94" t="s">
        <v>90</v>
      </c>
      <c r="B9" s="62">
        <v>1</v>
      </c>
      <c r="C9" s="62"/>
      <c r="D9" s="62"/>
      <c r="E9" s="62"/>
      <c r="F9" s="62"/>
      <c r="G9" s="62"/>
      <c r="H9" s="96"/>
      <c r="P9" s="50"/>
    </row>
    <row r="10" spans="1:26">
      <c r="A10" s="53"/>
      <c r="B10" s="50"/>
      <c r="C10" s="50"/>
      <c r="D10" s="50"/>
      <c r="E10" s="50"/>
      <c r="F10" s="50"/>
      <c r="G10" s="67"/>
      <c r="H10" s="5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6" ht="30">
      <c r="A11" s="85" t="s">
        <v>88</v>
      </c>
      <c r="B11" s="89"/>
      <c r="C11" s="89"/>
      <c r="D11" s="89"/>
      <c r="E11" s="89"/>
      <c r="F11" s="89"/>
      <c r="G11" s="89"/>
      <c r="H11" s="90"/>
      <c r="I11" s="50"/>
      <c r="J11" s="50"/>
      <c r="K11" s="50"/>
      <c r="L11" s="50"/>
      <c r="M11" s="50"/>
      <c r="N11" s="50"/>
      <c r="O11" s="58"/>
      <c r="P11" s="50"/>
      <c r="Q11" s="50"/>
      <c r="R11" s="50"/>
      <c r="S11" s="50"/>
      <c r="T11" s="50"/>
      <c r="U11" s="50"/>
      <c r="V11" s="57"/>
      <c r="W11" s="57"/>
      <c r="X11" s="57"/>
      <c r="Y11" s="57"/>
    </row>
    <row r="12" spans="1:26">
      <c r="A12" s="92" t="s">
        <v>1</v>
      </c>
      <c r="B12" s="64">
        <v>0.4</v>
      </c>
      <c r="C12" s="50"/>
      <c r="D12" s="50"/>
      <c r="E12" s="50"/>
      <c r="F12" s="64">
        <v>0.3</v>
      </c>
      <c r="G12" s="64">
        <v>0.3</v>
      </c>
      <c r="H12" s="51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6">
      <c r="A13" s="93" t="s">
        <v>0</v>
      </c>
      <c r="B13" s="50"/>
      <c r="C13" s="64">
        <v>0.5</v>
      </c>
      <c r="D13" s="64">
        <v>0.5</v>
      </c>
      <c r="E13" s="50"/>
      <c r="F13" s="64"/>
      <c r="G13" s="64"/>
      <c r="H13" s="51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6">
      <c r="A14" s="47" t="s">
        <v>79</v>
      </c>
      <c r="B14" s="50"/>
      <c r="C14" s="64">
        <v>0.5</v>
      </c>
      <c r="D14" s="64">
        <v>0.5</v>
      </c>
      <c r="E14" s="50"/>
      <c r="F14" s="50"/>
      <c r="G14" s="50"/>
      <c r="H14" s="51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6">
      <c r="A15" s="97" t="s">
        <v>91</v>
      </c>
      <c r="B15" s="50"/>
      <c r="C15" s="64">
        <v>0.7</v>
      </c>
      <c r="D15" s="50"/>
      <c r="E15" s="64">
        <v>0.3</v>
      </c>
      <c r="F15" s="50"/>
      <c r="G15" s="50"/>
      <c r="H15" s="51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6">
      <c r="A16" s="94" t="s">
        <v>90</v>
      </c>
      <c r="B16" s="65">
        <v>0.6</v>
      </c>
      <c r="C16" s="60">
        <v>0.2</v>
      </c>
      <c r="D16" s="52"/>
      <c r="E16" s="65"/>
      <c r="F16" s="52"/>
      <c r="G16" s="52"/>
      <c r="H16" s="66">
        <v>0.2</v>
      </c>
      <c r="I16" s="54"/>
      <c r="J16" s="54"/>
      <c r="K16" s="54"/>
      <c r="L16" s="54"/>
      <c r="M16" s="54"/>
      <c r="N16" s="54"/>
      <c r="O16" s="58"/>
      <c r="P16" s="58"/>
      <c r="Q16" s="58"/>
      <c r="R16" s="58"/>
      <c r="S16" s="58"/>
      <c r="T16" s="58"/>
      <c r="U16" s="58"/>
    </row>
    <row r="17" spans="1:21">
      <c r="A17" s="92"/>
      <c r="B17" s="50"/>
      <c r="C17" s="50"/>
      <c r="D17" s="50"/>
      <c r="E17" s="50"/>
      <c r="F17" s="50"/>
      <c r="G17" s="67"/>
      <c r="H17" s="51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 ht="30">
      <c r="A18" s="120" t="s">
        <v>89</v>
      </c>
      <c r="B18" s="89"/>
      <c r="C18" s="89"/>
      <c r="D18" s="89"/>
      <c r="E18" s="89"/>
      <c r="F18" s="89"/>
      <c r="G18" s="89"/>
      <c r="H18" s="90"/>
      <c r="I18" s="69"/>
    </row>
    <row r="19" spans="1:21">
      <c r="A19" s="92" t="s">
        <v>1</v>
      </c>
      <c r="B19" s="64">
        <v>0.3</v>
      </c>
      <c r="C19" s="50"/>
      <c r="D19" s="50"/>
      <c r="E19" s="64">
        <v>0.7</v>
      </c>
      <c r="F19" s="64"/>
      <c r="G19" s="64"/>
      <c r="H19" s="51"/>
      <c r="I19" s="69"/>
    </row>
    <row r="20" spans="1:21">
      <c r="A20" s="93" t="s">
        <v>0</v>
      </c>
      <c r="B20" s="50"/>
      <c r="C20" s="64">
        <v>0.5</v>
      </c>
      <c r="D20" s="64">
        <v>0.5</v>
      </c>
      <c r="E20" s="64"/>
      <c r="F20" s="64"/>
      <c r="G20" s="64"/>
      <c r="H20" s="51"/>
      <c r="I20" s="69"/>
    </row>
    <row r="21" spans="1:21">
      <c r="A21" s="47" t="s">
        <v>79</v>
      </c>
      <c r="B21" s="50"/>
      <c r="C21" s="64">
        <v>0.5</v>
      </c>
      <c r="D21" s="64">
        <v>0.5</v>
      </c>
      <c r="E21" s="50"/>
      <c r="F21" s="50"/>
      <c r="G21" s="50"/>
      <c r="H21" s="51"/>
      <c r="I21" s="69"/>
    </row>
    <row r="22" spans="1:21">
      <c r="A22" s="97" t="s">
        <v>91</v>
      </c>
      <c r="B22" s="50"/>
      <c r="C22" s="64">
        <v>0.5</v>
      </c>
      <c r="D22" s="50"/>
      <c r="E22" s="64">
        <v>0.5</v>
      </c>
      <c r="F22" s="64"/>
      <c r="G22" s="64"/>
      <c r="H22" s="51"/>
      <c r="I22" s="69"/>
    </row>
    <row r="23" spans="1:21">
      <c r="A23" s="94" t="s">
        <v>90</v>
      </c>
      <c r="B23" s="65">
        <v>0.2</v>
      </c>
      <c r="C23" s="65">
        <v>0.6</v>
      </c>
      <c r="D23" s="52"/>
      <c r="E23" s="65"/>
      <c r="F23" s="65"/>
      <c r="G23" s="65"/>
      <c r="H23" s="66">
        <v>0.2</v>
      </c>
      <c r="I23" s="69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30"/>
  <sheetViews>
    <sheetView topLeftCell="A3" workbookViewId="0">
      <selection activeCell="D23" sqref="D23"/>
    </sheetView>
  </sheetViews>
  <sheetFormatPr defaultRowHeight="15"/>
  <cols>
    <col min="1" max="1" width="3.5703125" customWidth="1"/>
    <col min="2" max="2" width="19.85546875" style="119" bestFit="1" customWidth="1"/>
    <col min="3" max="3" width="12.85546875" style="119" bestFit="1" customWidth="1"/>
    <col min="4" max="4" width="11.5703125" style="119" bestFit="1" customWidth="1"/>
    <col min="5" max="5" width="11.140625" customWidth="1"/>
    <col min="6" max="6" width="14.85546875" bestFit="1" customWidth="1"/>
    <col min="7" max="7" width="12.5703125" bestFit="1" customWidth="1"/>
    <col min="8" max="8" width="18.85546875" hidden="1" customWidth="1"/>
    <col min="9" max="9" width="14.85546875" customWidth="1"/>
    <col min="10" max="10" width="11.42578125" bestFit="1" customWidth="1"/>
    <col min="11" max="11" width="10.85546875" customWidth="1"/>
    <col min="15" max="15" width="13.42578125" bestFit="1" customWidth="1"/>
  </cols>
  <sheetData>
    <row r="1" spans="2:17">
      <c r="B1"/>
      <c r="C1"/>
      <c r="D1"/>
    </row>
    <row r="2" spans="2:17">
      <c r="B2"/>
      <c r="C2"/>
      <c r="D2"/>
    </row>
    <row r="3" spans="2:17">
      <c r="B3" s="101" t="s">
        <v>63</v>
      </c>
      <c r="C3" s="102"/>
      <c r="D3" s="102"/>
      <c r="E3" s="102"/>
      <c r="F3" s="102"/>
      <c r="G3" s="102"/>
      <c r="H3" s="102"/>
      <c r="I3" s="102"/>
      <c r="J3" s="184" t="s">
        <v>93</v>
      </c>
      <c r="K3" s="185"/>
      <c r="L3" s="185"/>
      <c r="M3" s="185"/>
      <c r="N3" s="185"/>
      <c r="O3" s="185"/>
      <c r="P3" s="186"/>
    </row>
    <row r="4" spans="2:17" ht="45.75" thickBot="1">
      <c r="B4" s="77" t="s">
        <v>20</v>
      </c>
      <c r="C4" s="75" t="s">
        <v>64</v>
      </c>
      <c r="D4" s="78" t="s">
        <v>65</v>
      </c>
      <c r="E4" s="78" t="s">
        <v>84</v>
      </c>
      <c r="F4" s="78"/>
      <c r="G4" s="75" t="s">
        <v>66</v>
      </c>
      <c r="H4" s="75" t="s">
        <v>67</v>
      </c>
      <c r="I4" s="75" t="s">
        <v>86</v>
      </c>
      <c r="J4" s="98" t="s">
        <v>73</v>
      </c>
      <c r="K4" s="98" t="s">
        <v>92</v>
      </c>
      <c r="L4" s="98" t="s">
        <v>78</v>
      </c>
      <c r="M4" s="98" t="s">
        <v>9</v>
      </c>
      <c r="N4" s="98" t="s">
        <v>11</v>
      </c>
      <c r="O4" s="98" t="s">
        <v>12</v>
      </c>
      <c r="P4" s="99" t="s">
        <v>15</v>
      </c>
    </row>
    <row r="5" spans="2:17">
      <c r="B5" s="47" t="s">
        <v>1</v>
      </c>
      <c r="C5" s="143">
        <v>9095439</v>
      </c>
      <c r="D5" s="144">
        <v>55336</v>
      </c>
      <c r="E5" s="76">
        <f t="shared" ref="E5:E7" ca="1" si="0">(+D5-$C$17)/365</f>
        <v>34.794520547945204</v>
      </c>
      <c r="F5" s="76" t="str">
        <f>+B5</f>
        <v>Retirement</v>
      </c>
      <c r="G5" s="145">
        <v>7534</v>
      </c>
      <c r="H5" s="48">
        <f>+IF(G5&lt;=C16,G5,C16)</f>
        <v>7534</v>
      </c>
      <c r="I5" s="79">
        <f>+IF(H5&gt;0,H5,0)</f>
        <v>7534</v>
      </c>
      <c r="J5" s="91">
        <f>IF(EXACT($D$15,"Case 1"),VLOOKUP($F5,Cases!$A$3:$H$10,2,FALSE),IF(EXACT(Goals!$D$15,"Case 2"),VLOOKUP($F5,Cases!$A$11:$H$16,2,FALSE),IF(EXACT(Goals!$D$15,"Case 3"),VLOOKUP($F5,Cases!$A$18:$H$23,2,FALSE))))</f>
        <v>0.5</v>
      </c>
      <c r="K5" s="91">
        <f>IF(EXACT($D$15,"Case 1"),VLOOKUP($F5,Cases!$A$3:$H$10,3,FALSE),IF(EXACT(Goals!$D$15,"Case 2"),VLOOKUP($F5,Cases!$A$11:$H$16,3,FALSE),IF(EXACT(Goals!$D$15,"Case 3"),VLOOKUP($F5,Cases!$A$18:$H$23,3,FALSE))))</f>
        <v>0</v>
      </c>
      <c r="L5" s="91">
        <f>IF(EXACT($D$15,"Case 1"),VLOOKUP($F5,Cases!$A$3:$H$10,4,FALSE),IF(EXACT(Goals!$D$15,"Case 2"),VLOOKUP($F5,Cases!$A$11:$H$16,4,FALSE),IF(EXACT(Goals!$D$15,"Case 3"),VLOOKUP($F5,Cases!$A$18:$H$23,4,FALSE))))</f>
        <v>0</v>
      </c>
      <c r="M5" s="91">
        <f>IF(EXACT($D$15,"Case 1"),VLOOKUP($F5,Cases!$A$3:$H$10,5,FALSE),IF(EXACT(Goals!$D$15,"Case 2"),VLOOKUP($F5,Cases!$A$11:$H$16,5,FALSE),IF(EXACT(Goals!$D$15,"Case 3"),VLOOKUP($F5,Cases!$A$18:$H$23,5,FALSE))))</f>
        <v>0</v>
      </c>
      <c r="N5" s="91">
        <f>IF(EXACT($D$15,"Case 1"),VLOOKUP($F5,Cases!$A$3:$H$10,6,FALSE),IF(EXACT(Goals!$D$15,"Case 2"),VLOOKUP($F5,Cases!$A$11:$H$16,6,FALSE),IF(EXACT(Goals!$D$15,"Case 3"),VLOOKUP($F5,Cases!$A$18:$H$23,6,FALSE))))</f>
        <v>0.3</v>
      </c>
      <c r="O5" s="91">
        <f>IF(EXACT($D$15,"Case 1"),VLOOKUP($F5,Cases!$A$3:$H$10,7,FALSE),IF(EXACT(Goals!$D$15,"Case 2"),VLOOKUP($F5,Cases!$A$11:$H$16,7,FALSE),IF(EXACT(Goals!$D$15,"Case 3"),VLOOKUP($F5,Cases!$A$18:$H$23,7,FALSE))))</f>
        <v>0.2</v>
      </c>
      <c r="P5" s="100">
        <f>IF(EXACT($D$15,"Case 1"),VLOOKUP($F5,Cases!$A$3:$H$10,8,FALSE),IF(EXACT(Goals!$D$15,"Case 2"),VLOOKUP($F5,Cases!$A$11:$H$16,8,FALSE),IF(EXACT(Goals!$D$15,"Case 3"),VLOOKUP($F5,Cases!$A$18:$H$23,8,FALSE))))</f>
        <v>0</v>
      </c>
      <c r="Q5" s="3"/>
    </row>
    <row r="6" spans="2:17">
      <c r="B6" s="47" t="s">
        <v>0</v>
      </c>
      <c r="C6" s="146">
        <v>245000</v>
      </c>
      <c r="D6" s="144">
        <v>42948</v>
      </c>
      <c r="E6" s="76">
        <f t="shared" ca="1" si="0"/>
        <v>0.85479452054794525</v>
      </c>
      <c r="F6" s="76" t="str">
        <f t="shared" ref="F6:F7" si="1">+B6</f>
        <v>Emergency Fund</v>
      </c>
      <c r="G6" s="145">
        <f>D24</f>
        <v>21676.024434146675</v>
      </c>
      <c r="H6" s="48">
        <f>+IF(SUM(G5:G6)&lt;=C16,G6,C16-G5)</f>
        <v>21676.024434146675</v>
      </c>
      <c r="I6" s="79">
        <f t="shared" ref="I6:I12" si="2">+IF(H6&gt;0,H6,0)</f>
        <v>21676.024434146675</v>
      </c>
      <c r="J6" s="91">
        <f>IF(EXACT($D$15,"Case 1"),VLOOKUP($F6,Cases!$A$3:$H$10,2,FALSE),IF(EXACT(Goals!$D$15,"Case 2"),VLOOKUP($F6,Cases!$A$11:$H$16,2,FALSE),IF(EXACT(Goals!$D$15,"Case 3"),VLOOKUP($F6,Cases!$A$18:$H$23,2,FALSE))))</f>
        <v>0</v>
      </c>
      <c r="K6" s="91">
        <f>IF(EXACT($D$15,"Case 1"),VLOOKUP($F6,Cases!$A$3:$H$10,3,FALSE),IF(EXACT(Goals!$D$15,"Case 2"),VLOOKUP($F6,Cases!$A$11:$H$16,3,FALSE),IF(EXACT(Goals!$D$15,"Case 3"),VLOOKUP($F6,Cases!$A$18:$H$23,3,FALSE))))</f>
        <v>0.5</v>
      </c>
      <c r="L6" s="91">
        <f>IF(EXACT($D$15,"Case 1"),VLOOKUP($F6,Cases!$A$3:$H$10,4,FALSE),IF(EXACT(Goals!$D$15,"Case 2"),VLOOKUP($F6,Cases!$A$11:$H$16,4,FALSE),IF(EXACT(Goals!$D$15,"Case 3"),VLOOKUP($F6,Cases!$A$18:$H$23,4,FALSE))))</f>
        <v>0.5</v>
      </c>
      <c r="M6" s="91">
        <f>IF(EXACT($D$15,"Case 1"),VLOOKUP($F6,Cases!$A$3:$H$10,5,FALSE),IF(EXACT(Goals!$D$15,"Case 2"),VLOOKUP($F6,Cases!$A$11:$H$16,5,FALSE),IF(EXACT(Goals!$D$15,"Case 3"),VLOOKUP($F6,Cases!$A$18:$H$23,5,FALSE))))</f>
        <v>0</v>
      </c>
      <c r="N6" s="91">
        <f>IF(EXACT($D$15,"Case 1"),VLOOKUP($F6,Cases!$A$3:$H$10,6,FALSE),IF(EXACT(Goals!$D$15,"Case 2"),VLOOKUP($F6,Cases!$A$11:$H$16,6,FALSE),IF(EXACT(Goals!$D$15,"Case 3"),VLOOKUP($F6,Cases!$A$18:$H$23,6,FALSE))))</f>
        <v>0</v>
      </c>
      <c r="O6" s="91">
        <f>IF(EXACT($D$15,"Case 1"),VLOOKUP($F6,Cases!$A$3:$H$10,7,FALSE),IF(EXACT(Goals!$D$15,"Case 2"),VLOOKUP($F6,Cases!$A$11:$H$16,7,FALSE),IF(EXACT(Goals!$D$15,"Case 3"),VLOOKUP($F6,Cases!$A$18:$H$23,7,FALSE))))</f>
        <v>0</v>
      </c>
      <c r="P6" s="100">
        <f>IF(EXACT($D$15,"Case 1"),VLOOKUP($F6,Cases!$A$3:$H$10,8,FALSE),IF(EXACT(Goals!$D$15,"Case 2"),VLOOKUP($F6,Cases!$A$11:$H$16,8,FALSE),IF(EXACT(Goals!$D$15,"Case 3"),VLOOKUP($F6,Cases!$A$18:$H$23,8,FALSE))))</f>
        <v>0</v>
      </c>
      <c r="Q6" s="3"/>
    </row>
    <row r="7" spans="2:17" hidden="1">
      <c r="B7" s="47" t="s">
        <v>79</v>
      </c>
      <c r="C7" s="147"/>
      <c r="D7" s="148">
        <v>43621</v>
      </c>
      <c r="E7" s="76">
        <f t="shared" ca="1" si="0"/>
        <v>2.6986301369863015</v>
      </c>
      <c r="F7" s="76" t="str">
        <f t="shared" si="1"/>
        <v>Payback Loans</v>
      </c>
      <c r="G7" s="145">
        <v>0</v>
      </c>
      <c r="H7" s="48">
        <f>+IF(SUM(G5:G7)&lt;=C16,G7,C16-G5-G6)</f>
        <v>0</v>
      </c>
      <c r="I7" s="79">
        <f t="shared" si="2"/>
        <v>0</v>
      </c>
      <c r="J7" s="91">
        <f>IF(EXACT($D$15,"Case 1"),VLOOKUP($F7,Cases!$A$3:$H$10,2,FALSE),IF(EXACT(Goals!$D$15,"Case 2"),VLOOKUP($F7,Cases!$A$11:$H$16,2,FALSE),IF(EXACT(Goals!$D$15,"Case 3"),VLOOKUP($F7,Cases!$A$18:$H$23,2,FALSE))))</f>
        <v>0</v>
      </c>
      <c r="K7" s="91">
        <f>IF(EXACT($D$15,"Case 1"),VLOOKUP($F7,Cases!$A$3:$H$10,3,FALSE),IF(EXACT(Goals!$D$15,"Case 2"),VLOOKUP($F7,Cases!$A$11:$H$16,3,FALSE),IF(EXACT(Goals!$D$15,"Case 3"),VLOOKUP($F7,Cases!$A$18:$H$23,3,FALSE))))</f>
        <v>0.5</v>
      </c>
      <c r="L7" s="91">
        <f>IF(EXACT($D$15,"Case 1"),VLOOKUP($F7,Cases!$A$3:$H$10,4,FALSE),IF(EXACT(Goals!$D$15,"Case 2"),VLOOKUP($F7,Cases!$A$11:$H$16,4,FALSE),IF(EXACT(Goals!$D$15,"Case 3"),VLOOKUP($F7,Cases!$A$18:$H$23,4,FALSE))))</f>
        <v>0.5</v>
      </c>
      <c r="M7" s="91">
        <f>IF(EXACT($D$15,"Case 1"),VLOOKUP($F7,Cases!$A$3:$H$10,5,FALSE),IF(EXACT(Goals!$D$15,"Case 2"),VLOOKUP($F7,Cases!$A$11:$H$16,5,FALSE),IF(EXACT(Goals!$D$15,"Case 3"),VLOOKUP($F7,Cases!$A$18:$H$23,5,FALSE))))</f>
        <v>0</v>
      </c>
      <c r="N7" s="91">
        <f>IF(EXACT($D$15,"Case 1"),VLOOKUP($F7,Cases!$A$3:$H$10,6,FALSE),IF(EXACT(Goals!$D$15,"Case 2"),VLOOKUP($F7,Cases!$A$11:$H$16,6,FALSE),IF(EXACT(Goals!$D$15,"Case 3"),VLOOKUP($F7,Cases!$A$18:$H$23,6,FALSE))))</f>
        <v>0</v>
      </c>
      <c r="O7" s="91">
        <f>IF(EXACT($D$15,"Case 1"),VLOOKUP($F7,Cases!$A$3:$H$10,7,FALSE),IF(EXACT(Goals!$D$15,"Case 2"),VLOOKUP($F7,Cases!$A$11:$H$16,7,FALSE),IF(EXACT(Goals!$D$15,"Case 3"),VLOOKUP($F7,Cases!$A$18:$H$23,7,FALSE))))</f>
        <v>0</v>
      </c>
      <c r="P7" s="100">
        <f>IF(EXACT($D$15,"Case 1"),VLOOKUP($F7,Cases!$A$3:$H$10,8,FALSE),IF(EXACT(Goals!$D$15,"Case 2"),VLOOKUP($F7,Cases!$A$11:$H$16,8,FALSE),IF(EXACT(Goals!$D$15,"Case 3"),VLOOKUP($F7,Cases!$A$18:$H$23,8,FALSE))))</f>
        <v>0</v>
      </c>
      <c r="Q7" s="3"/>
    </row>
    <row r="8" spans="2:17">
      <c r="B8" s="47" t="s">
        <v>108</v>
      </c>
      <c r="C8" s="147">
        <v>150000</v>
      </c>
      <c r="D8" s="144">
        <v>43100</v>
      </c>
      <c r="E8" s="76">
        <f ca="1">(+D8-$C$17)/365</f>
        <v>1.2712328767123289</v>
      </c>
      <c r="F8" s="76" t="str">
        <f t="shared" ref="F8:F12" ca="1" si="3">+IF(E8&gt;3,"Long Term","Short Term")</f>
        <v>Short Term</v>
      </c>
      <c r="G8" s="145">
        <v>8058</v>
      </c>
      <c r="H8" s="48">
        <f>+IF(SUM(G5:G8)&lt;=C16,G8,C16-G5-G6-G7)</f>
        <v>5789.975565853325</v>
      </c>
      <c r="I8" s="79">
        <f t="shared" si="2"/>
        <v>5789.975565853325</v>
      </c>
      <c r="J8" s="91">
        <f ca="1">IF(EXACT($D$15,"Case 1"),VLOOKUP($F8,Cases!$A$3:$H$10,2,FALSE),IF(EXACT(Goals!$D$15,"Case 2"),VLOOKUP($F8,Cases!$A$11:$H$16,2,FALSE),IF(EXACT(Goals!$D$15,"Case 3"),VLOOKUP($F8,Cases!$A$18:$H$23,2,FALSE))))</f>
        <v>0</v>
      </c>
      <c r="K8" s="91">
        <f ca="1">IF(EXACT($D$15,"Case 1"),VLOOKUP($F8,Cases!$A$3:$H$10,3,FALSE),IF(EXACT(Goals!$D$15,"Case 2"),VLOOKUP($F8,Cases!$A$11:$H$16,3,FALSE),IF(EXACT(Goals!$D$15,"Case 3"),VLOOKUP($F8,Cases!$A$18:$H$23,3,FALSE))))</f>
        <v>1</v>
      </c>
      <c r="L8" s="91">
        <f ca="1">IF(EXACT($D$15,"Case 1"),VLOOKUP($F8,Cases!$A$3:$H$10,4,FALSE),IF(EXACT(Goals!$D$15,"Case 2"),VLOOKUP($F8,Cases!$A$11:$H$16,4,FALSE),IF(EXACT(Goals!$D$15,"Case 3"),VLOOKUP($F8,Cases!$A$18:$H$23,4,FALSE))))</f>
        <v>0</v>
      </c>
      <c r="M8" s="91">
        <f ca="1">IF(EXACT($D$15,"Case 1"),VLOOKUP($F8,Cases!$A$3:$H$10,5,FALSE),IF(EXACT(Goals!$D$15,"Case 2"),VLOOKUP($F8,Cases!$A$11:$H$16,5,FALSE),IF(EXACT(Goals!$D$15,"Case 3"),VLOOKUP($F8,Cases!$A$18:$H$23,5,FALSE))))</f>
        <v>0</v>
      </c>
      <c r="N8" s="91">
        <f ca="1">IF(EXACT($D$15,"Case 1"),VLOOKUP($F8,Cases!$A$3:$H$10,6,FALSE),IF(EXACT(Goals!$D$15,"Case 2"),VLOOKUP($F8,Cases!$A$11:$H$16,6,FALSE),IF(EXACT(Goals!$D$15,"Case 3"),VLOOKUP($F8,Cases!$A$18:$H$23,6,FALSE))))</f>
        <v>0</v>
      </c>
      <c r="O8" s="91">
        <f ca="1">IF(EXACT($D$15,"Case 1"),VLOOKUP($F8,Cases!$A$3:$H$10,7,FALSE),IF(EXACT(Goals!$D$15,"Case 2"),VLOOKUP($F8,Cases!$A$11:$H$16,7,FALSE),IF(EXACT(Goals!$D$15,"Case 3"),VLOOKUP($F8,Cases!$A$18:$H$23,7,FALSE))))</f>
        <v>0</v>
      </c>
      <c r="P8" s="100">
        <f ca="1">IF(EXACT($D$15,"Case 1"),VLOOKUP($F8,Cases!$A$3:$H$10,8,FALSE),IF(EXACT(Goals!$D$15,"Case 2"),VLOOKUP($F8,Cases!$A$11:$H$16,8,FALSE),IF(EXACT(Goals!$D$15,"Case 3"),VLOOKUP($F8,Cases!$A$18:$H$23,8,FALSE))))</f>
        <v>0</v>
      </c>
      <c r="Q8" s="3"/>
    </row>
    <row r="9" spans="2:17">
      <c r="B9" s="47" t="s">
        <v>110</v>
      </c>
      <c r="C9" s="147">
        <v>200000</v>
      </c>
      <c r="D9" s="149">
        <v>43465</v>
      </c>
      <c r="E9" s="76">
        <f t="shared" ref="E9:E12" ca="1" si="4">(+D9-$C$17)/365</f>
        <v>2.2712328767123289</v>
      </c>
      <c r="F9" s="76" t="str">
        <f t="shared" ca="1" si="3"/>
        <v>Short Term</v>
      </c>
      <c r="G9" s="150">
        <v>4405</v>
      </c>
      <c r="H9" s="48">
        <f>+IF(SUM(G5:G9)&lt;=C16,G9,C16-G5-G6-G7-G8)</f>
        <v>-2268.024434146675</v>
      </c>
      <c r="I9" s="79">
        <f t="shared" si="2"/>
        <v>0</v>
      </c>
      <c r="J9" s="91">
        <f ca="1">IF(EXACT($D$15,"Case 1"),VLOOKUP($F9,Cases!$A$3:$H$10,2,FALSE),IF(EXACT(Goals!$D$15,"Case 2"),VLOOKUP($F9,Cases!$A$11:$H$16,2,FALSE),IF(EXACT(Goals!$D$15,"Case 3"),VLOOKUP($F9,Cases!$A$18:$H$23,2,FALSE))))</f>
        <v>0</v>
      </c>
      <c r="K9" s="91">
        <f ca="1">IF(EXACT($D$15,"Case 1"),VLOOKUP($F9,Cases!$A$3:$H$10,3,FALSE),IF(EXACT(Goals!$D$15,"Case 2"),VLOOKUP($F9,Cases!$A$11:$H$16,3,FALSE),IF(EXACT(Goals!$D$15,"Case 3"),VLOOKUP($F9,Cases!$A$18:$H$23,3,FALSE))))</f>
        <v>1</v>
      </c>
      <c r="L9" s="91">
        <f ca="1">IF(EXACT($D$15,"Case 1"),VLOOKUP($F9,Cases!$A$3:$H$10,4,FALSE),IF(EXACT(Goals!$D$15,"Case 2"),VLOOKUP($F9,Cases!$A$11:$H$16,4,FALSE),IF(EXACT(Goals!$D$15,"Case 3"),VLOOKUP($F9,Cases!$A$18:$H$23,4,FALSE))))</f>
        <v>0</v>
      </c>
      <c r="M9" s="91">
        <f ca="1">IF(EXACT($D$15,"Case 1"),VLOOKUP($F9,Cases!$A$3:$H$10,5,FALSE),IF(EXACT(Goals!$D$15,"Case 2"),VLOOKUP($F9,Cases!$A$11:$H$16,5,FALSE),IF(EXACT(Goals!$D$15,"Case 3"),VLOOKUP($F9,Cases!$A$18:$H$23,5,FALSE))))</f>
        <v>0</v>
      </c>
      <c r="N9" s="91">
        <f ca="1">IF(EXACT($D$15,"Case 1"),VLOOKUP($F9,Cases!$A$3:$H$10,6,FALSE),IF(EXACT(Goals!$D$15,"Case 2"),VLOOKUP($F9,Cases!$A$11:$H$16,6,FALSE),IF(EXACT(Goals!$D$15,"Case 3"),VLOOKUP($F9,Cases!$A$18:$H$23,6,FALSE))))</f>
        <v>0</v>
      </c>
      <c r="O9" s="91">
        <f ca="1">IF(EXACT($D$15,"Case 1"),VLOOKUP($F9,Cases!$A$3:$H$10,7,FALSE),IF(EXACT(Goals!$D$15,"Case 2"),VLOOKUP($F9,Cases!$A$11:$H$16,7,FALSE),IF(EXACT(Goals!$D$15,"Case 3"),VLOOKUP($F9,Cases!$A$18:$H$23,7,FALSE))))</f>
        <v>0</v>
      </c>
      <c r="P9" s="100">
        <f ca="1">IF(EXACT($D$15,"Case 1"),VLOOKUP($F9,Cases!$A$3:$H$10,8,FALSE),IF(EXACT(Goals!$D$15,"Case 2"),VLOOKUP($F9,Cases!$A$11:$H$16,8,FALSE),IF(EXACT(Goals!$D$15,"Case 3"),VLOOKUP($F9,Cases!$A$18:$H$23,8,FALSE))))</f>
        <v>0</v>
      </c>
      <c r="Q9" s="3"/>
    </row>
    <row r="10" spans="2:17">
      <c r="B10" s="47" t="s">
        <v>109</v>
      </c>
      <c r="C10" s="147">
        <v>1500000</v>
      </c>
      <c r="D10" s="149">
        <v>43465</v>
      </c>
      <c r="E10" s="76">
        <f t="shared" ca="1" si="4"/>
        <v>2.2712328767123289</v>
      </c>
      <c r="F10" s="76" t="str">
        <f t="shared" ca="1" si="3"/>
        <v>Short Term</v>
      </c>
      <c r="G10" s="150">
        <v>50341</v>
      </c>
      <c r="H10" s="48">
        <f>+IF(SUM(G5:G10)&lt;=C16,G10,C16-G5-G6-G7-G8-G9)</f>
        <v>-6673.024434146675</v>
      </c>
      <c r="I10" s="79">
        <f t="shared" si="2"/>
        <v>0</v>
      </c>
      <c r="J10" s="91">
        <f ca="1">IF(EXACT($D$15,"Case 1"),VLOOKUP($F10,Cases!$A$3:$H$10,2,FALSE),IF(EXACT(Goals!$D$15,"Case 2"),VLOOKUP($F10,Cases!$A$11:$H$16,2,FALSE),IF(EXACT(Goals!$D$15,"Case 3"),VLOOKUP($F10,Cases!$A$18:$H$23,2,FALSE))))</f>
        <v>0</v>
      </c>
      <c r="K10" s="91">
        <f ca="1">IF(EXACT($D$15,"Case 1"),VLOOKUP($F10,Cases!$A$3:$H$10,3,FALSE),IF(EXACT(Goals!$D$15,"Case 2"),VLOOKUP($F10,Cases!$A$11:$H$16,3,FALSE),IF(EXACT(Goals!$D$15,"Case 3"),VLOOKUP($F10,Cases!$A$18:$H$23,3,FALSE))))</f>
        <v>1</v>
      </c>
      <c r="L10" s="91">
        <f ca="1">IF(EXACT($D$15,"Case 1"),VLOOKUP($F10,Cases!$A$3:$H$10,4,FALSE),IF(EXACT(Goals!$D$15,"Case 2"),VLOOKUP($F10,Cases!$A$11:$H$16,4,FALSE),IF(EXACT(Goals!$D$15,"Case 3"),VLOOKUP($F10,Cases!$A$18:$H$23,4,FALSE))))</f>
        <v>0</v>
      </c>
      <c r="M10" s="91">
        <f ca="1">IF(EXACT($D$15,"Case 1"),VLOOKUP($F10,Cases!$A$3:$H$10,5,FALSE),IF(EXACT(Goals!$D$15,"Case 2"),VLOOKUP($F10,Cases!$A$11:$H$16,5,FALSE),IF(EXACT(Goals!$D$15,"Case 3"),VLOOKUP($F10,Cases!$A$18:$H$23,5,FALSE))))</f>
        <v>0</v>
      </c>
      <c r="N10" s="91">
        <f ca="1">IF(EXACT($D$15,"Case 1"),VLOOKUP($F10,Cases!$A$3:$H$10,6,FALSE),IF(EXACT(Goals!$D$15,"Case 2"),VLOOKUP($F10,Cases!$A$11:$H$16,6,FALSE),IF(EXACT(Goals!$D$15,"Case 3"),VLOOKUP($F10,Cases!$A$18:$H$23,6,FALSE))))</f>
        <v>0</v>
      </c>
      <c r="O10" s="91">
        <f ca="1">IF(EXACT($D$15,"Case 1"),VLOOKUP($F10,Cases!$A$3:$H$10,7,FALSE),IF(EXACT(Goals!$D$15,"Case 2"),VLOOKUP($F10,Cases!$A$11:$H$16,7,FALSE),IF(EXACT(Goals!$D$15,"Case 3"),VLOOKUP($F10,Cases!$A$18:$H$23,7,FALSE))))</f>
        <v>0</v>
      </c>
      <c r="P10" s="100">
        <f ca="1">IF(EXACT($D$15,"Case 1"),VLOOKUP($F10,Cases!$A$3:$H$10,8,FALSE),IF(EXACT(Goals!$D$15,"Case 2"),VLOOKUP($F10,Cases!$A$11:$H$16,8,FALSE),IF(EXACT(Goals!$D$15,"Case 3"),VLOOKUP($F10,Cases!$A$18:$H$23,8,FALSE))))</f>
        <v>0</v>
      </c>
      <c r="Q10" s="3"/>
    </row>
    <row r="11" spans="2:17" hidden="1">
      <c r="B11" s="47" t="s">
        <v>82</v>
      </c>
      <c r="C11" s="80"/>
      <c r="D11" s="82">
        <v>43475</v>
      </c>
      <c r="E11" s="76">
        <f t="shared" ca="1" si="4"/>
        <v>2.2986301369863016</v>
      </c>
      <c r="F11" s="76" t="str">
        <f t="shared" ca="1" si="3"/>
        <v>Short Term</v>
      </c>
      <c r="G11" s="81">
        <v>2000</v>
      </c>
      <c r="H11" s="48">
        <f>+IF(SUM(G5:G11)&lt;=C16,G11,C16-G5-G6-G7-G8-G9-G10)</f>
        <v>-57014.024434146675</v>
      </c>
      <c r="I11" s="79">
        <f t="shared" si="2"/>
        <v>0</v>
      </c>
      <c r="J11" s="91">
        <f ca="1">IF(EXACT($D$15,"Case 1"),VLOOKUP($F11,Cases!$A$3:$H$10,2,FALSE),IF(EXACT(Goals!$D$15,"Case 2"),VLOOKUP($F11,Cases!$A$11:$H$16,2,FALSE),IF(EXACT(Goals!$D$15,"Case 3"),VLOOKUP($F11,Cases!$A$18:$H$23,2,FALSE))))</f>
        <v>0</v>
      </c>
      <c r="K11" s="91">
        <f ca="1">IF(EXACT($D$15,"Case 1"),VLOOKUP($F11,Cases!$A$3:$H$10,3,FALSE),IF(EXACT(Goals!$D$15,"Case 2"),VLOOKUP($F11,Cases!$A$11:$H$16,3,FALSE),IF(EXACT(Goals!$D$15,"Case 3"),VLOOKUP($F11,Cases!$A$18:$H$23,3,FALSE))))</f>
        <v>1</v>
      </c>
      <c r="L11" s="91">
        <f ca="1">IF(EXACT($D$15,"Case 1"),VLOOKUP($F11,Cases!$A$3:$H$10,4,FALSE),IF(EXACT(Goals!$D$15,"Case 2"),VLOOKUP($F11,Cases!$A$11:$H$16,4,FALSE),IF(EXACT(Goals!$D$15,"Case 3"),VLOOKUP($F11,Cases!$A$18:$H$23,4,FALSE))))</f>
        <v>0</v>
      </c>
      <c r="M11" s="91">
        <f ca="1">IF(EXACT($D$15,"Case 1"),VLOOKUP($F11,Cases!$A$3:$H$10,5,FALSE),IF(EXACT(Goals!$D$15,"Case 2"),VLOOKUP($F11,Cases!$A$11:$H$16,5,FALSE),IF(EXACT(Goals!$D$15,"Case 3"),VLOOKUP($F11,Cases!$A$18:$H$23,5,FALSE))))</f>
        <v>0</v>
      </c>
      <c r="N11" s="91">
        <f ca="1">IF(EXACT($D$15,"Case 1"),VLOOKUP($F11,Cases!$A$3:$H$10,6,FALSE),IF(EXACT(Goals!$D$15,"Case 2"),VLOOKUP($F11,Cases!$A$11:$H$16,6,FALSE),IF(EXACT(Goals!$D$15,"Case 3"),VLOOKUP($F11,Cases!$A$18:$H$23,6,FALSE))))</f>
        <v>0</v>
      </c>
      <c r="O11" s="91">
        <f ca="1">IF(EXACT($D$15,"Case 1"),VLOOKUP($F11,Cases!$A$3:$H$10,7,FALSE),IF(EXACT(Goals!$D$15,"Case 2"),VLOOKUP($F11,Cases!$A$11:$H$16,7,FALSE),IF(EXACT(Goals!$D$15,"Case 3"),VLOOKUP($F11,Cases!$A$18:$H$23,7,FALSE))))</f>
        <v>0</v>
      </c>
      <c r="P11" s="100">
        <f ca="1">IF(EXACT($D$15,"Case 1"),VLOOKUP($F11,Cases!$A$3:$H$10,8,FALSE),IF(EXACT(Goals!$D$15,"Case 2"),VLOOKUP($F11,Cases!$A$11:$H$16,8,FALSE),IF(EXACT(Goals!$D$15,"Case 3"),VLOOKUP($F11,Cases!$A$18:$H$23,8,FALSE))))</f>
        <v>0</v>
      </c>
      <c r="Q11" s="3"/>
    </row>
    <row r="12" spans="2:17" hidden="1">
      <c r="B12" s="47" t="s">
        <v>81</v>
      </c>
      <c r="C12" s="142"/>
      <c r="D12" s="83">
        <v>43202</v>
      </c>
      <c r="E12" s="76">
        <f t="shared" ca="1" si="4"/>
        <v>1.5506849315068494</v>
      </c>
      <c r="F12" s="76" t="str">
        <f t="shared" ca="1" si="3"/>
        <v>Short Term</v>
      </c>
      <c r="G12" s="111">
        <v>18000</v>
      </c>
      <c r="H12" s="48">
        <f>+IF(SUM(G5:G12)&lt;=C16,G12,C16-G5-G6-G7-G8-G9-G10-G11)</f>
        <v>-59014.024434146675</v>
      </c>
      <c r="I12" s="79">
        <f t="shared" si="2"/>
        <v>0</v>
      </c>
      <c r="J12" s="91">
        <f ca="1">IF(EXACT($D$15,"Case 1"),VLOOKUP($F12,Cases!$A$3:$H$10,2,FALSE),IF(EXACT(Goals!$D$15,"Case 2"),VLOOKUP($F12,Cases!$A$11:$H$16,2,FALSE),IF(EXACT(Goals!$D$15,"Case 3"),VLOOKUP($F12,Cases!$A$18:$H$23,2,FALSE))))</f>
        <v>0</v>
      </c>
      <c r="K12" s="91">
        <f ca="1">IF(EXACT($D$15,"Case 1"),VLOOKUP($F12,Cases!$A$3:$H$10,3,FALSE),IF(EXACT(Goals!$D$15,"Case 2"),VLOOKUP($F12,Cases!$A$11:$H$16,3,FALSE),IF(EXACT(Goals!$D$15,"Case 3"),VLOOKUP($F12,Cases!$A$18:$H$23,3,FALSE))))</f>
        <v>1</v>
      </c>
      <c r="L12" s="91">
        <f ca="1">IF(EXACT($D$15,"Case 1"),VLOOKUP($F12,Cases!$A$3:$H$10,4,FALSE),IF(EXACT(Goals!$D$15,"Case 2"),VLOOKUP($F12,Cases!$A$11:$H$16,4,FALSE),IF(EXACT(Goals!$D$15,"Case 3"),VLOOKUP($F12,Cases!$A$18:$H$23,4,FALSE))))</f>
        <v>0</v>
      </c>
      <c r="M12" s="91">
        <f ca="1">IF(EXACT($D$15,"Case 1"),VLOOKUP($F12,Cases!$A$3:$H$10,5,FALSE),IF(EXACT(Goals!$D$15,"Case 2"),VLOOKUP($F12,Cases!$A$11:$H$16,5,FALSE),IF(EXACT(Goals!$D$15,"Case 3"),VLOOKUP($F12,Cases!$A$18:$H$23,5,FALSE))))</f>
        <v>0</v>
      </c>
      <c r="N12" s="91">
        <f ca="1">IF(EXACT($D$15,"Case 1"),VLOOKUP($F12,Cases!$A$3:$H$10,6,FALSE),IF(EXACT(Goals!$D$15,"Case 2"),VLOOKUP($F12,Cases!$A$11:$H$16,6,FALSE),IF(EXACT(Goals!$D$15,"Case 3"),VLOOKUP($F12,Cases!$A$18:$H$23,6,FALSE))))</f>
        <v>0</v>
      </c>
      <c r="O12" s="91">
        <f ca="1">IF(EXACT($D$15,"Case 1"),VLOOKUP($F12,Cases!$A$3:$H$10,7,FALSE),IF(EXACT(Goals!$D$15,"Case 2"),VLOOKUP($F12,Cases!$A$11:$H$16,7,FALSE),IF(EXACT(Goals!$D$15,"Case 3"),VLOOKUP($F12,Cases!$A$18:$H$23,7,FALSE))))</f>
        <v>0</v>
      </c>
      <c r="P12" s="100">
        <f ca="1">IF(EXACT($D$15,"Case 1"),VLOOKUP($F12,Cases!$A$3:$H$10,8,FALSE),IF(EXACT(Goals!$D$15,"Case 2"),VLOOKUP($F12,Cases!$A$11:$H$16,8,FALSE),IF(EXACT(Goals!$D$15,"Case 3"),VLOOKUP($F12,Cases!$A$18:$H$23,8,FALSE))))</f>
        <v>0</v>
      </c>
      <c r="Q12" s="3"/>
    </row>
    <row r="13" spans="2:17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9"/>
    </row>
    <row r="14" spans="2:17">
      <c r="B14"/>
      <c r="C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2:17">
      <c r="B15" s="58" t="s">
        <v>85</v>
      </c>
      <c r="C15" s="119">
        <v>25</v>
      </c>
      <c r="D15" s="151" t="str">
        <f>IF(Goals!C15&lt;=35,"Case 1",IF(Goals!C15&lt;=50,"Case 2","Case 3"))</f>
        <v>Case 1</v>
      </c>
      <c r="G15" s="73"/>
      <c r="J15" s="187" t="s">
        <v>94</v>
      </c>
      <c r="K15" s="188"/>
      <c r="L15" s="188"/>
      <c r="M15" s="188"/>
      <c r="N15" s="188"/>
      <c r="O15" s="188"/>
      <c r="P15" s="189"/>
    </row>
    <row r="16" spans="2:17" ht="45">
      <c r="B16" s="58" t="s">
        <v>80</v>
      </c>
      <c r="C16" s="147">
        <v>35000</v>
      </c>
      <c r="G16" s="16"/>
      <c r="J16" s="104" t="s">
        <v>73</v>
      </c>
      <c r="K16" s="98" t="s">
        <v>92</v>
      </c>
      <c r="L16" s="98" t="s">
        <v>78</v>
      </c>
      <c r="M16" s="98" t="s">
        <v>9</v>
      </c>
      <c r="N16" s="98" t="s">
        <v>11</v>
      </c>
      <c r="O16" s="98" t="s">
        <v>12</v>
      </c>
      <c r="P16" s="99" t="s">
        <v>15</v>
      </c>
    </row>
    <row r="17" spans="2:16">
      <c r="B17" s="58" t="s">
        <v>83</v>
      </c>
      <c r="C17" s="149">
        <f ca="1">+TODAY()</f>
        <v>42636</v>
      </c>
      <c r="J17" s="105">
        <f>J5*$I5</f>
        <v>3767</v>
      </c>
      <c r="K17" s="106">
        <f t="shared" ref="K17:P17" si="5">K5*$I5</f>
        <v>0</v>
      </c>
      <c r="L17" s="106">
        <f t="shared" si="5"/>
        <v>0</v>
      </c>
      <c r="M17" s="106">
        <f t="shared" si="5"/>
        <v>0</v>
      </c>
      <c r="N17" s="106">
        <f t="shared" si="5"/>
        <v>2260.1999999999998</v>
      </c>
      <c r="O17" s="106">
        <f t="shared" si="5"/>
        <v>1506.8000000000002</v>
      </c>
      <c r="P17" s="107">
        <f t="shared" si="5"/>
        <v>0</v>
      </c>
    </row>
    <row r="18" spans="2:16">
      <c r="J18" s="105">
        <f t="shared" ref="J18:P18" si="6">J6*$I6</f>
        <v>0</v>
      </c>
      <c r="K18" s="106">
        <f t="shared" si="6"/>
        <v>10838.012217073338</v>
      </c>
      <c r="L18" s="106">
        <f t="shared" si="6"/>
        <v>10838.012217073338</v>
      </c>
      <c r="M18" s="106">
        <f t="shared" si="6"/>
        <v>0</v>
      </c>
      <c r="N18" s="106">
        <f t="shared" si="6"/>
        <v>0</v>
      </c>
      <c r="O18" s="106">
        <f t="shared" si="6"/>
        <v>0</v>
      </c>
      <c r="P18" s="107">
        <f t="shared" si="6"/>
        <v>0</v>
      </c>
    </row>
    <row r="19" spans="2:16">
      <c r="J19" s="105">
        <f t="shared" ref="J19:P19" si="7">J7*$I7</f>
        <v>0</v>
      </c>
      <c r="K19" s="106">
        <f t="shared" si="7"/>
        <v>0</v>
      </c>
      <c r="L19" s="106">
        <f t="shared" si="7"/>
        <v>0</v>
      </c>
      <c r="M19" s="106">
        <f t="shared" si="7"/>
        <v>0</v>
      </c>
      <c r="N19" s="106">
        <f t="shared" si="7"/>
        <v>0</v>
      </c>
      <c r="O19" s="106">
        <f t="shared" si="7"/>
        <v>0</v>
      </c>
      <c r="P19" s="107">
        <f t="shared" si="7"/>
        <v>0</v>
      </c>
    </row>
    <row r="20" spans="2:16">
      <c r="B20" s="184" t="s">
        <v>68</v>
      </c>
      <c r="C20" s="185"/>
      <c r="D20" s="186"/>
      <c r="E20" s="49"/>
      <c r="F20" s="49"/>
      <c r="J20" s="105">
        <f t="shared" ref="J20:P20" ca="1" si="8">J8*$I8</f>
        <v>0</v>
      </c>
      <c r="K20" s="106">
        <f t="shared" ca="1" si="8"/>
        <v>5789.975565853325</v>
      </c>
      <c r="L20" s="106">
        <f t="shared" ca="1" si="8"/>
        <v>0</v>
      </c>
      <c r="M20" s="106">
        <f t="shared" ca="1" si="8"/>
        <v>0</v>
      </c>
      <c r="N20" s="106">
        <f t="shared" ca="1" si="8"/>
        <v>0</v>
      </c>
      <c r="O20" s="106">
        <f t="shared" ca="1" si="8"/>
        <v>0</v>
      </c>
      <c r="P20" s="107">
        <f t="shared" ca="1" si="8"/>
        <v>0</v>
      </c>
    </row>
    <row r="21" spans="2:16">
      <c r="B21" s="152" t="s">
        <v>69</v>
      </c>
      <c r="C21" s="151"/>
      <c r="D21" s="153">
        <f>C6</f>
        <v>245000</v>
      </c>
      <c r="E21" s="16"/>
      <c r="F21" s="16"/>
      <c r="J21" s="105">
        <f t="shared" ref="J21:P21" ca="1" si="9">J9*$I9</f>
        <v>0</v>
      </c>
      <c r="K21" s="106">
        <f t="shared" ca="1" si="9"/>
        <v>0</v>
      </c>
      <c r="L21" s="106">
        <f t="shared" ca="1" si="9"/>
        <v>0</v>
      </c>
      <c r="M21" s="106">
        <f t="shared" ca="1" si="9"/>
        <v>0</v>
      </c>
      <c r="N21" s="106">
        <f t="shared" ca="1" si="9"/>
        <v>0</v>
      </c>
      <c r="O21" s="106">
        <f t="shared" ca="1" si="9"/>
        <v>0</v>
      </c>
      <c r="P21" s="107">
        <f t="shared" ca="1" si="9"/>
        <v>0</v>
      </c>
    </row>
    <row r="22" spans="2:16">
      <c r="B22" s="152" t="s">
        <v>70</v>
      </c>
      <c r="C22" s="151"/>
      <c r="D22" s="154">
        <v>11</v>
      </c>
      <c r="E22" s="16"/>
      <c r="F22" s="16"/>
      <c r="J22" s="105">
        <f t="shared" ref="J22:P22" ca="1" si="10">J10*$I10</f>
        <v>0</v>
      </c>
      <c r="K22" s="106">
        <f t="shared" ca="1" si="10"/>
        <v>0</v>
      </c>
      <c r="L22" s="106">
        <f t="shared" ca="1" si="10"/>
        <v>0</v>
      </c>
      <c r="M22" s="106">
        <f t="shared" ca="1" si="10"/>
        <v>0</v>
      </c>
      <c r="N22" s="106">
        <f t="shared" ca="1" si="10"/>
        <v>0</v>
      </c>
      <c r="O22" s="106">
        <f t="shared" ca="1" si="10"/>
        <v>0</v>
      </c>
      <c r="P22" s="107">
        <f t="shared" ca="1" si="10"/>
        <v>0</v>
      </c>
    </row>
    <row r="23" spans="2:16">
      <c r="B23" s="152" t="s">
        <v>71</v>
      </c>
      <c r="C23" s="151"/>
      <c r="D23" s="180">
        <v>6.5000000000000002E-2</v>
      </c>
      <c r="E23" s="71"/>
      <c r="F23" s="71"/>
      <c r="J23" s="105">
        <f t="shared" ref="J23:P23" ca="1" si="11">J11*$I11</f>
        <v>0</v>
      </c>
      <c r="K23" s="106">
        <f t="shared" ca="1" si="11"/>
        <v>0</v>
      </c>
      <c r="L23" s="106">
        <f t="shared" ca="1" si="11"/>
        <v>0</v>
      </c>
      <c r="M23" s="106">
        <f t="shared" ca="1" si="11"/>
        <v>0</v>
      </c>
      <c r="N23" s="106">
        <f t="shared" ca="1" si="11"/>
        <v>0</v>
      </c>
      <c r="O23" s="106">
        <f t="shared" ca="1" si="11"/>
        <v>0</v>
      </c>
      <c r="P23" s="107">
        <f t="shared" ca="1" si="11"/>
        <v>0</v>
      </c>
    </row>
    <row r="24" spans="2:16">
      <c r="B24" s="155" t="s">
        <v>72</v>
      </c>
      <c r="C24" s="156"/>
      <c r="D24" s="157">
        <f>PMT(D23/12,D22,0,-D21)</f>
        <v>21676.024434146675</v>
      </c>
      <c r="E24" s="72"/>
      <c r="F24" s="72"/>
      <c r="J24" s="105">
        <f t="shared" ref="J24:P24" ca="1" si="12">J12*$I12</f>
        <v>0</v>
      </c>
      <c r="K24" s="106">
        <f t="shared" ca="1" si="12"/>
        <v>0</v>
      </c>
      <c r="L24" s="106">
        <f t="shared" ca="1" si="12"/>
        <v>0</v>
      </c>
      <c r="M24" s="106">
        <f t="shared" ca="1" si="12"/>
        <v>0</v>
      </c>
      <c r="N24" s="106">
        <f t="shared" ca="1" si="12"/>
        <v>0</v>
      </c>
      <c r="O24" s="106">
        <f t="shared" ca="1" si="12"/>
        <v>0</v>
      </c>
      <c r="P24" s="107">
        <f t="shared" ca="1" si="12"/>
        <v>0</v>
      </c>
    </row>
    <row r="25" spans="2:16">
      <c r="J25" s="108">
        <f ca="1">+SUM(J17:J24)</f>
        <v>3767</v>
      </c>
      <c r="K25" s="109">
        <f t="shared" ref="K25:P25" ca="1" si="13">+SUM(K17:K24)</f>
        <v>16627.987782926662</v>
      </c>
      <c r="L25" s="109">
        <f t="shared" ca="1" si="13"/>
        <v>10838.012217073338</v>
      </c>
      <c r="M25" s="109">
        <f t="shared" ca="1" si="13"/>
        <v>0</v>
      </c>
      <c r="N25" s="109">
        <f t="shared" ca="1" si="13"/>
        <v>2260.1999999999998</v>
      </c>
      <c r="O25" s="109">
        <f t="shared" ca="1" si="13"/>
        <v>1506.8000000000002</v>
      </c>
      <c r="P25" s="110">
        <f t="shared" ca="1" si="13"/>
        <v>0</v>
      </c>
    </row>
    <row r="26" spans="2:16">
      <c r="J26" s="103"/>
      <c r="K26" s="103"/>
      <c r="L26" s="103"/>
      <c r="M26" s="103"/>
      <c r="N26" s="103"/>
      <c r="O26" s="103"/>
      <c r="P26" s="103"/>
    </row>
    <row r="27" spans="2:16">
      <c r="J27" s="103"/>
      <c r="K27" s="103"/>
      <c r="L27" s="103"/>
      <c r="M27" s="103"/>
      <c r="N27" s="103"/>
      <c r="O27" s="103"/>
      <c r="P27" s="103"/>
    </row>
    <row r="28" spans="2:16">
      <c r="J28" s="103"/>
      <c r="K28" s="103"/>
      <c r="L28" s="103"/>
      <c r="M28" s="103"/>
      <c r="N28" s="103"/>
      <c r="O28" s="103"/>
      <c r="P28" s="103"/>
    </row>
    <row r="29" spans="2:16">
      <c r="J29" s="103"/>
      <c r="K29" s="103"/>
      <c r="L29" s="103"/>
      <c r="M29" s="103"/>
      <c r="N29" s="103"/>
      <c r="O29" s="103"/>
      <c r="P29" s="103"/>
    </row>
    <row r="30" spans="2:16">
      <c r="J30" s="103"/>
      <c r="K30" s="103"/>
      <c r="L30" s="103"/>
      <c r="M30" s="103"/>
      <c r="N30" s="103"/>
      <c r="O30" s="103"/>
      <c r="P30" s="103"/>
    </row>
  </sheetData>
  <mergeCells count="3">
    <mergeCell ref="B20:D20"/>
    <mergeCell ref="J3:P3"/>
    <mergeCell ref="J15:P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A3" sqref="A3:A14"/>
    </sheetView>
  </sheetViews>
  <sheetFormatPr defaultRowHeight="15"/>
  <cols>
    <col min="1" max="1" width="32.140625" bestFit="1" customWidth="1"/>
    <col min="2" max="2" width="18.85546875" bestFit="1" customWidth="1"/>
    <col min="3" max="3" width="15" bestFit="1" customWidth="1"/>
    <col min="5" max="5" width="31.42578125" bestFit="1" customWidth="1"/>
    <col min="6" max="6" width="18.85546875" bestFit="1" customWidth="1"/>
    <col min="7" max="7" width="15" bestFit="1" customWidth="1"/>
    <col min="9" max="9" width="32.28515625" bestFit="1" customWidth="1"/>
    <col min="10" max="10" width="18.85546875" bestFit="1" customWidth="1"/>
    <col min="11" max="11" width="15" bestFit="1" customWidth="1"/>
    <col min="13" max="13" width="39.42578125" bestFit="1" customWidth="1"/>
  </cols>
  <sheetData>
    <row r="1" spans="1:14">
      <c r="A1" s="190" t="s">
        <v>2</v>
      </c>
      <c r="B1" s="191"/>
      <c r="C1" s="192"/>
      <c r="E1" s="190" t="s">
        <v>3</v>
      </c>
      <c r="F1" s="191"/>
      <c r="G1" s="192"/>
      <c r="I1" s="190" t="s">
        <v>4</v>
      </c>
      <c r="J1" s="191"/>
      <c r="K1" s="192"/>
    </row>
    <row r="2" spans="1:14">
      <c r="A2" s="10"/>
      <c r="B2" s="13" t="s">
        <v>5</v>
      </c>
      <c r="C2" s="14" t="s">
        <v>6</v>
      </c>
      <c r="E2" s="10" t="s">
        <v>19</v>
      </c>
      <c r="F2" s="13" t="s">
        <v>5</v>
      </c>
      <c r="G2" s="14" t="s">
        <v>6</v>
      </c>
      <c r="I2" s="10"/>
      <c r="J2" s="13" t="s">
        <v>5</v>
      </c>
      <c r="K2" s="14" t="s">
        <v>6</v>
      </c>
    </row>
    <row r="3" spans="1:14">
      <c r="A3" s="6" t="s">
        <v>76</v>
      </c>
      <c r="B3" s="7">
        <v>0.125</v>
      </c>
      <c r="C3" s="8">
        <v>0.7</v>
      </c>
      <c r="D3" s="3"/>
      <c r="E3" s="6" t="s">
        <v>77</v>
      </c>
      <c r="F3" s="7">
        <v>0.125</v>
      </c>
      <c r="G3" s="8">
        <v>0.5</v>
      </c>
      <c r="H3" s="3"/>
      <c r="I3" s="6" t="s">
        <v>7</v>
      </c>
      <c r="J3" s="7">
        <v>0.125</v>
      </c>
      <c r="K3" s="8">
        <v>0.2</v>
      </c>
      <c r="L3" s="3"/>
    </row>
    <row r="4" spans="1:14">
      <c r="A4" s="6" t="s">
        <v>8</v>
      </c>
      <c r="B4" s="7">
        <v>7.0000000000000007E-2</v>
      </c>
      <c r="C4" s="8">
        <v>0</v>
      </c>
      <c r="E4" s="6" t="s">
        <v>8</v>
      </c>
      <c r="F4" s="7">
        <v>7.0000000000000007E-2</v>
      </c>
      <c r="G4" s="8">
        <v>0</v>
      </c>
      <c r="I4" s="6" t="s">
        <v>8</v>
      </c>
      <c r="J4" s="7">
        <v>7.0000000000000007E-2</v>
      </c>
      <c r="K4" s="8">
        <v>0</v>
      </c>
    </row>
    <row r="5" spans="1:14">
      <c r="A5" s="37" t="s">
        <v>46</v>
      </c>
      <c r="B5" s="7">
        <v>0.09</v>
      </c>
      <c r="C5" s="8">
        <v>0.1</v>
      </c>
      <c r="E5" s="124" t="s">
        <v>46</v>
      </c>
      <c r="F5" s="7">
        <v>0.09</v>
      </c>
      <c r="G5" s="8">
        <v>0.1</v>
      </c>
      <c r="H5" s="3"/>
      <c r="I5" s="124" t="s">
        <v>46</v>
      </c>
      <c r="J5" s="7">
        <v>0.09</v>
      </c>
      <c r="K5" s="8">
        <v>0.3</v>
      </c>
      <c r="L5" s="3"/>
    </row>
    <row r="6" spans="1:14">
      <c r="A6" s="6" t="s">
        <v>9</v>
      </c>
      <c r="B6" s="7">
        <v>7.7499999999999999E-2</v>
      </c>
      <c r="C6" s="8">
        <v>0</v>
      </c>
      <c r="E6" s="6" t="s">
        <v>9</v>
      </c>
      <c r="F6" s="7">
        <v>7.7499999999999999E-2</v>
      </c>
      <c r="G6" s="8">
        <v>0.1</v>
      </c>
      <c r="H6" s="3"/>
      <c r="I6" s="6" t="s">
        <v>9</v>
      </c>
      <c r="J6" s="7">
        <v>7.7499999999999999E-2</v>
      </c>
      <c r="K6" s="8">
        <v>0.36</v>
      </c>
      <c r="L6" s="3"/>
    </row>
    <row r="7" spans="1:14">
      <c r="A7" s="6" t="s">
        <v>10</v>
      </c>
      <c r="B7" s="7">
        <v>7.2499999999999995E-2</v>
      </c>
      <c r="C7" s="8">
        <v>0</v>
      </c>
      <c r="E7" s="6" t="s">
        <v>10</v>
      </c>
      <c r="F7" s="7">
        <v>7.2499999999999995E-2</v>
      </c>
      <c r="G7" s="8">
        <v>0</v>
      </c>
      <c r="I7" s="6" t="s">
        <v>10</v>
      </c>
      <c r="J7" s="7">
        <v>7.2499999999999995E-2</v>
      </c>
      <c r="K7" s="8">
        <v>0</v>
      </c>
    </row>
    <row r="8" spans="1:14">
      <c r="A8" s="6" t="s">
        <v>11</v>
      </c>
      <c r="B8" s="7">
        <v>8.1000000000000003E-2</v>
      </c>
      <c r="C8" s="8">
        <v>0.1</v>
      </c>
      <c r="D8" s="3"/>
      <c r="E8" s="6" t="s">
        <v>11</v>
      </c>
      <c r="F8" s="7">
        <v>8.1000000000000003E-2</v>
      </c>
      <c r="G8" s="8">
        <v>0.1</v>
      </c>
      <c r="H8" s="3"/>
      <c r="I8" s="6" t="s">
        <v>11</v>
      </c>
      <c r="J8" s="7">
        <v>8.1000000000000003E-2</v>
      </c>
      <c r="K8" s="8">
        <v>0</v>
      </c>
    </row>
    <row r="9" spans="1:14">
      <c r="A9" s="6" t="s">
        <v>12</v>
      </c>
      <c r="B9" s="7">
        <v>9.4700000000000006E-2</v>
      </c>
      <c r="C9" s="8">
        <v>0.05</v>
      </c>
      <c r="D9" s="3"/>
      <c r="E9" s="6" t="s">
        <v>12</v>
      </c>
      <c r="F9" s="7">
        <v>9.4700000000000006E-2</v>
      </c>
      <c r="G9" s="8">
        <v>0.06</v>
      </c>
      <c r="I9" s="6" t="s">
        <v>12</v>
      </c>
      <c r="J9" s="7">
        <v>9.4700000000000006E-2</v>
      </c>
      <c r="K9" s="8">
        <v>0</v>
      </c>
      <c r="M9" s="1"/>
    </row>
    <row r="10" spans="1:14">
      <c r="A10" s="6" t="s">
        <v>13</v>
      </c>
      <c r="B10" s="7">
        <v>0.13109999999999999</v>
      </c>
      <c r="C10" s="8">
        <v>0</v>
      </c>
      <c r="E10" s="6" t="s">
        <v>13</v>
      </c>
      <c r="F10" s="7">
        <v>0.13109999999999999</v>
      </c>
      <c r="G10" s="8">
        <v>0</v>
      </c>
      <c r="I10" s="6" t="s">
        <v>13</v>
      </c>
      <c r="J10" s="7">
        <v>0.13109999999999999</v>
      </c>
      <c r="K10" s="8">
        <v>0</v>
      </c>
    </row>
    <row r="11" spans="1:14">
      <c r="A11" s="6" t="s">
        <v>14</v>
      </c>
      <c r="B11" s="7">
        <v>8.8999999999999996E-2</v>
      </c>
      <c r="C11" s="8">
        <v>0</v>
      </c>
      <c r="E11" s="6" t="s">
        <v>14</v>
      </c>
      <c r="F11" s="7">
        <v>8.8999999999999996E-2</v>
      </c>
      <c r="G11" s="8">
        <v>0</v>
      </c>
      <c r="I11" s="6" t="s">
        <v>14</v>
      </c>
      <c r="J11" s="7">
        <v>8.8999999999999996E-2</v>
      </c>
      <c r="K11" s="8">
        <v>0</v>
      </c>
    </row>
    <row r="12" spans="1:14">
      <c r="A12" s="6" t="s">
        <v>15</v>
      </c>
      <c r="B12" s="7">
        <v>6.5000000000000002E-2</v>
      </c>
      <c r="C12" s="8">
        <v>0</v>
      </c>
      <c r="D12" s="3"/>
      <c r="E12" s="6" t="s">
        <v>15</v>
      </c>
      <c r="F12" s="7">
        <v>6.5000000000000002E-2</v>
      </c>
      <c r="G12" s="8">
        <v>0.1</v>
      </c>
      <c r="H12" s="3"/>
      <c r="I12" s="6" t="s">
        <v>15</v>
      </c>
      <c r="J12" s="7">
        <v>6.5000000000000002E-2</v>
      </c>
      <c r="K12" s="8">
        <v>0.1</v>
      </c>
    </row>
    <row r="13" spans="1:14">
      <c r="A13" s="6" t="s">
        <v>78</v>
      </c>
      <c r="B13" s="7">
        <v>0.04</v>
      </c>
      <c r="C13" s="8">
        <v>0.05</v>
      </c>
      <c r="D13" s="3"/>
      <c r="E13" s="6" t="s">
        <v>78</v>
      </c>
      <c r="F13" s="7">
        <v>0.04</v>
      </c>
      <c r="G13" s="8">
        <v>0.04</v>
      </c>
      <c r="H13" s="3"/>
      <c r="I13" s="6" t="s">
        <v>78</v>
      </c>
      <c r="J13" s="7">
        <v>0.04</v>
      </c>
      <c r="K13" s="8">
        <v>0.04</v>
      </c>
    </row>
    <row r="14" spans="1:14" ht="15.75" thickBot="1">
      <c r="A14" s="6" t="s">
        <v>16</v>
      </c>
      <c r="B14" s="7">
        <v>4.4999999999999998E-2</v>
      </c>
      <c r="C14" s="8">
        <v>0</v>
      </c>
      <c r="E14" s="6" t="s">
        <v>16</v>
      </c>
      <c r="F14" s="7">
        <v>4.4999999999999998E-2</v>
      </c>
      <c r="G14" s="8">
        <v>0</v>
      </c>
      <c r="I14" s="6" t="s">
        <v>16</v>
      </c>
      <c r="J14" s="7">
        <v>4.4999999999999998E-2</v>
      </c>
      <c r="K14" s="8">
        <v>0</v>
      </c>
    </row>
    <row r="15" spans="1:14" ht="15.75" thickBot="1">
      <c r="A15" s="10" t="s">
        <v>17</v>
      </c>
      <c r="B15" s="11">
        <f>SUMPRODUCT(B3:B14,C3:C14)</f>
        <v>0.11133499999999999</v>
      </c>
      <c r="C15" s="12"/>
      <c r="E15" s="10" t="s">
        <v>17</v>
      </c>
      <c r="F15" s="11">
        <f>SUMPRODUCT(F3:F14,G3:G14)</f>
        <v>0.101132</v>
      </c>
      <c r="G15" s="12"/>
      <c r="I15" s="10" t="s">
        <v>17</v>
      </c>
      <c r="J15" s="11">
        <f>SUMPRODUCT(J3:J14,K3:K14)</f>
        <v>8.8000000000000009E-2</v>
      </c>
      <c r="K15" s="12"/>
      <c r="M15" s="4" t="s">
        <v>18</v>
      </c>
      <c r="N15" s="5">
        <f>(B15+F15+J15)/3</f>
        <v>0.10015566666666666</v>
      </c>
    </row>
    <row r="19" spans="5:5">
      <c r="E19" s="70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9"/>
  <sheetViews>
    <sheetView topLeftCell="A6" zoomScale="85" zoomScaleNormal="85" workbookViewId="0">
      <selection activeCell="F17" sqref="F17"/>
    </sheetView>
  </sheetViews>
  <sheetFormatPr defaultColWidth="9.140625" defaultRowHeight="15"/>
  <cols>
    <col min="1" max="1" width="3.42578125" style="37" customWidth="1"/>
    <col min="2" max="2" width="25.85546875" style="37" bestFit="1" customWidth="1"/>
    <col min="3" max="3" width="23.140625" style="37" bestFit="1" customWidth="1"/>
    <col min="4" max="4" width="23.140625" style="37" customWidth="1"/>
    <col min="5" max="5" width="13.42578125" style="37" customWidth="1"/>
    <col min="6" max="6" width="21.42578125" style="37" customWidth="1"/>
    <col min="7" max="11" width="10.28515625" style="37" bestFit="1" customWidth="1"/>
    <col min="12" max="14" width="9.140625" style="37"/>
    <col min="15" max="15" width="11.140625" style="37" bestFit="1" customWidth="1"/>
    <col min="16" max="16" width="9.140625" style="37"/>
    <col min="17" max="17" width="11.7109375" style="37" bestFit="1" customWidth="1"/>
    <col min="18" max="16384" width="9.140625" style="37"/>
  </cols>
  <sheetData>
    <row r="1" spans="1:17" s="36" customFormat="1">
      <c r="A1" s="36" t="s">
        <v>40</v>
      </c>
      <c r="Q1" s="36" t="s">
        <v>97</v>
      </c>
    </row>
    <row r="2" spans="1:17" s="36" customFormat="1"/>
    <row r="4" spans="1:17" s="39" customFormat="1">
      <c r="A4" s="38" t="s">
        <v>41</v>
      </c>
      <c r="B4" s="38"/>
      <c r="C4" s="38"/>
      <c r="D4" s="38"/>
      <c r="E4" s="38"/>
      <c r="F4" s="38"/>
      <c r="G4" s="38"/>
    </row>
    <row r="5" spans="1:17" ht="30" customHeight="1">
      <c r="B5" s="174"/>
      <c r="C5" s="175"/>
      <c r="D5" s="175"/>
      <c r="E5" s="175"/>
      <c r="F5" s="193" t="s">
        <v>62</v>
      </c>
      <c r="G5" s="194"/>
      <c r="H5" s="194"/>
      <c r="I5" s="194"/>
      <c r="J5" s="194"/>
      <c r="K5" s="195"/>
    </row>
    <row r="6" spans="1:17">
      <c r="B6" s="171" t="s">
        <v>42</v>
      </c>
      <c r="C6" s="172" t="s">
        <v>43</v>
      </c>
      <c r="D6" s="173" t="s">
        <v>100</v>
      </c>
      <c r="E6" s="170" t="s">
        <v>98</v>
      </c>
      <c r="F6" s="176" t="s">
        <v>121</v>
      </c>
      <c r="G6" s="177" t="s">
        <v>122</v>
      </c>
      <c r="H6" s="169" t="s">
        <v>123</v>
      </c>
      <c r="I6" s="177" t="s">
        <v>124</v>
      </c>
      <c r="J6" s="169" t="s">
        <v>125</v>
      </c>
      <c r="K6" s="178" t="s">
        <v>126</v>
      </c>
    </row>
    <row r="7" spans="1:17">
      <c r="B7" s="126" t="s">
        <v>47</v>
      </c>
      <c r="C7" s="112">
        <v>0</v>
      </c>
      <c r="D7" s="115">
        <v>0.13</v>
      </c>
      <c r="E7" s="115">
        <f t="shared" ref="E7:E13" si="0">C7/$C$19</f>
        <v>0</v>
      </c>
      <c r="F7" s="114">
        <f ca="1">Goals!J25*12</f>
        <v>45204</v>
      </c>
      <c r="G7" s="125">
        <f ca="1">+F7*1.0675</f>
        <v>48255.27</v>
      </c>
      <c r="H7" s="125">
        <f t="shared" ref="H7:K7" ca="1" si="1">+G7*1.0675</f>
        <v>51512.500724999991</v>
      </c>
      <c r="I7" s="125">
        <f t="shared" ca="1" si="1"/>
        <v>54989.594523937485</v>
      </c>
      <c r="J7" s="125">
        <f t="shared" ca="1" si="1"/>
        <v>58701.392154303263</v>
      </c>
      <c r="K7" s="168">
        <f t="shared" ca="1" si="1"/>
        <v>62663.736124718729</v>
      </c>
    </row>
    <row r="8" spans="1:17">
      <c r="B8" s="126" t="s">
        <v>44</v>
      </c>
      <c r="C8" s="112">
        <v>0</v>
      </c>
      <c r="D8" s="115">
        <v>7.0000000000000007E-2</v>
      </c>
      <c r="E8" s="115">
        <f t="shared" si="0"/>
        <v>0</v>
      </c>
      <c r="F8" s="113"/>
      <c r="G8" s="125">
        <f t="shared" ref="G8:K8" si="2">+F8*1.0675</f>
        <v>0</v>
      </c>
      <c r="H8" s="125">
        <f t="shared" si="2"/>
        <v>0</v>
      </c>
      <c r="I8" s="125">
        <f t="shared" si="2"/>
        <v>0</v>
      </c>
      <c r="J8" s="125">
        <f t="shared" si="2"/>
        <v>0</v>
      </c>
      <c r="K8" s="168">
        <f t="shared" si="2"/>
        <v>0</v>
      </c>
    </row>
    <row r="9" spans="1:17">
      <c r="B9" s="126" t="s">
        <v>46</v>
      </c>
      <c r="C9" s="112">
        <v>0</v>
      </c>
      <c r="D9" s="115">
        <v>0.09</v>
      </c>
      <c r="E9" s="115">
        <f t="shared" si="0"/>
        <v>0</v>
      </c>
      <c r="F9" s="114">
        <f ca="1">Goals!K25*12</f>
        <v>199535.85339511995</v>
      </c>
      <c r="G9" s="125">
        <f t="shared" ref="G9:K9" ca="1" si="3">+F9*1.0675</f>
        <v>213004.52349929052</v>
      </c>
      <c r="H9" s="125">
        <f t="shared" ca="1" si="3"/>
        <v>227382.3288354926</v>
      </c>
      <c r="I9" s="125">
        <f t="shared" ca="1" si="3"/>
        <v>242730.63603188834</v>
      </c>
      <c r="J9" s="125">
        <f t="shared" ca="1" si="3"/>
        <v>259114.95396404079</v>
      </c>
      <c r="K9" s="168">
        <f t="shared" ca="1" si="3"/>
        <v>276605.21335661353</v>
      </c>
    </row>
    <row r="10" spans="1:17">
      <c r="B10" s="126" t="s">
        <v>45</v>
      </c>
      <c r="C10" s="112">
        <v>0</v>
      </c>
      <c r="D10" s="136">
        <v>7.7499999999999999E-2</v>
      </c>
      <c r="E10" s="115">
        <f t="shared" si="0"/>
        <v>0</v>
      </c>
      <c r="F10" s="113">
        <f ca="1">Goals!M25*12</f>
        <v>0</v>
      </c>
      <c r="G10" s="125">
        <f t="shared" ref="G10:K10" ca="1" si="4">+F10*1.0675</f>
        <v>0</v>
      </c>
      <c r="H10" s="125">
        <f t="shared" ca="1" si="4"/>
        <v>0</v>
      </c>
      <c r="I10" s="125">
        <f t="shared" ca="1" si="4"/>
        <v>0</v>
      </c>
      <c r="J10" s="125">
        <f t="shared" ca="1" si="4"/>
        <v>0</v>
      </c>
      <c r="K10" s="168">
        <f t="shared" ca="1" si="4"/>
        <v>0</v>
      </c>
    </row>
    <row r="11" spans="1:17">
      <c r="B11" s="16" t="s">
        <v>10</v>
      </c>
      <c r="C11" s="112">
        <v>150000</v>
      </c>
      <c r="D11" s="136">
        <v>7.0000000000000007E-2</v>
      </c>
      <c r="E11" s="115">
        <f t="shared" si="0"/>
        <v>0.49180327868852458</v>
      </c>
      <c r="F11" s="113"/>
      <c r="G11" s="125">
        <f t="shared" ref="G11:K11" si="5">+F11*1.0675</f>
        <v>0</v>
      </c>
      <c r="H11" s="125">
        <f t="shared" si="5"/>
        <v>0</v>
      </c>
      <c r="I11" s="125">
        <f t="shared" si="5"/>
        <v>0</v>
      </c>
      <c r="J11" s="125">
        <f t="shared" si="5"/>
        <v>0</v>
      </c>
      <c r="K11" s="168">
        <f t="shared" si="5"/>
        <v>0</v>
      </c>
    </row>
    <row r="12" spans="1:17">
      <c r="B12" s="126" t="s">
        <v>11</v>
      </c>
      <c r="C12" s="112">
        <v>100000</v>
      </c>
      <c r="D12" s="135">
        <v>8.1000000000000003E-2</v>
      </c>
      <c r="E12" s="115">
        <f t="shared" si="0"/>
        <v>0.32786885245901637</v>
      </c>
      <c r="F12" s="113">
        <f ca="1">Goals!N25*12</f>
        <v>27122.399999999998</v>
      </c>
      <c r="G12" s="125">
        <f t="shared" ref="G12:K12" ca="1" si="6">+F12*1.0675</f>
        <v>28953.161999999993</v>
      </c>
      <c r="H12" s="125">
        <f t="shared" ca="1" si="6"/>
        <v>30907.500434999991</v>
      </c>
      <c r="I12" s="125">
        <f t="shared" ca="1" si="6"/>
        <v>32993.756714362484</v>
      </c>
      <c r="J12" s="125">
        <f t="shared" ca="1" si="6"/>
        <v>35220.835292581949</v>
      </c>
      <c r="K12" s="168">
        <f t="shared" ca="1" si="6"/>
        <v>37598.241674831224</v>
      </c>
    </row>
    <row r="13" spans="1:17">
      <c r="B13" s="126" t="s">
        <v>74</v>
      </c>
      <c r="C13" s="112">
        <v>0</v>
      </c>
      <c r="D13" s="135">
        <v>0.09</v>
      </c>
      <c r="E13" s="115">
        <f t="shared" si="0"/>
        <v>0</v>
      </c>
      <c r="F13" s="113">
        <f ca="1">Goals!O25*12</f>
        <v>18081.600000000002</v>
      </c>
      <c r="G13" s="125">
        <f t="shared" ref="G13:K13" ca="1" si="7">+F13*1.0675</f>
        <v>19302.108</v>
      </c>
      <c r="H13" s="125">
        <f t="shared" ca="1" si="7"/>
        <v>20605.000289999996</v>
      </c>
      <c r="I13" s="125">
        <f t="shared" ca="1" si="7"/>
        <v>21995.837809574994</v>
      </c>
      <c r="J13" s="125">
        <f t="shared" ca="1" si="7"/>
        <v>23480.556861721303</v>
      </c>
      <c r="K13" s="168">
        <f t="shared" ca="1" si="7"/>
        <v>25065.49444988749</v>
      </c>
    </row>
    <row r="14" spans="1:17">
      <c r="B14" s="16" t="s">
        <v>13</v>
      </c>
      <c r="C14" s="112">
        <v>0</v>
      </c>
      <c r="D14" s="137">
        <v>0.13109999999999999</v>
      </c>
      <c r="E14" s="115">
        <v>0</v>
      </c>
      <c r="F14" s="113"/>
      <c r="G14" s="125">
        <f t="shared" ref="G14:K14" si="8">+F14*1.0675</f>
        <v>0</v>
      </c>
      <c r="H14" s="125">
        <f t="shared" si="8"/>
        <v>0</v>
      </c>
      <c r="I14" s="125">
        <f t="shared" si="8"/>
        <v>0</v>
      </c>
      <c r="J14" s="125">
        <f t="shared" si="8"/>
        <v>0</v>
      </c>
      <c r="K14" s="168">
        <f t="shared" si="8"/>
        <v>0</v>
      </c>
    </row>
    <row r="15" spans="1:17">
      <c r="B15" s="16" t="s">
        <v>14</v>
      </c>
      <c r="C15" s="112">
        <v>0</v>
      </c>
      <c r="D15" s="137">
        <v>8.8999999999999996E-2</v>
      </c>
      <c r="E15" s="115">
        <v>0</v>
      </c>
      <c r="F15" s="113"/>
      <c r="G15" s="125">
        <f t="shared" ref="G15:K15" si="9">+F15*1.0675</f>
        <v>0</v>
      </c>
      <c r="H15" s="125">
        <f t="shared" si="9"/>
        <v>0</v>
      </c>
      <c r="I15" s="125">
        <f t="shared" si="9"/>
        <v>0</v>
      </c>
      <c r="J15" s="125">
        <f t="shared" si="9"/>
        <v>0</v>
      </c>
      <c r="K15" s="168">
        <f t="shared" si="9"/>
        <v>0</v>
      </c>
    </row>
    <row r="16" spans="1:17">
      <c r="B16" s="126" t="s">
        <v>15</v>
      </c>
      <c r="C16" s="112">
        <v>0</v>
      </c>
      <c r="D16" s="135">
        <v>7.0000000000000007E-2</v>
      </c>
      <c r="E16" s="115">
        <f>C16/$C$19</f>
        <v>0</v>
      </c>
      <c r="F16" s="113">
        <f ca="1">Goals!P25*12</f>
        <v>0</v>
      </c>
      <c r="G16" s="125">
        <f t="shared" ref="G16:K16" ca="1" si="10">+F16*1.0675</f>
        <v>0</v>
      </c>
      <c r="H16" s="125">
        <f t="shared" ca="1" si="10"/>
        <v>0</v>
      </c>
      <c r="I16" s="125">
        <f t="shared" ca="1" si="10"/>
        <v>0</v>
      </c>
      <c r="J16" s="125">
        <f t="shared" ca="1" si="10"/>
        <v>0</v>
      </c>
      <c r="K16" s="168">
        <f t="shared" ca="1" si="10"/>
        <v>0</v>
      </c>
    </row>
    <row r="17" spans="1:11">
      <c r="B17" s="126" t="s">
        <v>96</v>
      </c>
      <c r="C17" s="112">
        <v>55000</v>
      </c>
      <c r="D17" s="135">
        <v>0.04</v>
      </c>
      <c r="E17" s="115">
        <f>C17/$C$19</f>
        <v>0.18032786885245902</v>
      </c>
      <c r="F17" s="113">
        <f ca="1">Goals!L25*12</f>
        <v>130056.14660488005</v>
      </c>
      <c r="G17" s="125">
        <f t="shared" ref="G17:K17" ca="1" si="11">+F17*1.0675</f>
        <v>138834.93650070945</v>
      </c>
      <c r="H17" s="125">
        <f t="shared" ca="1" si="11"/>
        <v>148206.29471450733</v>
      </c>
      <c r="I17" s="125">
        <f t="shared" ca="1" si="11"/>
        <v>158210.21960773657</v>
      </c>
      <c r="J17" s="125">
        <f t="shared" ca="1" si="11"/>
        <v>168889.40943125877</v>
      </c>
      <c r="K17" s="168">
        <f t="shared" ca="1" si="11"/>
        <v>180289.44456786872</v>
      </c>
    </row>
    <row r="18" spans="1:11">
      <c r="B18" s="126" t="s">
        <v>48</v>
      </c>
      <c r="C18" s="112">
        <v>0</v>
      </c>
      <c r="D18" s="135">
        <v>0.05</v>
      </c>
      <c r="E18" s="115">
        <f>C18/$C$19</f>
        <v>0</v>
      </c>
      <c r="F18" s="113"/>
      <c r="G18" s="125">
        <f t="shared" ref="G18:K18" si="12">+F18*1.0675</f>
        <v>0</v>
      </c>
      <c r="H18" s="125">
        <f t="shared" si="12"/>
        <v>0</v>
      </c>
      <c r="I18" s="125">
        <f t="shared" si="12"/>
        <v>0</v>
      </c>
      <c r="J18" s="125">
        <f t="shared" si="12"/>
        <v>0</v>
      </c>
      <c r="K18" s="168">
        <f t="shared" si="12"/>
        <v>0</v>
      </c>
    </row>
    <row r="19" spans="1:11">
      <c r="B19" s="138" t="s">
        <v>49</v>
      </c>
      <c r="C19" s="139">
        <f>C8+C10+C11+C12+C7+C18+C17</f>
        <v>305000</v>
      </c>
      <c r="D19" s="139"/>
      <c r="E19" s="140"/>
      <c r="F19" s="141">
        <f ca="1">SUM(F8:F18)</f>
        <v>374796</v>
      </c>
      <c r="G19" s="141">
        <f t="shared" ref="G19:K19" ca="1" si="13">SUM(G8:G18)</f>
        <v>400094.73</v>
      </c>
      <c r="H19" s="141">
        <f t="shared" ca="1" si="13"/>
        <v>427101.12427499995</v>
      </c>
      <c r="I19" s="141">
        <f t="shared" ca="1" si="13"/>
        <v>455930.45016356243</v>
      </c>
      <c r="J19" s="141">
        <f t="shared" ca="1" si="13"/>
        <v>486705.75554960279</v>
      </c>
      <c r="K19" s="141">
        <f t="shared" ca="1" si="13"/>
        <v>519558.39404920099</v>
      </c>
    </row>
    <row r="20" spans="1:11">
      <c r="D20" s="122" t="s">
        <v>99</v>
      </c>
      <c r="E20" s="123">
        <f>SUMPRODUCT(D7:D18,E7:E18)</f>
        <v>6.8196721311475417E-2</v>
      </c>
    </row>
    <row r="22" spans="1:11" ht="15.75" thickBot="1">
      <c r="B22" s="40" t="s">
        <v>50</v>
      </c>
      <c r="C22" s="40" t="s">
        <v>43</v>
      </c>
      <c r="D22" s="118"/>
    </row>
    <row r="23" spans="1:11">
      <c r="B23" s="37" t="s">
        <v>51</v>
      </c>
      <c r="C23" s="112">
        <v>0</v>
      </c>
      <c r="D23" s="121"/>
    </row>
    <row r="25" spans="1:11" ht="15.75" thickBot="1">
      <c r="B25" s="40" t="s">
        <v>52</v>
      </c>
      <c r="C25" s="41">
        <f>C19-C23</f>
        <v>305000</v>
      </c>
      <c r="D25" s="117"/>
      <c r="E25" s="119"/>
    </row>
    <row r="27" spans="1:11">
      <c r="A27" s="38" t="s">
        <v>53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9" spans="1:11">
      <c r="B29" s="37" t="s">
        <v>54</v>
      </c>
      <c r="C29" s="112">
        <v>45000</v>
      </c>
      <c r="D29" s="121"/>
      <c r="G29" s="39"/>
      <c r="H29" s="39"/>
      <c r="I29" s="39"/>
      <c r="J29" s="39"/>
    </row>
    <row r="30" spans="1:11">
      <c r="B30" s="37" t="s">
        <v>95</v>
      </c>
      <c r="C30" s="112">
        <v>0</v>
      </c>
      <c r="D30" s="121"/>
    </row>
    <row r="31" spans="1:11" ht="15.75" thickBot="1">
      <c r="B31" s="40" t="s">
        <v>55</v>
      </c>
      <c r="C31" s="41">
        <f>C29+C30</f>
        <v>45000</v>
      </c>
      <c r="D31" s="117"/>
    </row>
    <row r="33" spans="2:4">
      <c r="B33" s="37" t="s">
        <v>56</v>
      </c>
      <c r="C33" s="112">
        <v>10000</v>
      </c>
      <c r="D33" s="121"/>
    </row>
    <row r="34" spans="2:4">
      <c r="B34" s="37" t="s">
        <v>57</v>
      </c>
      <c r="C34" s="112">
        <v>0</v>
      </c>
      <c r="D34" s="121"/>
    </row>
    <row r="35" spans="2:4">
      <c r="B35" s="37" t="s">
        <v>58</v>
      </c>
      <c r="C35" s="112">
        <v>0</v>
      </c>
      <c r="D35" s="121"/>
    </row>
    <row r="36" spans="2:4">
      <c r="B36" s="37" t="s">
        <v>59</v>
      </c>
      <c r="C36" s="112">
        <v>0</v>
      </c>
      <c r="D36" s="121"/>
    </row>
    <row r="37" spans="2:4" ht="15.75" thickBot="1">
      <c r="B37" s="40" t="s">
        <v>60</v>
      </c>
      <c r="C37" s="41">
        <f>C33+C34+C35+C36</f>
        <v>10000</v>
      </c>
      <c r="D37" s="117"/>
    </row>
    <row r="39" spans="2:4" ht="15.75" thickBot="1">
      <c r="B39" s="40" t="s">
        <v>61</v>
      </c>
      <c r="C39" s="41">
        <f>C31-C37</f>
        <v>35000</v>
      </c>
      <c r="D39" s="117"/>
    </row>
  </sheetData>
  <mergeCells count="1">
    <mergeCell ref="F5:K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2"/>
  <sheetViews>
    <sheetView tabSelected="1" topLeftCell="B30" workbookViewId="0">
      <selection activeCell="K52" sqref="K52"/>
    </sheetView>
  </sheetViews>
  <sheetFormatPr defaultRowHeight="15"/>
  <cols>
    <col min="1" max="1" width="43.7109375" bestFit="1" customWidth="1"/>
    <col min="2" max="2" width="9" bestFit="1" customWidth="1"/>
    <col min="3" max="3" width="12.85546875" bestFit="1" customWidth="1"/>
    <col min="4" max="7" width="12.5703125" bestFit="1" customWidth="1"/>
    <col min="8" max="8" width="12" bestFit="1" customWidth="1"/>
    <col min="12" max="12" width="10.7109375" bestFit="1" customWidth="1"/>
    <col min="14" max="14" width="41.5703125" bestFit="1" customWidth="1"/>
  </cols>
  <sheetData>
    <row r="1" spans="1:15">
      <c r="A1" s="15" t="str">
        <f>'[1]Long term projections'!A20</f>
        <v>Years</v>
      </c>
      <c r="B1" s="164" t="s">
        <v>120</v>
      </c>
      <c r="C1" s="164" t="s">
        <v>121</v>
      </c>
      <c r="D1" s="164" t="s">
        <v>122</v>
      </c>
      <c r="E1" s="164" t="s">
        <v>123</v>
      </c>
      <c r="F1" s="164" t="s">
        <v>124</v>
      </c>
      <c r="G1" s="164" t="s">
        <v>125</v>
      </c>
      <c r="H1" s="116"/>
    </row>
    <row r="2" spans="1:15">
      <c r="C2" s="43"/>
      <c r="D2" s="43"/>
      <c r="E2" s="43"/>
      <c r="F2" s="43"/>
      <c r="G2" s="43"/>
      <c r="H2" s="42"/>
    </row>
    <row r="3" spans="1:15">
      <c r="A3" s="2" t="str">
        <f>'[1]Long term projections'!A22</f>
        <v>Projections</v>
      </c>
      <c r="B3" s="2"/>
      <c r="C3" s="43"/>
      <c r="D3" s="43"/>
      <c r="E3" s="43"/>
      <c r="F3" s="43"/>
      <c r="G3" s="43"/>
      <c r="H3" s="42"/>
    </row>
    <row r="4" spans="1:15">
      <c r="A4" t="str">
        <f>'[1]Long term projections'!A23</f>
        <v>Real estate</v>
      </c>
      <c r="B4" s="162">
        <f>'Assett and income check up'!C8</f>
        <v>0</v>
      </c>
      <c r="C4" s="43">
        <f>B4*(1+'Optimal asset allocation'!B4)</f>
        <v>0</v>
      </c>
      <c r="D4" s="43">
        <f>+(C4+'Assett and income check up'!$F$8)*(1+'Optimal asset allocation'!$B$4)</f>
        <v>0</v>
      </c>
      <c r="E4" s="43">
        <f>+(D4+'Assett and income check up'!$F$8)*(1+'Optimal asset allocation'!$B$4)</f>
        <v>0</v>
      </c>
      <c r="F4" s="43">
        <f>+(E4+'Assett and income check up'!$F$8)*(1+'Optimal asset allocation'!$B$4)</f>
        <v>0</v>
      </c>
      <c r="G4" s="43">
        <f>+(F4+'Assett and income check up'!$F$8)*(1+'Optimal asset allocation'!$B$4)</f>
        <v>0</v>
      </c>
      <c r="H4" s="42"/>
      <c r="O4" s="158"/>
    </row>
    <row r="5" spans="1:15">
      <c r="A5" t="str">
        <f>'[1]Long term projections'!A24</f>
        <v>Public provident fund (PPF)</v>
      </c>
      <c r="B5" s="162">
        <f>'Assett and income check up'!C12</f>
        <v>100000</v>
      </c>
      <c r="C5" s="43">
        <f>+(B5+'Assett and income check up'!E$12)*(1+'Optimal asset allocation'!$B$8)</f>
        <v>108100.3544262295</v>
      </c>
      <c r="D5" s="43">
        <f ca="1">+(C5+'Assett and income check up'!F$12)*(1+'Optimal asset allocation'!$B$8)</f>
        <v>146175.79753475409</v>
      </c>
      <c r="E5" s="43">
        <f ca="1">+(D5+'Assett and income check up'!G$12)*(1+'Optimal asset allocation'!$B$8)</f>
        <v>189314.40525706916</v>
      </c>
      <c r="F5" s="43">
        <f ca="1">+(E5+'Assett and income check up'!H$12)*(1+'Optimal asset allocation'!$B$8)</f>
        <v>238059.88005312675</v>
      </c>
      <c r="G5" s="43">
        <f ca="1">+(F5+'Assett and income check up'!I$12)*(1+'Optimal asset allocation'!$B$8)</f>
        <v>293008.98134565586</v>
      </c>
      <c r="H5" s="42"/>
      <c r="I5" s="103"/>
      <c r="J5" s="103"/>
      <c r="K5" s="103"/>
      <c r="L5" s="103"/>
      <c r="M5" s="103"/>
      <c r="N5" t="s">
        <v>111</v>
      </c>
      <c r="O5" s="167">
        <v>0.2</v>
      </c>
    </row>
    <row r="6" spans="1:15">
      <c r="A6" t="str">
        <f>'[1]Long term projections'!A25</f>
        <v>Debt/Hybrid funds</v>
      </c>
      <c r="B6" s="162">
        <f>'Assett and income check up'!C9</f>
        <v>0</v>
      </c>
      <c r="C6" s="43">
        <f>B6*(1+O14)</f>
        <v>0</v>
      </c>
      <c r="D6" s="43">
        <f ca="1">+(C6+'Assett and income check up'!F$9)*(1+$O$14)</f>
        <v>224477.83506950995</v>
      </c>
      <c r="E6" s="43">
        <f ca="1">+(D6+'Assett and income check up'!G$9)*(1+$O$14)</f>
        <v>492167.65338990057</v>
      </c>
      <c r="F6" s="43">
        <f ca="1">+(E6+'Assett and income check up'!H$9)*(1+$O$14)</f>
        <v>809493.7300035673</v>
      </c>
      <c r="G6" s="43">
        <f ca="1">+(F6+'Assett and income check up'!I$9)*(1+$O$14)</f>
        <v>1183752.4117898876</v>
      </c>
      <c r="H6" s="42"/>
      <c r="I6" s="103"/>
      <c r="J6" s="103"/>
      <c r="K6" s="103"/>
      <c r="L6" s="103"/>
      <c r="M6" s="103"/>
      <c r="N6" t="s">
        <v>112</v>
      </c>
      <c r="O6" s="159">
        <v>10</v>
      </c>
    </row>
    <row r="7" spans="1:15">
      <c r="A7" t="str">
        <f>'[1]Long term projections'!A26</f>
        <v>Equity funds</v>
      </c>
      <c r="B7" s="162">
        <f>'Assett and income check up'!C7</f>
        <v>0</v>
      </c>
      <c r="C7" s="43">
        <f>B7*(1+O13)</f>
        <v>0</v>
      </c>
      <c r="D7" s="43">
        <f ca="1">+(C7+'Assett and income check up'!F$7)*(1+$O$13)</f>
        <v>54244.799999999996</v>
      </c>
      <c r="E7" s="43">
        <f ca="1">+(D7+'Assett and income check up'!G$7)*(1+$O$13)</f>
        <v>123000.08399999999</v>
      </c>
      <c r="F7" s="43">
        <f ca="1">+(E7+'Assett and income check up'!H$7)*(1+$O$13)</f>
        <v>209415.10166999995</v>
      </c>
      <c r="G7" s="43">
        <f ca="1">+(F7+'Assett and income check up'!I$7)*(1+$O$13)</f>
        <v>317285.6354327249</v>
      </c>
      <c r="H7" s="42"/>
      <c r="I7" s="103"/>
      <c r="J7" s="103"/>
      <c r="K7" s="103"/>
      <c r="L7" s="103"/>
      <c r="M7" s="103"/>
      <c r="N7" t="s">
        <v>113</v>
      </c>
      <c r="O7" s="167">
        <v>6.7500000000000004E-2</v>
      </c>
    </row>
    <row r="8" spans="1:15">
      <c r="A8" t="str">
        <f>'[1]Long term projections'!A27</f>
        <v xml:space="preserve">Other Savings(LIC) </v>
      </c>
      <c r="B8" s="162">
        <f>'Assett and income check up'!C18</f>
        <v>0</v>
      </c>
      <c r="C8" s="43">
        <f>B8*(1+'Optimal asset allocation'!B14)</f>
        <v>0</v>
      </c>
      <c r="D8" s="43">
        <f>+(C8+'Assett and income check up'!F$18)*(1+'Optimal asset allocation'!$B$14)</f>
        <v>0</v>
      </c>
      <c r="E8" s="43">
        <f>+(D8+'Assett and income check up'!G$18)*(1+'Optimal asset allocation'!$B$14)</f>
        <v>0</v>
      </c>
      <c r="F8" s="43">
        <f>+(E8+'Assett and income check up'!H$18)*(1+'Optimal asset allocation'!$B$14)</f>
        <v>0</v>
      </c>
      <c r="G8" s="43">
        <f>+(F8+'Assett and income check up'!I$18)*(1+'Optimal asset allocation'!$B$14)</f>
        <v>0</v>
      </c>
      <c r="H8" s="42"/>
      <c r="I8" s="103"/>
      <c r="J8" s="103"/>
      <c r="K8" s="103"/>
      <c r="L8" s="103"/>
      <c r="M8" s="103"/>
      <c r="N8" t="s">
        <v>114</v>
      </c>
      <c r="O8" s="167">
        <v>0.06</v>
      </c>
    </row>
    <row r="9" spans="1:15">
      <c r="A9" t="s">
        <v>116</v>
      </c>
      <c r="B9" s="162">
        <f>'Assett and income check up'!C11</f>
        <v>150000</v>
      </c>
      <c r="C9" s="43">
        <f>B9*(1+'Optimal asset allocation'!B7)</f>
        <v>160875</v>
      </c>
      <c r="D9" s="43">
        <f>(C9+'Assett and income check up'!F11)*(1+'Assett and income check up'!$D$11)</f>
        <v>172136.25</v>
      </c>
      <c r="E9" s="43">
        <f>(D9+'Assett and income check up'!G11)*(1+'Assett and income check up'!$D$11)</f>
        <v>184185.78750000001</v>
      </c>
      <c r="F9" s="43">
        <f>(E9+'Assett and income check up'!H11)*(1+'Assett and income check up'!$D$11)</f>
        <v>197078.79262500003</v>
      </c>
      <c r="G9" s="43">
        <f>(F9+'Assett and income check up'!I11)*(1+'Assett and income check up'!$D$11)</f>
        <v>210874.30810875003</v>
      </c>
      <c r="H9" s="42"/>
      <c r="I9" s="103"/>
      <c r="J9" s="103"/>
      <c r="K9" s="103"/>
      <c r="L9" s="103"/>
      <c r="M9" s="103"/>
      <c r="O9" s="160"/>
    </row>
    <row r="10" spans="1:15">
      <c r="A10" t="s">
        <v>74</v>
      </c>
      <c r="B10" s="162">
        <f>'Assett and income check up'!C13</f>
        <v>0</v>
      </c>
      <c r="C10" s="43">
        <f>B10*(1+'Optimal asset allocation'!B9)</f>
        <v>0</v>
      </c>
      <c r="D10" s="43">
        <f ca="1">(C10+'Assett and income check up'!$F13)*(1+'Optimal asset allocation'!$B$9)</f>
        <v>19793.927520000001</v>
      </c>
      <c r="E10" s="43">
        <f ca="1">(D10+'Assett and income check up'!$F13)*(1+'Optimal asset allocation'!$B$9)</f>
        <v>41462.339976144001</v>
      </c>
      <c r="F10" s="43">
        <f ca="1">(E10+'Assett and income check up'!$F13)*(1+'Optimal asset allocation'!$B$9)</f>
        <v>65182.751091884835</v>
      </c>
      <c r="G10" s="43">
        <f ca="1">(F10+'Assett and income check up'!$F13)*(1+'Optimal asset allocation'!$B$9)</f>
        <v>91149.485140286328</v>
      </c>
      <c r="H10" s="42"/>
      <c r="I10" s="103"/>
      <c r="J10" s="103"/>
      <c r="K10" s="103"/>
      <c r="L10" s="103"/>
      <c r="M10" s="103"/>
      <c r="O10" s="160"/>
    </row>
    <row r="11" spans="1:15">
      <c r="A11" t="str">
        <f>'[1]Long term projections'!A28</f>
        <v>Emergency cash</v>
      </c>
      <c r="B11" s="162">
        <f>'Assett and income check up'!C17</f>
        <v>55000</v>
      </c>
      <c r="C11" s="43">
        <f>B11*(1+6.5%)</f>
        <v>58575</v>
      </c>
      <c r="D11" s="43">
        <f ca="1">+(C11+'Assett and income check up'!F$17)*(1+'Optimal asset allocation'!$B$13)</f>
        <v>196176.39246907525</v>
      </c>
      <c r="E11" s="43">
        <f ca="1">+(D11+'Assett and income check up'!G$17)*(1+'Optimal asset allocation'!$B$13)</f>
        <v>348411.78212857607</v>
      </c>
      <c r="F11" s="43">
        <f ca="1">+(E11+'Assett and income check up'!H$17)*(1+'Optimal asset allocation'!$B$13)</f>
        <v>516482.79991680675</v>
      </c>
      <c r="G11" s="43">
        <f ca="1">+(F11+'Assett and income check up'!I$17)*(1+'Optimal asset allocation'!$B$13)</f>
        <v>701680.74030552502</v>
      </c>
      <c r="H11" s="42"/>
      <c r="I11" s="103"/>
      <c r="J11" s="103"/>
      <c r="K11" s="103"/>
      <c r="L11" s="103"/>
      <c r="M11" s="103"/>
      <c r="N11" t="s">
        <v>115</v>
      </c>
      <c r="O11" s="160">
        <v>7.0000000000000007E-2</v>
      </c>
    </row>
    <row r="12" spans="1:15">
      <c r="A12" s="2" t="str">
        <f>'[1]Long term projections'!A29</f>
        <v>Total</v>
      </c>
      <c r="B12" s="163">
        <f>SUM(B4:B11)</f>
        <v>305000</v>
      </c>
      <c r="C12" s="45">
        <f>SUM(C4:C11)</f>
        <v>327550.35442622949</v>
      </c>
      <c r="D12" s="45">
        <f t="shared" ref="D12:G12" ca="1" si="0">SUM(D4:D11)</f>
        <v>813005.0025933393</v>
      </c>
      <c r="E12" s="45">
        <f t="shared" ca="1" si="0"/>
        <v>1378542.0522516898</v>
      </c>
      <c r="F12" s="45">
        <f t="shared" ca="1" si="0"/>
        <v>2035713.0553603857</v>
      </c>
      <c r="G12" s="45">
        <f t="shared" ca="1" si="0"/>
        <v>2797751.5621228297</v>
      </c>
      <c r="H12" s="42"/>
      <c r="I12" s="103"/>
      <c r="J12" s="103"/>
      <c r="K12" s="103"/>
      <c r="L12" s="103"/>
      <c r="M12" s="103"/>
    </row>
    <row r="13" spans="1:15">
      <c r="C13" s="43"/>
      <c r="D13" s="43"/>
      <c r="E13" s="43"/>
      <c r="F13" s="43"/>
      <c r="G13" s="43"/>
      <c r="H13" s="42"/>
      <c r="I13" s="165"/>
      <c r="N13" t="s">
        <v>127</v>
      </c>
      <c r="O13" s="3">
        <v>0.2</v>
      </c>
    </row>
    <row r="14" spans="1:15">
      <c r="A14" t="str">
        <f>'[1]Long term projections'!A31</f>
        <v>Savings from employment</v>
      </c>
      <c r="C14" s="43"/>
      <c r="D14" s="43"/>
      <c r="E14" s="43"/>
      <c r="F14" s="43"/>
      <c r="G14" s="43"/>
      <c r="H14" s="42"/>
      <c r="J14" s="3"/>
      <c r="N14" t="s">
        <v>128</v>
      </c>
      <c r="O14" s="3">
        <v>0.125</v>
      </c>
    </row>
    <row r="15" spans="1:15">
      <c r="A15" t="str">
        <f>'[1]Long term projections'!A32</f>
        <v>Income (Employment)</v>
      </c>
      <c r="C15" s="43">
        <f>C16*12</f>
        <v>540000</v>
      </c>
      <c r="D15" s="43">
        <f t="shared" ref="D15:G15" si="1">D16*12</f>
        <v>576449.99999999988</v>
      </c>
      <c r="E15" s="43">
        <f t="shared" si="1"/>
        <v>615360.37499999977</v>
      </c>
      <c r="F15" s="43">
        <f t="shared" si="1"/>
        <v>656897.20031249966</v>
      </c>
      <c r="G15" s="43">
        <f t="shared" si="1"/>
        <v>701237.7613335934</v>
      </c>
      <c r="H15" s="42"/>
      <c r="N15" t="s">
        <v>129</v>
      </c>
      <c r="O15" s="181">
        <v>6.7500000000000004E-2</v>
      </c>
    </row>
    <row r="16" spans="1:15">
      <c r="A16" t="str">
        <f>'[1]Long term projections'!A33</f>
        <v>Income , monthly</v>
      </c>
      <c r="C16" s="43">
        <f>'Assett and income check up'!C29</f>
        <v>45000</v>
      </c>
      <c r="D16" s="43">
        <f>C16*(1+$O$7)</f>
        <v>48037.499999999993</v>
      </c>
      <c r="E16" s="43">
        <f t="shared" ref="E16:G16" si="2">D16*(1+$O$7)</f>
        <v>51280.031249999985</v>
      </c>
      <c r="F16" s="43">
        <f t="shared" si="2"/>
        <v>54741.433359374976</v>
      </c>
      <c r="G16" s="43">
        <f t="shared" si="2"/>
        <v>58436.480111132783</v>
      </c>
      <c r="H16" s="42"/>
    </row>
    <row r="17" spans="1:8">
      <c r="A17" t="str">
        <f>'[1]Long term projections'!A34</f>
        <v>Expenses, monthly</v>
      </c>
      <c r="C17" s="43">
        <f>'Assett and income check up'!C37</f>
        <v>10000</v>
      </c>
      <c r="D17" s="43">
        <f>C17*(1+$O$8)</f>
        <v>10600</v>
      </c>
      <c r="E17" s="43">
        <f t="shared" ref="E17:G17" si="3">D17*(1+$O$8)</f>
        <v>11236</v>
      </c>
      <c r="F17" s="43">
        <f t="shared" si="3"/>
        <v>11910.16</v>
      </c>
      <c r="G17" s="43">
        <f t="shared" si="3"/>
        <v>12624.7696</v>
      </c>
      <c r="H17" s="42"/>
    </row>
    <row r="18" spans="1:8">
      <c r="A18" t="str">
        <f>'[1]Long term projections'!A35</f>
        <v>Savings, monthly</v>
      </c>
      <c r="C18" s="43">
        <f>C16-C17</f>
        <v>35000</v>
      </c>
      <c r="D18" s="43">
        <f t="shared" ref="D18:G18" si="4">D16-D17</f>
        <v>37437.499999999993</v>
      </c>
      <c r="E18" s="43">
        <f t="shared" si="4"/>
        <v>40044.031249999985</v>
      </c>
      <c r="F18" s="43">
        <f t="shared" si="4"/>
        <v>42831.273359374973</v>
      </c>
      <c r="G18" s="43">
        <f t="shared" si="4"/>
        <v>45811.710511132784</v>
      </c>
      <c r="H18" s="42"/>
    </row>
    <row r="19" spans="1:8">
      <c r="A19" t="str">
        <f>'[1]Long term projections'!A36</f>
        <v xml:space="preserve">Savings (annual) </v>
      </c>
      <c r="C19" s="43">
        <f>C18*12</f>
        <v>420000</v>
      </c>
      <c r="D19" s="43">
        <f t="shared" ref="D19:G19" si="5">D18*12</f>
        <v>449249.99999999988</v>
      </c>
      <c r="E19" s="43">
        <f t="shared" si="5"/>
        <v>480528.37499999983</v>
      </c>
      <c r="F19" s="43">
        <f t="shared" si="5"/>
        <v>513975.28031249967</v>
      </c>
      <c r="G19" s="43">
        <f t="shared" si="5"/>
        <v>549740.5261335934</v>
      </c>
      <c r="H19" s="42"/>
    </row>
    <row r="20" spans="1:8">
      <c r="A20" t="str">
        <f>'[1]Long term projections'!A37</f>
        <v>Savings rate (%)</v>
      </c>
      <c r="C20" s="44">
        <f>C19/C15</f>
        <v>0.77777777777777779</v>
      </c>
      <c r="D20" s="44">
        <f t="shared" ref="D20:G20" si="6">D19/D15</f>
        <v>0.77933905802758252</v>
      </c>
      <c r="E20" s="44">
        <f t="shared" si="6"/>
        <v>0.78088936909530449</v>
      </c>
      <c r="F20" s="44">
        <f t="shared" si="6"/>
        <v>0.78242878804779648</v>
      </c>
      <c r="G20" s="44">
        <f t="shared" si="6"/>
        <v>0.78395739141045828</v>
      </c>
      <c r="H20" s="42"/>
    </row>
    <row r="21" spans="1:8">
      <c r="C21" s="43"/>
      <c r="D21" s="43"/>
      <c r="E21" s="43"/>
      <c r="F21" s="43"/>
      <c r="G21" s="43"/>
      <c r="H21" s="42"/>
    </row>
    <row r="22" spans="1:8">
      <c r="A22" t="str">
        <f>'[1]Long term projections'!A39</f>
        <v>Gross Savings (NPV), savings from employment</v>
      </c>
      <c r="C22" s="43">
        <f>NPV($O$11,C19:G19)</f>
        <v>1961236.6833575557</v>
      </c>
      <c r="D22" s="43">
        <f>C22*(1+'Optimal asset allocation'!$N$15)</f>
        <v>2157665.6508703539</v>
      </c>
      <c r="E22" s="43">
        <f>D22*(1+'Optimal asset allocation'!$N$15)</f>
        <v>2373768.0925770416</v>
      </c>
      <c r="F22" s="43">
        <f>E22*(1+'Optimal asset allocation'!$N$15)</f>
        <v>2611514.418401157</v>
      </c>
      <c r="G22" s="43">
        <f>F22*(1+'Optimal asset allocation'!$N$15)</f>
        <v>2873072.3859857372</v>
      </c>
      <c r="H22" s="42"/>
    </row>
    <row r="23" spans="1:8">
      <c r="A23" s="2" t="str">
        <f>'[1]Long term projections'!A40</f>
        <v>NPV total savings</v>
      </c>
      <c r="B23" s="2"/>
      <c r="C23" s="45">
        <f>C22+C12</f>
        <v>2288787.0377837853</v>
      </c>
      <c r="D23" s="45">
        <f t="shared" ref="D23:G23" ca="1" si="7">D22+D12</f>
        <v>2970670.6534636933</v>
      </c>
      <c r="E23" s="45">
        <f t="shared" ca="1" si="7"/>
        <v>3752310.1448287312</v>
      </c>
      <c r="F23" s="45">
        <f t="shared" ca="1" si="7"/>
        <v>4647227.4737615427</v>
      </c>
      <c r="G23" s="45">
        <f t="shared" ca="1" si="7"/>
        <v>5670823.9481085669</v>
      </c>
      <c r="H23" s="42"/>
    </row>
    <row r="24" spans="1:8">
      <c r="C24" s="43"/>
      <c r="D24" s="43"/>
      <c r="E24" s="43"/>
      <c r="F24" s="43"/>
      <c r="G24" s="43"/>
      <c r="H24" s="42"/>
    </row>
    <row r="25" spans="1:8">
      <c r="A25" t="str">
        <f>'[1]Long term projections'!A42</f>
        <v>Cost of car</v>
      </c>
      <c r="C25" s="43"/>
      <c r="D25" s="43"/>
      <c r="E25" s="43"/>
      <c r="F25" s="43"/>
      <c r="G25" s="43"/>
      <c r="H25" s="42"/>
    </row>
    <row r="26" spans="1:8">
      <c r="A26" t="str">
        <f>'[1]Long term projections'!A43</f>
        <v>Son's education</v>
      </c>
      <c r="C26" s="43"/>
      <c r="D26" s="43"/>
      <c r="E26" s="43"/>
      <c r="F26" s="43"/>
      <c r="G26" s="43"/>
      <c r="H26" s="42"/>
    </row>
    <row r="27" spans="1:8">
      <c r="A27" t="str">
        <f>'[1]Long term projections'!A44</f>
        <v>Son's wedding</v>
      </c>
      <c r="C27" s="43"/>
      <c r="D27" s="43"/>
      <c r="E27" s="43"/>
      <c r="F27" s="43"/>
      <c r="G27" s="43"/>
      <c r="H27" s="42"/>
    </row>
    <row r="28" spans="1:8">
      <c r="A28" t="str">
        <f>'[1]Long term projections'!A45</f>
        <v>Total</v>
      </c>
      <c r="C28" s="43">
        <v>0</v>
      </c>
      <c r="D28" s="43"/>
      <c r="E28" s="43"/>
      <c r="F28" s="43"/>
      <c r="G28" s="43"/>
      <c r="H28" s="42"/>
    </row>
    <row r="29" spans="1:8">
      <c r="A29" t="str">
        <f>'[1]Long term projections'!A46</f>
        <v>Major costs excl Pensions (NPV)</v>
      </c>
      <c r="C29" s="43">
        <f>NPV($O$11,C28:$G$28)</f>
        <v>0</v>
      </c>
      <c r="D29" s="43">
        <f>C29*(1+$O$11)</f>
        <v>0</v>
      </c>
      <c r="E29" s="43">
        <f t="shared" ref="E29:G29" si="8">D29*(1+$O$11)</f>
        <v>0</v>
      </c>
      <c r="F29" s="43">
        <f t="shared" si="8"/>
        <v>0</v>
      </c>
      <c r="G29" s="43">
        <f t="shared" si="8"/>
        <v>0</v>
      </c>
      <c r="H29" s="42"/>
    </row>
    <row r="30" spans="1:8">
      <c r="C30" s="43"/>
      <c r="D30" s="43"/>
      <c r="E30" s="43"/>
      <c r="F30" s="43"/>
      <c r="G30" s="43"/>
      <c r="H30" s="42"/>
    </row>
    <row r="31" spans="1:8">
      <c r="A31" t="str">
        <f>'[1]Long term projections'!A48</f>
        <v>Net Pension savings (NPV)</v>
      </c>
      <c r="C31" s="43">
        <f>C23-C29</f>
        <v>2288787.0377837853</v>
      </c>
      <c r="D31" s="43">
        <f t="shared" ref="D31:G31" ca="1" si="9">D23-D29</f>
        <v>2970670.6534636933</v>
      </c>
      <c r="E31" s="43">
        <f t="shared" ca="1" si="9"/>
        <v>3752310.1448287312</v>
      </c>
      <c r="F31" s="43">
        <f t="shared" ca="1" si="9"/>
        <v>4647227.4737615427</v>
      </c>
      <c r="G31" s="43">
        <f t="shared" ca="1" si="9"/>
        <v>5670823.9481085669</v>
      </c>
      <c r="H31" s="42"/>
    </row>
    <row r="33" spans="1:8">
      <c r="A33" s="45" t="s">
        <v>117</v>
      </c>
      <c r="B33" s="45"/>
      <c r="C33" s="103">
        <v>305000</v>
      </c>
      <c r="D33" s="45">
        <f>+C33+C34+C35</f>
        <v>327550.35442622949</v>
      </c>
      <c r="E33" s="45">
        <f t="shared" ref="E33:G33" ca="1" si="10">+D33+D34+D35</f>
        <v>813005.0025933393</v>
      </c>
      <c r="F33" s="45">
        <f t="shared" ca="1" si="10"/>
        <v>1378542.0522516898</v>
      </c>
      <c r="G33" s="45">
        <f t="shared" ca="1" si="10"/>
        <v>2035713.0553603857</v>
      </c>
      <c r="H33" s="166"/>
    </row>
    <row r="34" spans="1:8">
      <c r="A34" t="s">
        <v>118</v>
      </c>
      <c r="C34" s="45"/>
      <c r="D34" s="103">
        <f>+C19</f>
        <v>420000</v>
      </c>
      <c r="E34" s="103">
        <f t="shared" ref="E34:G34" si="11">+D19</f>
        <v>449249.99999999988</v>
      </c>
      <c r="F34" s="103">
        <f t="shared" si="11"/>
        <v>480528.37499999983</v>
      </c>
      <c r="G34" s="103">
        <f t="shared" si="11"/>
        <v>513975.28031249967</v>
      </c>
      <c r="H34" s="103"/>
    </row>
    <row r="35" spans="1:8">
      <c r="A35" s="45" t="s">
        <v>119</v>
      </c>
      <c r="B35" s="45"/>
      <c r="C35" s="103">
        <f>C12-B12</f>
        <v>22550.354426229489</v>
      </c>
      <c r="D35" s="103">
        <f ca="1">+D12-D34-D33</f>
        <v>65454.648167109815</v>
      </c>
      <c r="E35" s="103">
        <f t="shared" ref="E35:G35" ca="1" si="12">+E12-E34-E33</f>
        <v>116287.04965835065</v>
      </c>
      <c r="F35" s="103">
        <f t="shared" ca="1" si="12"/>
        <v>176642.62810869608</v>
      </c>
      <c r="G35" s="103">
        <f t="shared" ca="1" si="12"/>
        <v>248063.22644994454</v>
      </c>
    </row>
    <row r="36" spans="1:8">
      <c r="C36" s="45">
        <f>+SUM(C33:C35)</f>
        <v>327550.35442622949</v>
      </c>
      <c r="D36" s="45">
        <f t="shared" ref="D36:G36" ca="1" si="13">+SUM(D33:D35)</f>
        <v>813005.0025933393</v>
      </c>
      <c r="E36" s="45">
        <f t="shared" ca="1" si="13"/>
        <v>1378542.0522516898</v>
      </c>
      <c r="F36" s="45">
        <f t="shared" ca="1" si="13"/>
        <v>2035713.0553603857</v>
      </c>
      <c r="G36" s="45">
        <f t="shared" ca="1" si="13"/>
        <v>2797751.5621228297</v>
      </c>
    </row>
    <row r="37" spans="1:8">
      <c r="C37" s="103">
        <f>+C36-C12</f>
        <v>0</v>
      </c>
      <c r="D37" s="103">
        <f ca="1">+D36-D12</f>
        <v>0</v>
      </c>
      <c r="E37" s="103">
        <f ca="1">+E36-E12</f>
        <v>0</v>
      </c>
      <c r="F37" s="103">
        <f ca="1">+F36-F12</f>
        <v>0</v>
      </c>
      <c r="G37" s="103">
        <f ca="1">+G36-G12</f>
        <v>0</v>
      </c>
    </row>
    <row r="38" spans="1:8">
      <c r="C38" s="42"/>
      <c r="D38" s="179">
        <f ca="1">+D35/C12</f>
        <v>0.19983079634203674</v>
      </c>
      <c r="E38" s="179">
        <f t="shared" ref="E38:G38" ca="1" si="14">+E35/D12</f>
        <v>0.14303362130296363</v>
      </c>
      <c r="F38" s="179">
        <f t="shared" ca="1" si="14"/>
        <v>0.12813727939613498</v>
      </c>
      <c r="G38" s="179">
        <f t="shared" ca="1" si="14"/>
        <v>0.12185569365817596</v>
      </c>
    </row>
    <row r="39" spans="1:8">
      <c r="A39" s="45" t="s">
        <v>117</v>
      </c>
      <c r="C39" s="103">
        <f>C33/100000</f>
        <v>3.05</v>
      </c>
      <c r="D39" s="103">
        <f t="shared" ref="D39:G39" si="15">D33/100000</f>
        <v>3.2755035442622948</v>
      </c>
      <c r="E39" s="103">
        <f t="shared" ca="1" si="15"/>
        <v>8.130050025933393</v>
      </c>
      <c r="F39" s="103">
        <f t="shared" ca="1" si="15"/>
        <v>13.785420522516898</v>
      </c>
      <c r="G39" s="103">
        <f t="shared" ca="1" si="15"/>
        <v>20.357130553603856</v>
      </c>
    </row>
    <row r="40" spans="1:8">
      <c r="A40" t="s">
        <v>118</v>
      </c>
      <c r="C40" s="103">
        <f>C34/100000</f>
        <v>0</v>
      </c>
      <c r="D40" s="103">
        <f t="shared" ref="D40:G40" si="16">D34/100000</f>
        <v>4.2</v>
      </c>
      <c r="E40" s="103">
        <f t="shared" si="16"/>
        <v>4.4924999999999988</v>
      </c>
      <c r="F40" s="103">
        <f t="shared" si="16"/>
        <v>4.8052837499999983</v>
      </c>
      <c r="G40" s="103">
        <f t="shared" si="16"/>
        <v>5.1397528031249964</v>
      </c>
    </row>
    <row r="41" spans="1:8">
      <c r="A41" s="45" t="s">
        <v>119</v>
      </c>
      <c r="C41" s="103">
        <f>C35/100000</f>
        <v>0.22550354426229488</v>
      </c>
      <c r="D41" s="103">
        <f t="shared" ref="D41:G41" ca="1" si="17">D35/100000</f>
        <v>0.65454648167109819</v>
      </c>
      <c r="E41" s="103">
        <f t="shared" ca="1" si="17"/>
        <v>1.1628704965835064</v>
      </c>
      <c r="F41" s="103">
        <f t="shared" ca="1" si="17"/>
        <v>1.7664262810869609</v>
      </c>
      <c r="G41" s="103">
        <f t="shared" ca="1" si="17"/>
        <v>2.4806322644994454</v>
      </c>
    </row>
    <row r="42" spans="1:8">
      <c r="C42" s="103">
        <f>SUM(C39:C41)</f>
        <v>3.2755035442622948</v>
      </c>
      <c r="D42" s="103">
        <f t="shared" ref="D42:G42" ca="1" si="18">SUM(D39:D41)</f>
        <v>8.130050025933393</v>
      </c>
      <c r="E42" s="103">
        <f t="shared" ca="1" si="18"/>
        <v>13.785420522516899</v>
      </c>
      <c r="F42" s="103">
        <f t="shared" ca="1" si="18"/>
        <v>20.357130553603856</v>
      </c>
      <c r="G42" s="103">
        <f t="shared" ca="1" si="18"/>
        <v>27.977515621228296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3" sqref="C3"/>
    </sheetView>
  </sheetViews>
  <sheetFormatPr defaultRowHeight="15"/>
  <cols>
    <col min="1" max="1" width="5.28515625" bestFit="1" customWidth="1"/>
    <col min="2" max="2" width="40.42578125" customWidth="1"/>
    <col min="3" max="3" width="18" customWidth="1"/>
    <col min="4" max="4" width="19.7109375" customWidth="1"/>
    <col min="5" max="5" width="16.42578125" customWidth="1"/>
  </cols>
  <sheetData>
    <row r="1" spans="1:5" ht="18.75">
      <c r="A1" s="196" t="s">
        <v>23</v>
      </c>
      <c r="B1" s="197"/>
      <c r="C1" s="197"/>
      <c r="D1" s="197"/>
      <c r="E1" s="198"/>
    </row>
    <row r="2" spans="1:5">
      <c r="A2" s="19" t="s">
        <v>24</v>
      </c>
      <c r="B2" s="19" t="s">
        <v>25</v>
      </c>
      <c r="C2" s="31" t="s">
        <v>26</v>
      </c>
      <c r="D2" s="20" t="s">
        <v>21</v>
      </c>
      <c r="E2" s="20" t="s">
        <v>27</v>
      </c>
    </row>
    <row r="3" spans="1:5" ht="45">
      <c r="A3" s="21">
        <v>1</v>
      </c>
      <c r="B3" s="22" t="s">
        <v>28</v>
      </c>
      <c r="C3" s="23" t="s">
        <v>29</v>
      </c>
      <c r="D3" s="24" t="s">
        <v>30</v>
      </c>
      <c r="E3" s="24" t="s">
        <v>31</v>
      </c>
    </row>
    <row r="4" spans="1:5" ht="45">
      <c r="A4" s="25">
        <v>2</v>
      </c>
      <c r="B4" s="32" t="s">
        <v>32</v>
      </c>
      <c r="C4" s="26" t="s">
        <v>33</v>
      </c>
      <c r="D4" s="27" t="s">
        <v>34</v>
      </c>
      <c r="E4" s="27" t="s">
        <v>35</v>
      </c>
    </row>
    <row r="5" spans="1:5" ht="45">
      <c r="A5" s="25">
        <v>3</v>
      </c>
      <c r="B5" s="32" t="s">
        <v>36</v>
      </c>
      <c r="C5" s="26" t="s">
        <v>37</v>
      </c>
      <c r="D5" s="33"/>
      <c r="E5" s="27" t="s">
        <v>38</v>
      </c>
    </row>
    <row r="6" spans="1:5" ht="30">
      <c r="A6" s="28">
        <v>4</v>
      </c>
      <c r="B6" s="29" t="s">
        <v>39</v>
      </c>
      <c r="C6" s="34"/>
      <c r="D6" s="35"/>
      <c r="E6" s="30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4"/>
  <sheetViews>
    <sheetView topLeftCell="B1" workbookViewId="0">
      <selection activeCell="J1" sqref="J1:Q1"/>
    </sheetView>
  </sheetViews>
  <sheetFormatPr defaultRowHeight="15"/>
  <cols>
    <col min="1" max="1" width="27.42578125" style="37" bestFit="1" customWidth="1"/>
    <col min="2" max="2" width="14.42578125" style="37" bestFit="1" customWidth="1"/>
    <col min="3" max="9" width="9.140625" style="37"/>
    <col min="10" max="10" width="27.42578125" style="37" bestFit="1" customWidth="1"/>
    <col min="11" max="11" width="14.42578125" style="37" bestFit="1" customWidth="1"/>
    <col min="12" max="16384" width="9.140625" style="37"/>
  </cols>
  <sheetData>
    <row r="1" spans="1:17">
      <c r="A1" s="199" t="s">
        <v>104</v>
      </c>
      <c r="B1" s="200"/>
      <c r="C1" s="200"/>
      <c r="D1" s="200"/>
      <c r="E1" s="200"/>
      <c r="F1" s="200"/>
      <c r="G1" s="200"/>
      <c r="H1" s="201"/>
      <c r="J1" s="199" t="s">
        <v>107</v>
      </c>
      <c r="K1" s="200"/>
      <c r="L1" s="200"/>
      <c r="M1" s="200"/>
      <c r="N1" s="200"/>
      <c r="O1" s="200"/>
      <c r="P1" s="200"/>
      <c r="Q1" s="201"/>
    </row>
    <row r="2" spans="1:17">
      <c r="A2" s="124" t="s">
        <v>101</v>
      </c>
      <c r="B2" s="125">
        <f>Goals!C16</f>
        <v>35000</v>
      </c>
      <c r="C2" s="126"/>
      <c r="D2" s="126"/>
      <c r="E2" s="126"/>
      <c r="F2" s="126"/>
      <c r="G2" s="126"/>
      <c r="H2" s="127"/>
      <c r="J2" s="124" t="s">
        <v>101</v>
      </c>
      <c r="K2" s="125">
        <f>Goals!C16</f>
        <v>35000</v>
      </c>
      <c r="L2" s="126"/>
      <c r="M2" s="126"/>
      <c r="N2" s="126"/>
      <c r="O2" s="126"/>
      <c r="P2" s="126"/>
      <c r="Q2" s="127"/>
    </row>
    <row r="3" spans="1:17" ht="45">
      <c r="A3" s="128" t="s">
        <v>102</v>
      </c>
      <c r="B3" s="129">
        <f>'Assett and income check up'!E20</f>
        <v>6.8196721311475417E-2</v>
      </c>
      <c r="C3" s="126"/>
      <c r="D3" s="126"/>
      <c r="E3" s="126"/>
      <c r="F3" s="126"/>
      <c r="G3" s="126"/>
      <c r="H3" s="127"/>
      <c r="J3" s="128" t="s">
        <v>103</v>
      </c>
      <c r="K3" s="130">
        <f>+IF(B8&lt;=35,'Optimal asset allocation'!B15,IF(51&lt;'Current vs recommended'!B8&gt;35,'Optimal asset allocation'!F15,IF('Current vs recommended'!B8&gt;50,'Optimal asset allocation'!J15,0)))</f>
        <v>0.11133499999999999</v>
      </c>
      <c r="L3" s="126"/>
      <c r="M3" s="126"/>
      <c r="N3" s="126"/>
      <c r="O3" s="126"/>
      <c r="P3" s="126"/>
      <c r="Q3" s="127"/>
    </row>
    <row r="4" spans="1:17">
      <c r="A4" s="124" t="s">
        <v>105</v>
      </c>
      <c r="B4" s="131">
        <f>FV(B3/12,120,-B2)</f>
        <v>5998221.9114410197</v>
      </c>
      <c r="C4" s="126"/>
      <c r="D4" s="126"/>
      <c r="E4" s="126"/>
      <c r="F4" s="126"/>
      <c r="G4" s="126"/>
      <c r="H4" s="127"/>
      <c r="J4" s="124" t="s">
        <v>105</v>
      </c>
      <c r="K4" s="131">
        <f>FV(K3/12,120,-K2)</f>
        <v>7654018.6389781162</v>
      </c>
      <c r="L4" s="161">
        <f>+K4/10000000</f>
        <v>0.76540186389781162</v>
      </c>
      <c r="M4" s="126"/>
      <c r="N4" s="126"/>
      <c r="O4" s="126"/>
      <c r="P4" s="126"/>
      <c r="Q4" s="127"/>
    </row>
    <row r="5" spans="1:17">
      <c r="A5" s="124" t="s">
        <v>106</v>
      </c>
      <c r="B5" s="131">
        <f>FV(B3/12,240,-B2)</f>
        <v>17838413.025512293</v>
      </c>
      <c r="C5" s="126"/>
      <c r="D5" s="126"/>
      <c r="E5" s="126"/>
      <c r="F5" s="126"/>
      <c r="G5" s="126"/>
      <c r="H5" s="127"/>
      <c r="J5" s="124" t="s">
        <v>106</v>
      </c>
      <c r="K5" s="131">
        <f>FV(K3/12,240,-K2)</f>
        <v>30837679.629410185</v>
      </c>
      <c r="L5" s="161">
        <f>+K5/10000000</f>
        <v>3.0837679629410184</v>
      </c>
      <c r="M5" s="126"/>
      <c r="N5" s="126"/>
      <c r="O5" s="126"/>
      <c r="P5" s="126"/>
      <c r="Q5" s="127"/>
    </row>
    <row r="6" spans="1:17">
      <c r="A6" s="124"/>
      <c r="B6" s="126"/>
      <c r="C6" s="126"/>
      <c r="D6" s="126"/>
      <c r="E6" s="126"/>
      <c r="F6" s="126"/>
      <c r="G6" s="126"/>
      <c r="H6" s="127"/>
      <c r="J6" s="124"/>
      <c r="K6" s="126"/>
      <c r="L6" s="126"/>
      <c r="M6" s="126"/>
      <c r="N6" s="126"/>
      <c r="O6" s="126"/>
      <c r="P6" s="126"/>
      <c r="Q6" s="127"/>
    </row>
    <row r="7" spans="1:17">
      <c r="A7" s="124"/>
      <c r="B7" s="126"/>
      <c r="C7" s="126"/>
      <c r="D7" s="126"/>
      <c r="E7" s="126"/>
      <c r="F7" s="126"/>
      <c r="G7" s="126"/>
      <c r="H7" s="127"/>
      <c r="J7" s="124"/>
      <c r="K7" s="126"/>
      <c r="L7" s="126"/>
      <c r="M7" s="126"/>
      <c r="N7" s="126"/>
      <c r="O7" s="126"/>
      <c r="P7" s="126"/>
      <c r="Q7" s="127"/>
    </row>
    <row r="8" spans="1:17">
      <c r="A8" s="124" t="s">
        <v>85</v>
      </c>
      <c r="B8" s="126">
        <f>Goals!C15</f>
        <v>25</v>
      </c>
      <c r="C8" s="126"/>
      <c r="D8" s="126"/>
      <c r="E8" s="126"/>
      <c r="F8" s="126"/>
      <c r="G8" s="126"/>
      <c r="H8" s="127"/>
      <c r="J8" s="124"/>
      <c r="K8" s="126"/>
      <c r="L8" s="126"/>
      <c r="M8" s="126"/>
      <c r="N8" s="126"/>
      <c r="O8" s="126"/>
      <c r="P8" s="126"/>
      <c r="Q8" s="127"/>
    </row>
    <row r="9" spans="1:17">
      <c r="A9" s="124"/>
      <c r="B9" s="126"/>
      <c r="C9" s="126"/>
      <c r="D9" s="126"/>
      <c r="E9" s="126"/>
      <c r="F9" s="126"/>
      <c r="G9" s="126"/>
      <c r="H9" s="127"/>
      <c r="J9" s="124"/>
      <c r="K9" s="126"/>
      <c r="L9" s="126"/>
      <c r="M9" s="126"/>
      <c r="N9" s="126"/>
      <c r="O9" s="126"/>
      <c r="P9" s="126"/>
      <c r="Q9" s="127"/>
    </row>
    <row r="10" spans="1:17">
      <c r="A10" s="124"/>
      <c r="B10" s="126"/>
      <c r="C10" s="126"/>
      <c r="D10" s="126"/>
      <c r="E10" s="126"/>
      <c r="F10" s="126"/>
      <c r="G10" s="126"/>
      <c r="H10" s="127"/>
      <c r="J10" s="124"/>
      <c r="K10" s="126"/>
      <c r="L10" s="126"/>
      <c r="M10" s="126"/>
      <c r="N10" s="126"/>
      <c r="O10" s="126"/>
      <c r="P10" s="126"/>
      <c r="Q10" s="127"/>
    </row>
    <row r="11" spans="1:17">
      <c r="A11" s="124"/>
      <c r="B11" s="126"/>
      <c r="C11" s="126"/>
      <c r="D11" s="126"/>
      <c r="E11" s="126"/>
      <c r="F11" s="126"/>
      <c r="G11" s="126"/>
      <c r="H11" s="127"/>
      <c r="J11" s="124"/>
      <c r="K11" s="126"/>
      <c r="L11" s="126"/>
      <c r="M11" s="126"/>
      <c r="N11" s="126"/>
      <c r="O11" s="126"/>
      <c r="P11" s="126"/>
      <c r="Q11" s="127"/>
    </row>
    <row r="12" spans="1:17">
      <c r="A12" s="124"/>
      <c r="B12" s="126"/>
      <c r="C12" s="126"/>
      <c r="D12" s="126"/>
      <c r="E12" s="126"/>
      <c r="F12" s="126"/>
      <c r="G12" s="126"/>
      <c r="H12" s="127"/>
      <c r="J12" s="124"/>
      <c r="K12" s="126"/>
      <c r="L12" s="126"/>
      <c r="M12" s="126"/>
      <c r="N12" s="126"/>
      <c r="O12" s="126"/>
      <c r="P12" s="126"/>
      <c r="Q12" s="127"/>
    </row>
    <row r="13" spans="1:17">
      <c r="A13" s="124"/>
      <c r="B13" s="126"/>
      <c r="C13" s="126"/>
      <c r="D13" s="126"/>
      <c r="E13" s="126"/>
      <c r="F13" s="126"/>
      <c r="G13" s="126"/>
      <c r="H13" s="127"/>
      <c r="J13" s="124"/>
      <c r="K13" s="126"/>
      <c r="L13" s="126"/>
      <c r="M13" s="126"/>
      <c r="N13" s="126"/>
      <c r="O13" s="126"/>
      <c r="P13" s="126"/>
      <c r="Q13" s="127"/>
    </row>
    <row r="14" spans="1:17">
      <c r="A14" s="124"/>
      <c r="B14" s="126"/>
      <c r="C14" s="126"/>
      <c r="D14" s="126"/>
      <c r="E14" s="126"/>
      <c r="F14" s="126"/>
      <c r="G14" s="126"/>
      <c r="H14" s="127"/>
      <c r="J14" s="124"/>
      <c r="K14" s="126"/>
      <c r="L14" s="126"/>
      <c r="M14" s="126"/>
      <c r="N14" s="126"/>
      <c r="O14" s="126"/>
      <c r="P14" s="126"/>
      <c r="Q14" s="127"/>
    </row>
    <row r="15" spans="1:17">
      <c r="A15" s="124"/>
      <c r="B15" s="126"/>
      <c r="C15" s="126"/>
      <c r="D15" s="126"/>
      <c r="E15" s="126"/>
      <c r="F15" s="126"/>
      <c r="G15" s="126"/>
      <c r="H15" s="127"/>
      <c r="J15" s="124"/>
      <c r="K15" s="126"/>
      <c r="L15" s="126"/>
      <c r="M15" s="126"/>
      <c r="N15" s="126"/>
      <c r="O15" s="126"/>
      <c r="P15" s="126"/>
      <c r="Q15" s="127"/>
    </row>
    <row r="16" spans="1:17">
      <c r="A16" s="124"/>
      <c r="B16" s="126"/>
      <c r="C16" s="126"/>
      <c r="D16" s="126"/>
      <c r="E16" s="126"/>
      <c r="F16" s="126"/>
      <c r="G16" s="126"/>
      <c r="H16" s="127"/>
      <c r="J16" s="124"/>
      <c r="K16" s="126"/>
      <c r="L16" s="126"/>
      <c r="M16" s="126"/>
      <c r="N16" s="126"/>
      <c r="O16" s="126"/>
      <c r="P16" s="126"/>
      <c r="Q16" s="127"/>
    </row>
    <row r="17" spans="1:17">
      <c r="A17" s="124"/>
      <c r="B17" s="126"/>
      <c r="C17" s="126"/>
      <c r="D17" s="126"/>
      <c r="E17" s="126"/>
      <c r="F17" s="126"/>
      <c r="G17" s="126"/>
      <c r="H17" s="127"/>
      <c r="J17" s="124"/>
      <c r="K17" s="126"/>
      <c r="L17" s="126"/>
      <c r="M17" s="126"/>
      <c r="N17" s="126"/>
      <c r="O17" s="126"/>
      <c r="P17" s="126"/>
      <c r="Q17" s="127"/>
    </row>
    <row r="18" spans="1:17">
      <c r="A18" s="124"/>
      <c r="B18" s="126"/>
      <c r="C18" s="126"/>
      <c r="D18" s="126"/>
      <c r="E18" s="126"/>
      <c r="F18" s="126"/>
      <c r="G18" s="126"/>
      <c r="H18" s="127"/>
      <c r="J18" s="124"/>
      <c r="K18" s="126"/>
      <c r="L18" s="126"/>
      <c r="M18" s="126"/>
      <c r="N18" s="126"/>
      <c r="O18" s="126"/>
      <c r="P18" s="126"/>
      <c r="Q18" s="127"/>
    </row>
    <row r="19" spans="1:17">
      <c r="A19" s="124"/>
      <c r="B19" s="126"/>
      <c r="C19" s="126"/>
      <c r="D19" s="126"/>
      <c r="E19" s="126"/>
      <c r="F19" s="126"/>
      <c r="G19" s="126"/>
      <c r="H19" s="127"/>
      <c r="J19" s="124"/>
      <c r="K19" s="126"/>
      <c r="L19" s="126"/>
      <c r="M19" s="126"/>
      <c r="N19" s="126"/>
      <c r="O19" s="126"/>
      <c r="P19" s="126"/>
      <c r="Q19" s="127"/>
    </row>
    <row r="20" spans="1:17">
      <c r="A20" s="124"/>
      <c r="B20" s="126"/>
      <c r="C20" s="126"/>
      <c r="D20" s="126"/>
      <c r="E20" s="126"/>
      <c r="F20" s="126"/>
      <c r="G20" s="126"/>
      <c r="H20" s="127"/>
      <c r="J20" s="124"/>
      <c r="K20" s="126"/>
      <c r="L20" s="126"/>
      <c r="M20" s="126"/>
      <c r="N20" s="126"/>
      <c r="O20" s="126"/>
      <c r="P20" s="126"/>
      <c r="Q20" s="127"/>
    </row>
    <row r="21" spans="1:17">
      <c r="A21" s="124"/>
      <c r="B21" s="126"/>
      <c r="C21" s="126"/>
      <c r="D21" s="126"/>
      <c r="E21" s="126"/>
      <c r="F21" s="126"/>
      <c r="G21" s="126"/>
      <c r="H21" s="127"/>
      <c r="J21" s="124"/>
      <c r="K21" s="126"/>
      <c r="L21" s="126"/>
      <c r="M21" s="126"/>
      <c r="N21" s="126"/>
      <c r="O21" s="126"/>
      <c r="P21" s="126"/>
      <c r="Q21" s="127"/>
    </row>
    <row r="22" spans="1:17">
      <c r="A22" s="124"/>
      <c r="B22" s="126"/>
      <c r="C22" s="126"/>
      <c r="D22" s="126"/>
      <c r="E22" s="126"/>
      <c r="F22" s="126"/>
      <c r="G22" s="126"/>
      <c r="H22" s="127"/>
      <c r="J22" s="124"/>
      <c r="K22" s="126"/>
      <c r="L22" s="126"/>
      <c r="M22" s="126"/>
      <c r="N22" s="126"/>
      <c r="O22" s="126"/>
      <c r="P22" s="126"/>
      <c r="Q22" s="127"/>
    </row>
    <row r="23" spans="1:17">
      <c r="A23" s="124"/>
      <c r="B23" s="126"/>
      <c r="C23" s="126"/>
      <c r="D23" s="126"/>
      <c r="E23" s="126"/>
      <c r="F23" s="126"/>
      <c r="G23" s="126"/>
      <c r="H23" s="127"/>
      <c r="J23" s="124"/>
      <c r="K23" s="126"/>
      <c r="L23" s="126"/>
      <c r="M23" s="126"/>
      <c r="N23" s="126"/>
      <c r="O23" s="126"/>
      <c r="P23" s="126"/>
      <c r="Q23" s="127"/>
    </row>
    <row r="24" spans="1:17">
      <c r="A24" s="124"/>
      <c r="B24" s="126"/>
      <c r="C24" s="126"/>
      <c r="D24" s="126"/>
      <c r="E24" s="126"/>
      <c r="F24" s="126"/>
      <c r="G24" s="126"/>
      <c r="H24" s="127"/>
      <c r="J24" s="124"/>
      <c r="K24" s="126"/>
      <c r="L24" s="126"/>
      <c r="M24" s="126"/>
      <c r="N24" s="126"/>
      <c r="O24" s="126"/>
      <c r="P24" s="126"/>
      <c r="Q24" s="127"/>
    </row>
    <row r="25" spans="1:17">
      <c r="A25" s="124"/>
      <c r="B25" s="126"/>
      <c r="C25" s="126"/>
      <c r="D25" s="126"/>
      <c r="E25" s="126"/>
      <c r="F25" s="126"/>
      <c r="G25" s="126"/>
      <c r="H25" s="127"/>
      <c r="J25" s="124"/>
      <c r="K25" s="126"/>
      <c r="L25" s="126"/>
      <c r="M25" s="126"/>
      <c r="N25" s="126"/>
      <c r="O25" s="126"/>
      <c r="P25" s="126"/>
      <c r="Q25" s="127"/>
    </row>
    <row r="26" spans="1:17">
      <c r="A26" s="124"/>
      <c r="B26" s="126"/>
      <c r="C26" s="126"/>
      <c r="D26" s="126"/>
      <c r="E26" s="126"/>
      <c r="F26" s="126"/>
      <c r="G26" s="126"/>
      <c r="H26" s="127"/>
      <c r="J26" s="124"/>
      <c r="K26" s="126"/>
      <c r="L26" s="126"/>
      <c r="M26" s="126"/>
      <c r="N26" s="126"/>
      <c r="O26" s="126"/>
      <c r="P26" s="126"/>
      <c r="Q26" s="127"/>
    </row>
    <row r="27" spans="1:17">
      <c r="A27" s="124"/>
      <c r="B27" s="126"/>
      <c r="C27" s="126"/>
      <c r="D27" s="126"/>
      <c r="E27" s="126"/>
      <c r="F27" s="126"/>
      <c r="G27" s="126"/>
      <c r="H27" s="127"/>
      <c r="J27" s="124"/>
      <c r="K27" s="126"/>
      <c r="L27" s="126"/>
      <c r="M27" s="126"/>
      <c r="N27" s="126"/>
      <c r="O27" s="126"/>
      <c r="P27" s="126"/>
      <c r="Q27" s="127"/>
    </row>
    <row r="28" spans="1:17">
      <c r="A28" s="124"/>
      <c r="B28" s="126"/>
      <c r="C28" s="126"/>
      <c r="D28" s="126"/>
      <c r="E28" s="126"/>
      <c r="F28" s="126"/>
      <c r="G28" s="126"/>
      <c r="H28" s="127"/>
      <c r="J28" s="124"/>
      <c r="K28" s="126"/>
      <c r="L28" s="126"/>
      <c r="M28" s="126"/>
      <c r="N28" s="126"/>
      <c r="O28" s="126"/>
      <c r="P28" s="126"/>
      <c r="Q28" s="127"/>
    </row>
    <row r="29" spans="1:17">
      <c r="A29" s="124"/>
      <c r="B29" s="126"/>
      <c r="C29" s="126"/>
      <c r="D29" s="126"/>
      <c r="E29" s="126"/>
      <c r="F29" s="126"/>
      <c r="G29" s="126"/>
      <c r="H29" s="127"/>
      <c r="J29" s="124"/>
      <c r="K29" s="126"/>
      <c r="L29" s="126"/>
      <c r="M29" s="126"/>
      <c r="N29" s="126"/>
      <c r="O29" s="126"/>
      <c r="P29" s="126"/>
      <c r="Q29" s="127"/>
    </row>
    <row r="30" spans="1:17">
      <c r="A30" s="124"/>
      <c r="B30" s="126"/>
      <c r="C30" s="126"/>
      <c r="D30" s="126"/>
      <c r="E30" s="126"/>
      <c r="F30" s="126"/>
      <c r="G30" s="126"/>
      <c r="H30" s="127"/>
      <c r="J30" s="124"/>
      <c r="K30" s="126"/>
      <c r="L30" s="126"/>
      <c r="M30" s="126"/>
      <c r="N30" s="126"/>
      <c r="O30" s="126"/>
      <c r="P30" s="126"/>
      <c r="Q30" s="127"/>
    </row>
    <row r="31" spans="1:17">
      <c r="A31" s="124"/>
      <c r="B31" s="126"/>
      <c r="C31" s="126"/>
      <c r="D31" s="126"/>
      <c r="E31" s="126"/>
      <c r="F31" s="126"/>
      <c r="G31" s="126"/>
      <c r="H31" s="127"/>
      <c r="J31" s="124"/>
      <c r="K31" s="126"/>
      <c r="L31" s="126"/>
      <c r="M31" s="126"/>
      <c r="N31" s="126"/>
      <c r="O31" s="126"/>
      <c r="P31" s="126"/>
      <c r="Q31" s="127"/>
    </row>
    <row r="32" spans="1:17">
      <c r="A32" s="124"/>
      <c r="B32" s="126"/>
      <c r="C32" s="126"/>
      <c r="D32" s="126"/>
      <c r="E32" s="126"/>
      <c r="F32" s="126"/>
      <c r="G32" s="126"/>
      <c r="H32" s="127"/>
      <c r="J32" s="124"/>
      <c r="K32" s="126"/>
      <c r="L32" s="126"/>
      <c r="M32" s="126"/>
      <c r="N32" s="126"/>
      <c r="O32" s="126"/>
      <c r="P32" s="126"/>
      <c r="Q32" s="127"/>
    </row>
    <row r="33" spans="1:17">
      <c r="A33" s="124"/>
      <c r="B33" s="126"/>
      <c r="C33" s="126"/>
      <c r="D33" s="126"/>
      <c r="E33" s="126"/>
      <c r="F33" s="126"/>
      <c r="G33" s="126"/>
      <c r="H33" s="127"/>
      <c r="J33" s="124"/>
      <c r="K33" s="126"/>
      <c r="L33" s="126"/>
      <c r="M33" s="126"/>
      <c r="N33" s="126"/>
      <c r="O33" s="126"/>
      <c r="P33" s="126"/>
      <c r="Q33" s="127"/>
    </row>
    <row r="34" spans="1:17">
      <c r="A34" s="124"/>
      <c r="B34" s="126"/>
      <c r="C34" s="126"/>
      <c r="D34" s="126"/>
      <c r="E34" s="126"/>
      <c r="F34" s="126"/>
      <c r="G34" s="126"/>
      <c r="H34" s="127"/>
      <c r="J34" s="124"/>
      <c r="K34" s="126"/>
      <c r="L34" s="126"/>
      <c r="M34" s="126"/>
      <c r="N34" s="126"/>
      <c r="O34" s="126"/>
      <c r="P34" s="126"/>
      <c r="Q34" s="127"/>
    </row>
    <row r="35" spans="1:17">
      <c r="A35" s="124"/>
      <c r="B35" s="126"/>
      <c r="C35" s="126"/>
      <c r="D35" s="126"/>
      <c r="E35" s="126"/>
      <c r="F35" s="126"/>
      <c r="G35" s="126"/>
      <c r="H35" s="127"/>
      <c r="J35" s="124"/>
      <c r="K35" s="126"/>
      <c r="L35" s="126"/>
      <c r="M35" s="126"/>
      <c r="N35" s="126"/>
      <c r="O35" s="126"/>
      <c r="P35" s="126"/>
      <c r="Q35" s="127"/>
    </row>
    <row r="36" spans="1:17">
      <c r="A36" s="124"/>
      <c r="B36" s="126"/>
      <c r="C36" s="126"/>
      <c r="D36" s="126"/>
      <c r="E36" s="126"/>
      <c r="F36" s="126"/>
      <c r="G36" s="126"/>
      <c r="H36" s="127"/>
      <c r="J36" s="124"/>
      <c r="K36" s="126"/>
      <c r="L36" s="126"/>
      <c r="M36" s="126"/>
      <c r="N36" s="126"/>
      <c r="O36" s="126"/>
      <c r="P36" s="126"/>
      <c r="Q36" s="127"/>
    </row>
    <row r="37" spans="1:17">
      <c r="A37" s="124"/>
      <c r="B37" s="126"/>
      <c r="C37" s="126"/>
      <c r="D37" s="126"/>
      <c r="E37" s="126"/>
      <c r="F37" s="126"/>
      <c r="G37" s="126"/>
      <c r="H37" s="127"/>
      <c r="J37" s="124"/>
      <c r="K37" s="126"/>
      <c r="L37" s="126"/>
      <c r="M37" s="126"/>
      <c r="N37" s="126"/>
      <c r="O37" s="126"/>
      <c r="P37" s="126"/>
      <c r="Q37" s="127"/>
    </row>
    <row r="38" spans="1:17">
      <c r="A38" s="124"/>
      <c r="B38" s="126"/>
      <c r="C38" s="126"/>
      <c r="D38" s="126"/>
      <c r="E38" s="126"/>
      <c r="F38" s="126"/>
      <c r="G38" s="126"/>
      <c r="H38" s="127"/>
      <c r="J38" s="124"/>
      <c r="K38" s="126"/>
      <c r="L38" s="126"/>
      <c r="M38" s="126"/>
      <c r="N38" s="126"/>
      <c r="O38" s="126"/>
      <c r="P38" s="126"/>
      <c r="Q38" s="127"/>
    </row>
    <row r="39" spans="1:17">
      <c r="A39" s="124"/>
      <c r="B39" s="126"/>
      <c r="C39" s="126"/>
      <c r="D39" s="126"/>
      <c r="E39" s="126"/>
      <c r="F39" s="126"/>
      <c r="G39" s="126"/>
      <c r="H39" s="127"/>
      <c r="J39" s="124"/>
      <c r="K39" s="126"/>
      <c r="L39" s="126"/>
      <c r="M39" s="126"/>
      <c r="N39" s="126"/>
      <c r="O39" s="126"/>
      <c r="P39" s="126"/>
      <c r="Q39" s="127"/>
    </row>
    <row r="40" spans="1:17">
      <c r="A40" s="124"/>
      <c r="B40" s="126"/>
      <c r="C40" s="126"/>
      <c r="D40" s="126"/>
      <c r="E40" s="126"/>
      <c r="F40" s="126"/>
      <c r="G40" s="126"/>
      <c r="H40" s="127"/>
      <c r="J40" s="124"/>
      <c r="K40" s="126"/>
      <c r="L40" s="126"/>
      <c r="M40" s="126"/>
      <c r="N40" s="126"/>
      <c r="O40" s="126"/>
      <c r="P40" s="126"/>
      <c r="Q40" s="127"/>
    </row>
    <row r="41" spans="1:17">
      <c r="A41" s="124"/>
      <c r="B41" s="126"/>
      <c r="C41" s="126"/>
      <c r="D41" s="126"/>
      <c r="E41" s="126"/>
      <c r="F41" s="126"/>
      <c r="G41" s="126"/>
      <c r="H41" s="127"/>
      <c r="J41" s="124"/>
      <c r="K41" s="126"/>
      <c r="L41" s="126"/>
      <c r="M41" s="126"/>
      <c r="N41" s="126"/>
      <c r="O41" s="126"/>
      <c r="P41" s="126"/>
      <c r="Q41" s="127"/>
    </row>
    <row r="42" spans="1:17">
      <c r="A42" s="124"/>
      <c r="B42" s="126"/>
      <c r="C42" s="126"/>
      <c r="D42" s="126"/>
      <c r="E42" s="126"/>
      <c r="F42" s="126"/>
      <c r="G42" s="126"/>
      <c r="H42" s="127"/>
      <c r="J42" s="124"/>
      <c r="K42" s="126"/>
      <c r="L42" s="126"/>
      <c r="M42" s="126"/>
      <c r="N42" s="126"/>
      <c r="O42" s="126"/>
      <c r="P42" s="126"/>
      <c r="Q42" s="127"/>
    </row>
    <row r="43" spans="1:17">
      <c r="A43" s="124"/>
      <c r="B43" s="126"/>
      <c r="C43" s="126"/>
      <c r="D43" s="126"/>
      <c r="E43" s="126"/>
      <c r="F43" s="126"/>
      <c r="G43" s="126"/>
      <c r="H43" s="127"/>
      <c r="J43" s="124"/>
      <c r="K43" s="126"/>
      <c r="L43" s="126"/>
      <c r="M43" s="126"/>
      <c r="N43" s="126"/>
      <c r="O43" s="126"/>
      <c r="P43" s="126"/>
      <c r="Q43" s="127"/>
    </row>
    <row r="44" spans="1:17">
      <c r="A44" s="124"/>
      <c r="B44" s="126"/>
      <c r="C44" s="126"/>
      <c r="D44" s="126"/>
      <c r="E44" s="126"/>
      <c r="F44" s="126"/>
      <c r="G44" s="126"/>
      <c r="H44" s="127"/>
      <c r="J44" s="124"/>
      <c r="K44" s="126"/>
      <c r="L44" s="126"/>
      <c r="M44" s="126"/>
      <c r="N44" s="126"/>
      <c r="O44" s="126"/>
      <c r="P44" s="126"/>
      <c r="Q44" s="127"/>
    </row>
    <row r="45" spans="1:17">
      <c r="A45" s="124"/>
      <c r="B45" s="126"/>
      <c r="C45" s="126"/>
      <c r="D45" s="126"/>
      <c r="E45" s="126"/>
      <c r="F45" s="126"/>
      <c r="G45" s="126"/>
      <c r="H45" s="127"/>
      <c r="J45" s="124"/>
      <c r="K45" s="126"/>
      <c r="L45" s="126"/>
      <c r="M45" s="126"/>
      <c r="N45" s="126"/>
      <c r="O45" s="126"/>
      <c r="P45" s="126"/>
      <c r="Q45" s="127"/>
    </row>
    <row r="46" spans="1:17">
      <c r="A46" s="132"/>
      <c r="B46" s="133"/>
      <c r="C46" s="133"/>
      <c r="D46" s="133"/>
      <c r="E46" s="133"/>
      <c r="F46" s="133"/>
      <c r="G46" s="133"/>
      <c r="H46" s="134"/>
      <c r="J46" s="124"/>
      <c r="K46" s="126"/>
      <c r="L46" s="126"/>
      <c r="M46" s="126"/>
      <c r="N46" s="126"/>
      <c r="O46" s="126"/>
      <c r="P46" s="126"/>
      <c r="Q46" s="127"/>
    </row>
    <row r="47" spans="1:17">
      <c r="J47" s="124"/>
      <c r="K47" s="126"/>
      <c r="L47" s="126"/>
      <c r="M47" s="126"/>
      <c r="N47" s="126"/>
      <c r="O47" s="126"/>
      <c r="P47" s="126"/>
      <c r="Q47" s="127"/>
    </row>
    <row r="48" spans="1:17">
      <c r="J48" s="124"/>
      <c r="K48" s="126"/>
      <c r="L48" s="126"/>
      <c r="M48" s="126"/>
      <c r="N48" s="126"/>
      <c r="O48" s="126"/>
      <c r="P48" s="126"/>
      <c r="Q48" s="127"/>
    </row>
    <row r="49" spans="10:17">
      <c r="J49" s="124"/>
      <c r="K49" s="126"/>
      <c r="L49" s="126"/>
      <c r="M49" s="126"/>
      <c r="N49" s="126"/>
      <c r="O49" s="126"/>
      <c r="P49" s="126"/>
      <c r="Q49" s="127"/>
    </row>
    <row r="50" spans="10:17">
      <c r="J50" s="124"/>
      <c r="K50" s="126"/>
      <c r="L50" s="126"/>
      <c r="M50" s="126"/>
      <c r="N50" s="126"/>
      <c r="O50" s="126"/>
      <c r="P50" s="126"/>
      <c r="Q50" s="127"/>
    </row>
    <row r="51" spans="10:17">
      <c r="J51" s="124"/>
      <c r="K51" s="126"/>
      <c r="L51" s="126"/>
      <c r="M51" s="126"/>
      <c r="N51" s="126"/>
      <c r="O51" s="126"/>
      <c r="P51" s="126"/>
      <c r="Q51" s="127"/>
    </row>
    <row r="52" spans="10:17">
      <c r="J52" s="124"/>
      <c r="K52" s="126"/>
      <c r="L52" s="126"/>
      <c r="M52" s="126"/>
      <c r="N52" s="126"/>
      <c r="O52" s="126"/>
      <c r="P52" s="126"/>
      <c r="Q52" s="127"/>
    </row>
    <row r="53" spans="10:17">
      <c r="J53" s="124"/>
      <c r="K53" s="126"/>
      <c r="L53" s="126"/>
      <c r="M53" s="126"/>
      <c r="N53" s="126"/>
      <c r="O53" s="126"/>
      <c r="P53" s="126"/>
      <c r="Q53" s="127"/>
    </row>
    <row r="54" spans="10:17">
      <c r="J54" s="132"/>
      <c r="K54" s="133"/>
      <c r="L54" s="133"/>
      <c r="M54" s="133"/>
      <c r="N54" s="133"/>
      <c r="O54" s="133"/>
      <c r="P54" s="133"/>
      <c r="Q54" s="134"/>
    </row>
  </sheetData>
  <mergeCells count="2">
    <mergeCell ref="A1:H1"/>
    <mergeCell ref="J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Goals</vt:lpstr>
      <vt:lpstr>Optimal asset allocation</vt:lpstr>
      <vt:lpstr>Assett and income check up</vt:lpstr>
      <vt:lpstr>Long term projections</vt:lpstr>
      <vt:lpstr>Funds</vt:lpstr>
      <vt:lpstr>Current vs 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2016-09-23T14:48:35Z</dcterms:modified>
</cp:coreProperties>
</file>