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ases" sheetId="1" r:id="rId1"/>
    <sheet name="Asset and income check up" sheetId="4" r:id="rId2"/>
    <sheet name="Goals" sheetId="6" r:id="rId3"/>
    <sheet name="Optimal asset allocation" sheetId="2" r:id="rId4"/>
    <sheet name="Long term projections" sheetId="5" r:id="rId5"/>
    <sheet name="Funds" sheetId="3" r:id="rId6"/>
    <sheet name="Current vs recommended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C13" i="5"/>
  <c r="C7"/>
  <c r="C6"/>
  <c r="B11" l="1"/>
  <c r="C11" s="1"/>
  <c r="B10"/>
  <c r="C10" s="1"/>
  <c r="D10" s="1"/>
  <c r="E10" s="1"/>
  <c r="F10" s="1"/>
  <c r="G10" s="1"/>
  <c r="B12"/>
  <c r="C12" s="1"/>
  <c r="D12" s="1"/>
  <c r="E12" s="1"/>
  <c r="F12" s="1"/>
  <c r="G12" s="1"/>
  <c r="B13"/>
  <c r="B14"/>
  <c r="C14" s="1"/>
  <c r="H18" i="4"/>
  <c r="I18"/>
  <c r="J18" s="1"/>
  <c r="H15"/>
  <c r="I15"/>
  <c r="J15" s="1"/>
  <c r="H14"/>
  <c r="I14"/>
  <c r="J14" s="1"/>
  <c r="H11"/>
  <c r="I11"/>
  <c r="J11" s="1"/>
  <c r="H8"/>
  <c r="I8"/>
  <c r="J8" s="1"/>
  <c r="G8"/>
  <c r="G11"/>
  <c r="G14"/>
  <c r="G15"/>
  <c r="G18"/>
  <c r="B15" i="5" l="1"/>
  <c r="C15" s="1"/>
  <c r="D15" s="1"/>
  <c r="E15" s="1"/>
  <c r="F15" s="1"/>
  <c r="G15" s="1"/>
  <c r="B9"/>
  <c r="C9" s="1"/>
  <c r="B8"/>
  <c r="C8" s="1"/>
  <c r="D8" s="1"/>
  <c r="E8" s="1"/>
  <c r="F8" s="1"/>
  <c r="G8" s="1"/>
  <c r="B7"/>
  <c r="B6"/>
  <c r="B5"/>
  <c r="C5" s="1"/>
  <c r="B4"/>
  <c r="C4" s="1"/>
  <c r="D4" s="1"/>
  <c r="E4" s="1"/>
  <c r="F4" s="1"/>
  <c r="G4" s="1"/>
  <c r="C19" i="4"/>
  <c r="E10" s="1"/>
  <c r="D21" i="6"/>
  <c r="D34" i="5"/>
  <c r="E34" s="1"/>
  <c r="F34" s="1"/>
  <c r="G34" s="1"/>
  <c r="C34"/>
  <c r="C20"/>
  <c r="C19" s="1"/>
  <c r="B16" l="1"/>
  <c r="C39" s="1"/>
  <c r="C16"/>
  <c r="E11" i="4"/>
  <c r="E15"/>
  <c r="E7"/>
  <c r="E16"/>
  <c r="E12"/>
  <c r="E8"/>
  <c r="E17"/>
  <c r="E13"/>
  <c r="E9"/>
  <c r="E18"/>
  <c r="E14"/>
  <c r="D20" i="5"/>
  <c r="C41" l="1"/>
  <c r="C42" s="1"/>
  <c r="D19"/>
  <c r="E20"/>
  <c r="D39" l="1"/>
  <c r="E19"/>
  <c r="F20"/>
  <c r="G20" l="1"/>
  <c r="F19"/>
  <c r="G19" l="1"/>
  <c r="B8" i="8" l="1"/>
  <c r="F15" i="2" l="1"/>
  <c r="D15" i="6"/>
  <c r="J5" s="1"/>
  <c r="F6"/>
  <c r="F7"/>
  <c r="F5"/>
  <c r="C17"/>
  <c r="E8" s="1"/>
  <c r="F8" s="1"/>
  <c r="K8" s="1"/>
  <c r="A1" i="5"/>
  <c r="A3"/>
  <c r="A4"/>
  <c r="A5"/>
  <c r="A6"/>
  <c r="A7"/>
  <c r="A8"/>
  <c r="A9"/>
  <c r="A16"/>
  <c r="A18"/>
  <c r="A19"/>
  <c r="A20"/>
  <c r="A21"/>
  <c r="A22"/>
  <c r="A25"/>
  <c r="A27"/>
  <c r="A28"/>
  <c r="A30"/>
  <c r="A31"/>
  <c r="A32"/>
  <c r="A33"/>
  <c r="A34"/>
  <c r="A36"/>
  <c r="C37" i="4"/>
  <c r="C31"/>
  <c r="J15" i="2"/>
  <c r="B15"/>
  <c r="K3" i="8" s="1"/>
  <c r="C21" i="5" l="1"/>
  <c r="D21" s="1"/>
  <c r="C39" i="4"/>
  <c r="C25"/>
  <c r="J6" i="6"/>
  <c r="J7"/>
  <c r="J8"/>
  <c r="K7"/>
  <c r="L6"/>
  <c r="N5"/>
  <c r="O7"/>
  <c r="P6"/>
  <c r="K5"/>
  <c r="L7"/>
  <c r="M6"/>
  <c r="O5"/>
  <c r="P7"/>
  <c r="L5"/>
  <c r="M7"/>
  <c r="N6"/>
  <c r="P5"/>
  <c r="K6"/>
  <c r="M5"/>
  <c r="N7"/>
  <c r="O6"/>
  <c r="P8"/>
  <c r="O8"/>
  <c r="N8"/>
  <c r="M8"/>
  <c r="L8"/>
  <c r="C16"/>
  <c r="C23" i="5" s="1"/>
  <c r="E9" i="6"/>
  <c r="F9" s="1"/>
  <c r="J9" s="1"/>
  <c r="E12"/>
  <c r="F12" s="1"/>
  <c r="J12" s="1"/>
  <c r="E11"/>
  <c r="F11" s="1"/>
  <c r="J11" s="1"/>
  <c r="E10"/>
  <c r="F10" s="1"/>
  <c r="J10" s="1"/>
  <c r="E7"/>
  <c r="E6"/>
  <c r="D22" s="1"/>
  <c r="D24" s="1"/>
  <c r="G6" s="1"/>
  <c r="H12" s="1"/>
  <c r="I12" s="1"/>
  <c r="E5"/>
  <c r="N15" i="2"/>
  <c r="C24" i="5" l="1"/>
  <c r="D23"/>
  <c r="C22"/>
  <c r="E21"/>
  <c r="D22"/>
  <c r="K2" i="8"/>
  <c r="B2"/>
  <c r="H5" i="6"/>
  <c r="I5" s="1"/>
  <c r="O17" s="1"/>
  <c r="E20" i="4"/>
  <c r="B3" i="8" s="1"/>
  <c r="H10" i="6"/>
  <c r="I10" s="1"/>
  <c r="H7"/>
  <c r="I7" s="1"/>
  <c r="K19" s="1"/>
  <c r="H9"/>
  <c r="I9" s="1"/>
  <c r="H11"/>
  <c r="I11" s="1"/>
  <c r="H8"/>
  <c r="I8" s="1"/>
  <c r="K20" s="1"/>
  <c r="H6"/>
  <c r="I6" s="1"/>
  <c r="K18" s="1"/>
  <c r="O12"/>
  <c r="O24" s="1"/>
  <c r="P12"/>
  <c r="P24" s="1"/>
  <c r="O10"/>
  <c r="P10"/>
  <c r="O9"/>
  <c r="O21" s="1"/>
  <c r="P9"/>
  <c r="O11"/>
  <c r="P11"/>
  <c r="M10"/>
  <c r="N10"/>
  <c r="M12"/>
  <c r="M24" s="1"/>
  <c r="N12"/>
  <c r="N24" s="1"/>
  <c r="M11"/>
  <c r="N11"/>
  <c r="N23" s="1"/>
  <c r="M9"/>
  <c r="N9"/>
  <c r="K11"/>
  <c r="L11"/>
  <c r="L23" s="1"/>
  <c r="K12"/>
  <c r="K24" s="1"/>
  <c r="L12"/>
  <c r="L24" s="1"/>
  <c r="K10"/>
  <c r="L10"/>
  <c r="K9"/>
  <c r="L9"/>
  <c r="D40" i="5" l="1"/>
  <c r="D24"/>
  <c r="E23"/>
  <c r="C25"/>
  <c r="D25"/>
  <c r="E40"/>
  <c r="B4" i="8"/>
  <c r="B5"/>
  <c r="K4"/>
  <c r="K5"/>
  <c r="M19" i="6"/>
  <c r="O19"/>
  <c r="L18"/>
  <c r="J18"/>
  <c r="P17"/>
  <c r="J17"/>
  <c r="K17"/>
  <c r="F21" i="5"/>
  <c r="E22"/>
  <c r="L17" i="6"/>
  <c r="M17"/>
  <c r="N17"/>
  <c r="K22"/>
  <c r="M22"/>
  <c r="O23"/>
  <c r="P23"/>
  <c r="K23"/>
  <c r="M23"/>
  <c r="O18"/>
  <c r="L19"/>
  <c r="P18"/>
  <c r="K21"/>
  <c r="M21"/>
  <c r="J20"/>
  <c r="L21"/>
  <c r="L22"/>
  <c r="N21"/>
  <c r="J19"/>
  <c r="O22"/>
  <c r="P22"/>
  <c r="N22"/>
  <c r="P21"/>
  <c r="N19"/>
  <c r="N18"/>
  <c r="P19"/>
  <c r="M18"/>
  <c r="M20"/>
  <c r="P20"/>
  <c r="N20"/>
  <c r="L20"/>
  <c r="O20"/>
  <c r="J22"/>
  <c r="J23"/>
  <c r="J24"/>
  <c r="J21"/>
  <c r="F23" i="5" l="1"/>
  <c r="E24"/>
  <c r="F40" s="1"/>
  <c r="O25" i="6"/>
  <c r="F13" i="4" s="1"/>
  <c r="G21" i="5"/>
  <c r="G22" s="1"/>
  <c r="F22"/>
  <c r="K25" i="6"/>
  <c r="F9" i="4" s="1"/>
  <c r="D6" i="5" s="1"/>
  <c r="L25" i="6"/>
  <c r="F17" i="4" s="1"/>
  <c r="N25" i="6"/>
  <c r="F12" i="4" s="1"/>
  <c r="P25" i="6"/>
  <c r="F16" i="4" s="1"/>
  <c r="D13" i="5" s="1"/>
  <c r="M25" i="6"/>
  <c r="F10" i="4" s="1"/>
  <c r="D11" i="5" s="1"/>
  <c r="J25" i="6"/>
  <c r="F7" i="4" s="1"/>
  <c r="D7" i="5" s="1"/>
  <c r="E25" l="1"/>
  <c r="F24"/>
  <c r="G23"/>
  <c r="G24" s="1"/>
  <c r="G25" s="1"/>
  <c r="G10" i="4"/>
  <c r="H10" s="1"/>
  <c r="I10" s="1"/>
  <c r="J10" s="1"/>
  <c r="G16"/>
  <c r="H16" s="1"/>
  <c r="I16" s="1"/>
  <c r="J16" s="1"/>
  <c r="G13"/>
  <c r="H13" s="1"/>
  <c r="I13" s="1"/>
  <c r="J13" s="1"/>
  <c r="D14" i="5"/>
  <c r="F25"/>
  <c r="G40"/>
  <c r="G17" i="4"/>
  <c r="H17" s="1"/>
  <c r="I17" s="1"/>
  <c r="J17" s="1"/>
  <c r="D9" i="5"/>
  <c r="G12" i="4"/>
  <c r="H12" s="1"/>
  <c r="I12" s="1"/>
  <c r="J12" s="1"/>
  <c r="D5" i="5"/>
  <c r="G9" i="4"/>
  <c r="E6" i="5" s="1"/>
  <c r="G7" i="4"/>
  <c r="H7" s="1"/>
  <c r="I7" s="1"/>
  <c r="J7" s="1"/>
  <c r="E13" i="5" l="1"/>
  <c r="F13" s="1"/>
  <c r="G13" s="1"/>
  <c r="E7"/>
  <c r="F7" s="1"/>
  <c r="G7" s="1"/>
  <c r="C27"/>
  <c r="E11"/>
  <c r="F11" s="1"/>
  <c r="G11" s="1"/>
  <c r="E14"/>
  <c r="F14" s="1"/>
  <c r="G14" s="1"/>
  <c r="E9"/>
  <c r="F9" s="1"/>
  <c r="G9" s="1"/>
  <c r="E5"/>
  <c r="F5" s="1"/>
  <c r="G5" s="1"/>
  <c r="H9" i="4"/>
  <c r="F6" i="5" s="1"/>
  <c r="G19" i="4"/>
  <c r="D16" i="5"/>
  <c r="D41" s="1"/>
  <c r="F19" i="4"/>
  <c r="C28" i="5" l="1"/>
  <c r="C36" s="1"/>
  <c r="D27"/>
  <c r="E27" s="1"/>
  <c r="F27" s="1"/>
  <c r="G27" s="1"/>
  <c r="D42"/>
  <c r="I9" i="4"/>
  <c r="G6" i="5" s="1"/>
  <c r="H19" i="4"/>
  <c r="E16" i="5"/>
  <c r="D28" l="1"/>
  <c r="D36" s="1"/>
  <c r="E39"/>
  <c r="E41" s="1"/>
  <c r="E28"/>
  <c r="E36" s="1"/>
  <c r="J9" i="4"/>
  <c r="J19" s="1"/>
  <c r="I19"/>
  <c r="G16" i="5"/>
  <c r="F16"/>
  <c r="F39" l="1"/>
  <c r="F41" s="1"/>
  <c r="F28"/>
  <c r="F36" s="1"/>
  <c r="G28"/>
  <c r="G36" s="1"/>
  <c r="E42" l="1"/>
  <c r="G39"/>
  <c r="G41" s="1"/>
  <c r="F42" l="1"/>
  <c r="G42"/>
</calcChain>
</file>

<file path=xl/sharedStrings.xml><?xml version="1.0" encoding="utf-8"?>
<sst xmlns="http://schemas.openxmlformats.org/spreadsheetml/2006/main" count="213" uniqueCount="132">
  <si>
    <t>Emergency Fund</t>
  </si>
  <si>
    <t>Retirement</t>
  </si>
  <si>
    <t>Early stage of career (20-35yrs age)</t>
  </si>
  <si>
    <t>Mid stage of career (35-50yrs age)</t>
  </si>
  <si>
    <t>Later stage of career (50-60yrs age)</t>
  </si>
  <si>
    <t>Return assumptions</t>
  </si>
  <si>
    <t>Proportions (%)</t>
  </si>
  <si>
    <t>Equity mutual fund returns</t>
  </si>
  <si>
    <t>Real estate investment</t>
  </si>
  <si>
    <t>Balanced debt/mutual funds</t>
  </si>
  <si>
    <t>Fixed deposits</t>
  </si>
  <si>
    <t>Recurring deposits</t>
  </si>
  <si>
    <t>PPF</t>
  </si>
  <si>
    <t>National Pension scheme (NPS)</t>
  </si>
  <si>
    <t>ELSS</t>
  </si>
  <si>
    <t>ULIP</t>
  </si>
  <si>
    <t>Gold ETF</t>
  </si>
  <si>
    <t>LIC</t>
  </si>
  <si>
    <t>Blended returns</t>
  </si>
  <si>
    <t>Blended return over course of working life</t>
  </si>
  <si>
    <t>Asset Class</t>
  </si>
  <si>
    <t>Goals</t>
  </si>
  <si>
    <t>Equity Funds</t>
  </si>
  <si>
    <t>Asset class</t>
  </si>
  <si>
    <t>Recommended Funds</t>
  </si>
  <si>
    <t>Rank</t>
  </si>
  <si>
    <t xml:space="preserve">Debt funds </t>
  </si>
  <si>
    <t>Hybrid Funds</t>
  </si>
  <si>
    <t>Gold ETFs</t>
  </si>
  <si>
    <t>Franklin India Government Securities Fund - Composite Plan - Direct Plan</t>
  </si>
  <si>
    <t>HDFC Balanced Fund</t>
  </si>
  <si>
    <t>HDFC Mid-Cap Opportunities Fund - Direct Plan</t>
  </si>
  <si>
    <t>Goldman Sachs Gold ETF</t>
  </si>
  <si>
    <t>HDFC Gilt Fund - Long Term Plan - Direct Plan</t>
  </si>
  <si>
    <t>Tata Balanced Fund - Direct Plan</t>
  </si>
  <si>
    <t>Birla Sun Life Top 100 Fund - Direct Plan</t>
  </si>
  <si>
    <t>Birla Sun Life Gold ETF</t>
  </si>
  <si>
    <t>Birla Sun Life Gilt Plus - PF Plan - Direct Plan</t>
  </si>
  <si>
    <t>L&amp;T India Prudence Fund - Direct Plan</t>
  </si>
  <si>
    <t>HDFC Gold ETF</t>
  </si>
  <si>
    <t>SBI Magnum Gilt Fund - Long Term Plan - Direct Plan</t>
  </si>
  <si>
    <t>Asset and income checkup</t>
  </si>
  <si>
    <t>Balance sheet</t>
  </si>
  <si>
    <t>Asset</t>
  </si>
  <si>
    <t>Current value (INR, lakh)</t>
  </si>
  <si>
    <t>Real estate</t>
  </si>
  <si>
    <t>Fixed deposit</t>
  </si>
  <si>
    <t>Debt/Hybrid funds</t>
  </si>
  <si>
    <t>Total assets</t>
  </si>
  <si>
    <t>Liabilities</t>
  </si>
  <si>
    <t>Total net worth</t>
  </si>
  <si>
    <t>Cash flow statement</t>
  </si>
  <si>
    <t>Income</t>
  </si>
  <si>
    <t>Total monthly income</t>
  </si>
  <si>
    <t>Household expenses</t>
  </si>
  <si>
    <t>Loan EMIs</t>
  </si>
  <si>
    <t>Insurance premium</t>
  </si>
  <si>
    <t>Investment</t>
  </si>
  <si>
    <t>Total expenses</t>
  </si>
  <si>
    <t>Net savings</t>
  </si>
  <si>
    <t>Incremental asset allocation p.a.</t>
  </si>
  <si>
    <t>Actual Goals</t>
  </si>
  <si>
    <t>Amount</t>
  </si>
  <si>
    <t>Target Date</t>
  </si>
  <si>
    <t>EMI required</t>
  </si>
  <si>
    <t>Amount allocation(monthly)</t>
  </si>
  <si>
    <t>Emergency Fund EMI calculation</t>
  </si>
  <si>
    <t>Funds required</t>
  </si>
  <si>
    <t>Months</t>
  </si>
  <si>
    <t>Returns (%)</t>
  </si>
  <si>
    <t>EMI</t>
  </si>
  <si>
    <t>Equity fund</t>
  </si>
  <si>
    <t>Hybrid/debt fund</t>
  </si>
  <si>
    <t>Equity mutual fund</t>
  </si>
  <si>
    <t xml:space="preserve">Equity mutual fund </t>
  </si>
  <si>
    <t>Savings Account</t>
  </si>
  <si>
    <t>Payback Loans</t>
  </si>
  <si>
    <t>Savings/month</t>
  </si>
  <si>
    <t>A goal</t>
  </si>
  <si>
    <t>Z Goal</t>
  </si>
  <si>
    <t>M Goal</t>
  </si>
  <si>
    <t>Today's date</t>
  </si>
  <si>
    <t>Years to Target date</t>
  </si>
  <si>
    <t>Age</t>
  </si>
  <si>
    <t>Amount allocation (monthly)</t>
  </si>
  <si>
    <t xml:space="preserve">Case 1
Age 20-35 </t>
  </si>
  <si>
    <t xml:space="preserve">Case 2
Age 36-50 </t>
  </si>
  <si>
    <t>Case 3
Age 51-60</t>
  </si>
  <si>
    <t>Long Term</t>
  </si>
  <si>
    <t>Short Term</t>
  </si>
  <si>
    <t>Hybrid/ debt fund</t>
  </si>
  <si>
    <t>Asset Classes</t>
  </si>
  <si>
    <t>Final Asset Allocation/month</t>
  </si>
  <si>
    <t>Other income</t>
  </si>
  <si>
    <t>Saving Account</t>
  </si>
  <si>
    <t xml:space="preserve"> </t>
  </si>
  <si>
    <t>Proportion</t>
  </si>
  <si>
    <t xml:space="preserve">Blended Return:   </t>
  </si>
  <si>
    <t>RETURN Assumption</t>
  </si>
  <si>
    <t>Monthly savings</t>
  </si>
  <si>
    <t>Blended return of current asset allocation</t>
  </si>
  <si>
    <t>Blended return of recommended asset allocation</t>
  </si>
  <si>
    <t>Current asset allocation</t>
  </si>
  <si>
    <t>Savings at the end of 10 years</t>
  </si>
  <si>
    <t>Savings at the end of 20 years</t>
  </si>
  <si>
    <t>Recommended asset allocation</t>
  </si>
  <si>
    <t>National Pension Scheme</t>
  </si>
  <si>
    <t>Savings rate (%)</t>
  </si>
  <si>
    <t>Target pension savings at retirement (crores)</t>
  </si>
  <si>
    <t>Income growth (%, pa)</t>
  </si>
  <si>
    <t>Inflation rate</t>
  </si>
  <si>
    <t>Interest rate</t>
  </si>
  <si>
    <t>Recurring Deposit</t>
  </si>
  <si>
    <t>FY16</t>
  </si>
  <si>
    <t>FY17</t>
  </si>
  <si>
    <t>FY18</t>
  </si>
  <si>
    <t>FY19</t>
  </si>
  <si>
    <t>FY20</t>
  </si>
  <si>
    <t>FY21</t>
  </si>
  <si>
    <t>Balance at the beginning of the year</t>
  </si>
  <si>
    <t>Additions</t>
  </si>
  <si>
    <t xml:space="preserve">Returns </t>
  </si>
  <si>
    <t>Loan</t>
  </si>
  <si>
    <t>Saving Recommended</t>
  </si>
  <si>
    <t>Saving Recommended(Annual)</t>
  </si>
  <si>
    <t>Recommended saving growth rate</t>
  </si>
  <si>
    <t>NPS</t>
  </si>
  <si>
    <t>Higher Education</t>
  </si>
  <si>
    <t>Wedding</t>
  </si>
  <si>
    <t>Equity Funds Return</t>
  </si>
  <si>
    <t>Debt/Hybrid Funds return</t>
  </si>
  <si>
    <t>Gold ETF Return</t>
  </si>
</sst>
</file>

<file path=xl/styles.xml><?xml version="1.0" encoding="utf-8"?>
<styleSheet xmlns="http://schemas.openxmlformats.org/spreadsheetml/2006/main">
  <numFmts count="8">
    <numFmt numFmtId="8" formatCode="&quot;₹&quot;\ #,##0.00;[Red]&quot;₹&quot;\ \-#,##0.00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(* #,##0_);_(* \(#,##0\);_(* &quot;-&quot;??_);_(@_)"/>
    <numFmt numFmtId="167" formatCode="_ * #,##0.0_ ;_ * \-#,##0.0_ ;_ * &quot;-&quot;??_ ;_ @_ "/>
    <numFmt numFmtId="168" formatCode="#,##0.0"/>
    <numFmt numFmtId="169" formatCode="&quot;₹&quot;\ 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7499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164" fontId="3" fillId="0" borderId="2" xfId="0" applyNumberFormat="1" applyFont="1" applyBorder="1"/>
    <xf numFmtId="0" fontId="0" fillId="0" borderId="7" xfId="0" applyBorder="1"/>
    <xf numFmtId="9" fontId="4" fillId="0" borderId="0" xfId="0" applyNumberFormat="1" applyFont="1" applyBorder="1"/>
    <xf numFmtId="9" fontId="4" fillId="0" borderId="8" xfId="0" applyNumberFormat="1" applyFont="1" applyBorder="1"/>
    <xf numFmtId="0" fontId="0" fillId="0" borderId="11" xfId="0" applyBorder="1"/>
    <xf numFmtId="0" fontId="3" fillId="0" borderId="12" xfId="0" applyFont="1" applyBorder="1"/>
    <xf numFmtId="164" fontId="3" fillId="0" borderId="13" xfId="0" applyNumberFormat="1" applyFont="1" applyBorder="1"/>
    <xf numFmtId="0" fontId="0" fillId="0" borderId="14" xfId="0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9" fontId="4" fillId="0" borderId="14" xfId="0" applyNumberFormat="1" applyFont="1" applyFill="1" applyBorder="1" applyAlignment="1">
      <alignment vertical="center"/>
    </xf>
    <xf numFmtId="9" fontId="4" fillId="0" borderId="16" xfId="0" applyNumberFormat="1" applyFont="1" applyFill="1" applyBorder="1" applyAlignment="1">
      <alignment vertical="center"/>
    </xf>
    <xf numFmtId="9" fontId="4" fillId="0" borderId="11" xfId="0" applyNumberFormat="1" applyFont="1" applyFill="1" applyBorder="1" applyAlignment="1">
      <alignment vertical="center"/>
    </xf>
    <xf numFmtId="0" fontId="3" fillId="4" borderId="0" xfId="0" applyFont="1" applyFill="1"/>
    <xf numFmtId="0" fontId="0" fillId="5" borderId="0" xfId="0" applyFill="1"/>
    <xf numFmtId="0" fontId="6" fillId="5" borderId="0" xfId="0" applyFont="1" applyFill="1"/>
    <xf numFmtId="0" fontId="3" fillId="5" borderId="0" xfId="0" applyFont="1" applyFill="1"/>
    <xf numFmtId="0" fontId="3" fillId="5" borderId="17" xfId="0" applyFont="1" applyFill="1" applyBorder="1"/>
    <xf numFmtId="3" fontId="3" fillId="5" borderId="17" xfId="0" applyNumberFormat="1" applyFont="1" applyFill="1" applyBorder="1"/>
    <xf numFmtId="9" fontId="0" fillId="0" borderId="0" xfId="2" applyFont="1"/>
    <xf numFmtId="165" fontId="0" fillId="0" borderId="0" xfId="1" applyNumberFormat="1" applyFont="1"/>
    <xf numFmtId="164" fontId="0" fillId="0" borderId="0" xfId="1" applyNumberFormat="1" applyFont="1"/>
    <xf numFmtId="165" fontId="3" fillId="0" borderId="0" xfId="1" applyNumberFormat="1" applyFont="1"/>
    <xf numFmtId="0" fontId="7" fillId="0" borderId="12" xfId="0" applyFont="1" applyFill="1" applyBorder="1" applyAlignment="1">
      <alignment horizontal="center"/>
    </xf>
    <xf numFmtId="0" fontId="8" fillId="0" borderId="7" xfId="0" applyFont="1" applyFill="1" applyBorder="1"/>
    <xf numFmtId="166" fontId="0" fillId="0" borderId="0" xfId="1" applyNumberFormat="1" applyFont="1" applyFill="1" applyBorder="1" applyAlignment="1">
      <alignment horizontal="center"/>
    </xf>
    <xf numFmtId="9" fontId="0" fillId="0" borderId="8" xfId="0" applyNumberFormat="1" applyBorder="1"/>
    <xf numFmtId="8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9" fontId="8" fillId="0" borderId="10" xfId="2" applyFont="1" applyFill="1" applyBorder="1" applyAlignment="1">
      <alignment horizontal="center"/>
    </xf>
    <xf numFmtId="9" fontId="8" fillId="0" borderId="0" xfId="2" applyNumberFormat="1" applyFont="1" applyFill="1" applyBorder="1" applyAlignment="1">
      <alignment horizontal="center"/>
    </xf>
    <xf numFmtId="9" fontId="8" fillId="0" borderId="10" xfId="2" applyNumberFormat="1" applyFont="1" applyFill="1" applyBorder="1" applyAlignment="1">
      <alignment horizontal="center"/>
    </xf>
    <xf numFmtId="0" fontId="7" fillId="0" borderId="5" xfId="0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0" xfId="0" applyNumberFormat="1" applyFont="1" applyFill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164" fontId="0" fillId="0" borderId="0" xfId="0" applyNumberFormat="1"/>
    <xf numFmtId="9" fontId="0" fillId="0" borderId="0" xfId="0" applyNumberFormat="1" applyBorder="1"/>
    <xf numFmtId="8" fontId="0" fillId="0" borderId="0" xfId="0" applyNumberFormat="1" applyBorder="1"/>
    <xf numFmtId="14" fontId="0" fillId="0" borderId="0" xfId="0" applyNumberFormat="1" applyBorder="1"/>
    <xf numFmtId="43" fontId="0" fillId="0" borderId="0" xfId="1" applyFont="1" applyBorder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167" fontId="9" fillId="0" borderId="0" xfId="1" applyNumberFormat="1" applyFont="1" applyFill="1" applyBorder="1"/>
    <xf numFmtId="0" fontId="7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0" fontId="7" fillId="0" borderId="9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9" fontId="0" fillId="0" borderId="0" xfId="0" applyNumberFormat="1" applyFill="1" applyBorder="1"/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9" fontId="8" fillId="0" borderId="8" xfId="0" applyNumberFormat="1" applyFont="1" applyFill="1" applyBorder="1" applyAlignment="1">
      <alignment horizontal="center" wrapText="1"/>
    </xf>
    <xf numFmtId="9" fontId="8" fillId="0" borderId="11" xfId="0" applyNumberFormat="1" applyFont="1" applyFill="1" applyBorder="1" applyAlignment="1">
      <alignment horizontal="center" wrapText="1"/>
    </xf>
    <xf numFmtId="167" fontId="8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9" fontId="0" fillId="0" borderId="8" xfId="0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165" fontId="0" fillId="0" borderId="0" xfId="0" applyNumberFormat="1"/>
    <xf numFmtId="0" fontId="7" fillId="0" borderId="7" xfId="0" applyFont="1" applyFill="1" applyBorder="1" applyAlignment="1">
      <alignment horizontal="center" wrapText="1"/>
    </xf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9" fontId="2" fillId="0" borderId="0" xfId="2" applyFont="1" applyFill="1"/>
    <xf numFmtId="3" fontId="3" fillId="5" borderId="0" xfId="0" applyNumberFormat="1" applyFont="1" applyFill="1" applyBorder="1"/>
    <xf numFmtId="0" fontId="3" fillId="5" borderId="0" xfId="0" applyFont="1" applyFill="1" applyBorder="1"/>
    <xf numFmtId="0" fontId="0" fillId="0" borderId="0" xfId="0" applyFill="1"/>
    <xf numFmtId="0" fontId="7" fillId="0" borderId="4" xfId="0" applyFont="1" applyFill="1" applyBorder="1" applyAlignment="1">
      <alignment horizontal="left" wrapText="1"/>
    </xf>
    <xf numFmtId="3" fontId="0" fillId="5" borderId="0" xfId="0" applyNumberFormat="1" applyFill="1"/>
    <xf numFmtId="0" fontId="0" fillId="5" borderId="7" xfId="0" applyFill="1" applyBorder="1"/>
    <xf numFmtId="165" fontId="0" fillId="5" borderId="0" xfId="1" applyNumberFormat="1" applyFont="1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 applyAlignment="1">
      <alignment wrapText="1"/>
    </xf>
    <xf numFmtId="9" fontId="0" fillId="5" borderId="0" xfId="0" applyNumberFormat="1" applyFill="1" applyBorder="1"/>
    <xf numFmtId="8" fontId="0" fillId="5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5" borderId="5" xfId="0" applyFont="1" applyFill="1" applyBorder="1" applyAlignment="1">
      <alignment horizontal="center"/>
    </xf>
    <xf numFmtId="9" fontId="0" fillId="5" borderId="0" xfId="2" applyFont="1" applyFill="1" applyBorder="1"/>
    <xf numFmtId="0" fontId="0" fillId="0" borderId="4" xfId="0" applyBorder="1"/>
    <xf numFmtId="165" fontId="0" fillId="0" borderId="8" xfId="1" applyNumberFormat="1" applyFont="1" applyFill="1" applyBorder="1"/>
    <xf numFmtId="0" fontId="3" fillId="5" borderId="12" xfId="0" applyFont="1" applyFill="1" applyBorder="1"/>
    <xf numFmtId="3" fontId="3" fillId="5" borderId="13" xfId="0" applyNumberFormat="1" applyFont="1" applyFill="1" applyBorder="1"/>
    <xf numFmtId="0" fontId="0" fillId="5" borderId="13" xfId="0" applyFill="1" applyBorder="1"/>
    <xf numFmtId="165" fontId="3" fillId="5" borderId="14" xfId="0" applyNumberFormat="1" applyFont="1" applyFill="1" applyBorder="1"/>
    <xf numFmtId="9" fontId="4" fillId="0" borderId="0" xfId="0" applyNumberFormat="1" applyFont="1"/>
    <xf numFmtId="168" fontId="4" fillId="0" borderId="0" xfId="0" applyNumberFormat="1" applyFont="1"/>
    <xf numFmtId="164" fontId="4" fillId="0" borderId="0" xfId="0" applyNumberFormat="1" applyFont="1"/>
    <xf numFmtId="3" fontId="0" fillId="0" borderId="0" xfId="0" applyNumberFormat="1"/>
    <xf numFmtId="8" fontId="0" fillId="5" borderId="7" xfId="0" applyNumberFormat="1" applyFill="1" applyBorder="1"/>
    <xf numFmtId="8" fontId="0" fillId="5" borderId="0" xfId="1" applyNumberFormat="1" applyFont="1" applyFill="1" applyBorder="1"/>
    <xf numFmtId="8" fontId="0" fillId="5" borderId="8" xfId="0" applyNumberFormat="1" applyFill="1" applyBorder="1"/>
    <xf numFmtId="8" fontId="0" fillId="5" borderId="7" xfId="0" applyNumberFormat="1" applyFill="1" applyBorder="1" applyAlignment="1">
      <alignment wrapText="1"/>
    </xf>
    <xf numFmtId="166" fontId="0" fillId="0" borderId="0" xfId="1" applyNumberFormat="1" applyFont="1" applyFill="1" applyBorder="1"/>
    <xf numFmtId="14" fontId="9" fillId="0" borderId="0" xfId="0" applyNumberFormat="1" applyFont="1" applyFill="1" applyBorder="1"/>
    <xf numFmtId="14" fontId="9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ont="1" applyFill="1" applyBorder="1"/>
    <xf numFmtId="166" fontId="8" fillId="0" borderId="0" xfId="1" applyNumberFormat="1" applyFont="1" applyFill="1" applyBorder="1"/>
    <xf numFmtId="166" fontId="1" fillId="0" borderId="0" xfId="1" applyNumberFormat="1" applyFont="1" applyFill="1" applyBorder="1"/>
    <xf numFmtId="165" fontId="0" fillId="0" borderId="0" xfId="1" applyNumberFormat="1" applyFont="1" applyFill="1" applyBorder="1"/>
    <xf numFmtId="9" fontId="0" fillId="5" borderId="14" xfId="2" applyFont="1" applyFill="1" applyBorder="1"/>
    <xf numFmtId="165" fontId="3" fillId="5" borderId="13" xfId="1" applyNumberFormat="1" applyFont="1" applyFill="1" applyBorder="1"/>
    <xf numFmtId="0" fontId="2" fillId="2" borderId="0" xfId="0" applyFont="1" applyFill="1" applyAlignment="1">
      <alignment horizontal="center"/>
    </xf>
    <xf numFmtId="8" fontId="3" fillId="5" borderId="12" xfId="0" applyNumberFormat="1" applyFont="1" applyFill="1" applyBorder="1" applyAlignment="1">
      <alignment horizontal="center" wrapText="1"/>
    </xf>
    <xf numFmtId="8" fontId="3" fillId="5" borderId="13" xfId="0" applyNumberFormat="1" applyFont="1" applyFill="1" applyBorder="1" applyAlignment="1">
      <alignment horizontal="center" wrapText="1"/>
    </xf>
    <xf numFmtId="165" fontId="3" fillId="5" borderId="13" xfId="0" applyNumberFormat="1" applyFont="1" applyFill="1" applyBorder="1"/>
    <xf numFmtId="8" fontId="3" fillId="5" borderId="0" xfId="0" applyNumberFormat="1" applyFont="1" applyFill="1" applyBorder="1" applyAlignment="1">
      <alignment horizontal="center" wrapText="1"/>
    </xf>
    <xf numFmtId="8" fontId="0" fillId="5" borderId="0" xfId="0" applyNumberFormat="1" applyFill="1" applyBorder="1" applyAlignment="1">
      <alignment horizontal="center"/>
    </xf>
    <xf numFmtId="165" fontId="3" fillId="5" borderId="0" xfId="0" applyNumberFormat="1" applyFont="1" applyFill="1" applyBorder="1"/>
    <xf numFmtId="8" fontId="3" fillId="5" borderId="0" xfId="0" applyNumberFormat="1" applyFont="1" applyFill="1" applyBorder="1" applyAlignment="1">
      <alignment wrapText="1"/>
    </xf>
    <xf numFmtId="0" fontId="3" fillId="5" borderId="13" xfId="0" applyFont="1" applyFill="1" applyBorder="1" applyAlignment="1">
      <alignment horizontal="center" wrapText="1"/>
    </xf>
    <xf numFmtId="165" fontId="0" fillId="5" borderId="7" xfId="1" applyNumberFormat="1" applyFont="1" applyFill="1" applyBorder="1"/>
    <xf numFmtId="165" fontId="3" fillId="5" borderId="12" xfId="0" applyNumberFormat="1" applyFont="1" applyFill="1" applyBorder="1"/>
    <xf numFmtId="8" fontId="3" fillId="5" borderId="3" xfId="0" applyNumberFormat="1" applyFont="1" applyFill="1" applyBorder="1" applyAlignment="1">
      <alignment horizontal="center" wrapText="1"/>
    </xf>
    <xf numFmtId="43" fontId="0" fillId="0" borderId="0" xfId="0" applyNumberFormat="1"/>
    <xf numFmtId="2" fontId="0" fillId="5" borderId="0" xfId="0" applyNumberFormat="1" applyFill="1" applyBorder="1"/>
    <xf numFmtId="169" fontId="0" fillId="5" borderId="0" xfId="1" applyNumberFormat="1" applyFont="1" applyFill="1" applyBorder="1"/>
    <xf numFmtId="165" fontId="1" fillId="5" borderId="7" xfId="1" applyNumberFormat="1" applyFont="1" applyFill="1" applyBorder="1"/>
    <xf numFmtId="165" fontId="1" fillId="0" borderId="7" xfId="1" applyNumberFormat="1" applyFont="1" applyFill="1" applyBorder="1"/>
    <xf numFmtId="9" fontId="8" fillId="5" borderId="0" xfId="0" applyNumberFormat="1" applyFont="1" applyFill="1" applyBorder="1"/>
    <xf numFmtId="9" fontId="8" fillId="0" borderId="5" xfId="0" applyNumberFormat="1" applyFont="1" applyBorder="1"/>
    <xf numFmtId="9" fontId="8" fillId="5" borderId="0" xfId="2" applyFont="1" applyFill="1" applyBorder="1" applyAlignment="1">
      <alignment horizontal="center" wrapText="1"/>
    </xf>
    <xf numFmtId="9" fontId="8" fillId="5" borderId="0" xfId="2" applyFont="1" applyFill="1" applyBorder="1"/>
    <xf numFmtId="9" fontId="8" fillId="0" borderId="0" xfId="0" applyNumberFormat="1" applyFont="1" applyBorder="1"/>
    <xf numFmtId="165" fontId="0" fillId="5" borderId="7" xfId="1" applyNumberFormat="1" applyFont="1" applyFill="1" applyBorder="1" applyAlignment="1">
      <alignment wrapText="1"/>
    </xf>
    <xf numFmtId="165" fontId="0" fillId="5" borderId="0" xfId="1" applyNumberFormat="1" applyFont="1" applyFill="1" applyBorder="1" applyAlignment="1">
      <alignment horizontal="center" wrapText="1"/>
    </xf>
    <xf numFmtId="165" fontId="0" fillId="5" borderId="8" xfId="1" applyNumberFormat="1" applyFont="1" applyFill="1" applyBorder="1" applyAlignment="1">
      <alignment horizontal="center" wrapText="1"/>
    </xf>
    <xf numFmtId="9" fontId="4" fillId="0" borderId="0" xfId="0" applyNumberFormat="1" applyFont="1" applyAlignment="1">
      <alignment horizontal="left" indent="5"/>
    </xf>
    <xf numFmtId="9" fontId="0" fillId="0" borderId="0" xfId="0" applyNumberFormat="1" applyAlignment="1">
      <alignment horizontal="left"/>
    </xf>
    <xf numFmtId="0" fontId="8" fillId="0" borderId="9" xfId="0" applyFont="1" applyFill="1" applyBorder="1"/>
    <xf numFmtId="14" fontId="0" fillId="0" borderId="10" xfId="0" applyNumberFormat="1" applyFill="1" applyBorder="1"/>
    <xf numFmtId="167" fontId="9" fillId="0" borderId="10" xfId="1" applyNumberFormat="1" applyFont="1" applyFill="1" applyBorder="1"/>
    <xf numFmtId="166" fontId="0" fillId="0" borderId="10" xfId="1" applyNumberFormat="1" applyFont="1" applyFill="1" applyBorder="1"/>
    <xf numFmtId="166" fontId="0" fillId="0" borderId="10" xfId="1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9" fontId="0" fillId="0" borderId="10" xfId="0" applyNumberFormat="1" applyFill="1" applyBorder="1"/>
    <xf numFmtId="9" fontId="0" fillId="0" borderId="11" xfId="0" applyNumberFormat="1" applyFill="1" applyBorder="1"/>
    <xf numFmtId="165" fontId="11" fillId="0" borderId="18" xfId="1" applyNumberFormat="1" applyFont="1" applyFill="1" applyBorder="1" applyAlignment="1">
      <alignment vertical="top" wrapText="1"/>
    </xf>
    <xf numFmtId="165" fontId="10" fillId="0" borderId="0" xfId="1" applyNumberFormat="1" applyFont="1" applyFill="1" applyBorder="1"/>
    <xf numFmtId="2" fontId="0" fillId="0" borderId="8" xfId="0" applyNumberFormat="1" applyFill="1" applyBorder="1"/>
    <xf numFmtId="165" fontId="0" fillId="0" borderId="10" xfId="1" applyNumberFormat="1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8" fontId="0" fillId="5" borderId="12" xfId="0" applyNumberFormat="1" applyFill="1" applyBorder="1" applyAlignment="1">
      <alignment horizontal="center"/>
    </xf>
    <xf numFmtId="8" fontId="0" fillId="5" borderId="13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  <xf numFmtId="10" fontId="0" fillId="0" borderId="0" xfId="0" applyNumberFormat="1"/>
    <xf numFmtId="0" fontId="12" fillId="5" borderId="1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allocation'!$E$3:$E$14</c:f>
              <c:strCache>
                <c:ptCount val="12"/>
                <c:pt idx="0">
                  <c:v>Equity mutual fund 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allocation'!$G$3:$G$14</c:f>
              <c:numCache>
                <c:formatCode>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allocation'!$I$3:$I$14</c:f>
              <c:strCache>
                <c:ptCount val="12"/>
                <c:pt idx="0">
                  <c:v>Equity mutual fund returns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allocation'!$K$3:$K$14</c:f>
              <c:numCache>
                <c:formatCode>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'Long term projections'!$A$39</c:f>
              <c:strCache>
                <c:ptCount val="1"/>
                <c:pt idx="0">
                  <c:v>Balance at the beginning of the year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projections'!$C$39:$G$39</c:f>
              <c:numCache>
                <c:formatCode>_ * #,##0.00_ ;_ * \-#,##0.00_ ;_ * "-"??_ ;_ @_ </c:formatCode>
                <c:ptCount val="5"/>
                <c:pt idx="0">
                  <c:v>37.869999999999997</c:v>
                </c:pt>
                <c:pt idx="1">
                  <c:v>40.42427</c:v>
                </c:pt>
                <c:pt idx="2">
                  <c:v>44.402445950000001</c:v>
                </c:pt>
                <c:pt idx="3">
                  <c:v>48.834963582325997</c:v>
                </c:pt>
                <c:pt idx="4">
                  <c:v>53.783575115565512</c:v>
                </c:pt>
              </c:numCache>
            </c:numRef>
          </c:val>
        </c:ser>
        <c:ser>
          <c:idx val="1"/>
          <c:order val="1"/>
          <c:tx>
            <c:strRef>
              <c:f>'Long term projections'!$A$40</c:f>
              <c:strCache>
                <c:ptCount val="1"/>
                <c:pt idx="0">
                  <c:v>Additions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projections'!$C$40:$G$40</c:f>
              <c:numCache>
                <c:formatCode>_ * #,##0.00_ ;_ * \-#,##0.00_ ;_ * "-"??_ ;_ @_ </c:formatCode>
                <c:ptCount val="5"/>
                <c:pt idx="1">
                  <c:v>1.0920000000000001</c:v>
                </c:pt>
                <c:pt idx="2">
                  <c:v>1.1657099999999998</c:v>
                </c:pt>
                <c:pt idx="3">
                  <c:v>1.2443954249999998</c:v>
                </c:pt>
                <c:pt idx="4">
                  <c:v>1.3283921161874994</c:v>
                </c:pt>
              </c:numCache>
            </c:numRef>
          </c:val>
        </c:ser>
        <c:ser>
          <c:idx val="2"/>
          <c:order val="2"/>
          <c:tx>
            <c:strRef>
              <c:f>'Long term projections'!$A$41</c:f>
              <c:strCache>
                <c:ptCount val="1"/>
                <c:pt idx="0">
                  <c:v>Returns 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projections'!$C$41:$G$41</c:f>
              <c:numCache>
                <c:formatCode>_ * #,##0.00_ ;_ * \-#,##0.00_ ;_ * "-"??_ ;_ @_ </c:formatCode>
                <c:ptCount val="5"/>
                <c:pt idx="0">
                  <c:v>2.5542699999999998</c:v>
                </c:pt>
                <c:pt idx="1">
                  <c:v>2.8861759500000006</c:v>
                </c:pt>
                <c:pt idx="2">
                  <c:v>3.2668076323259969</c:v>
                </c:pt>
                <c:pt idx="3">
                  <c:v>3.7042161082395149</c:v>
                </c:pt>
                <c:pt idx="4">
                  <c:v>4.2079040350442316</c:v>
                </c:pt>
              </c:numCache>
            </c:numRef>
          </c:val>
        </c:ser>
        <c:overlap val="100"/>
        <c:axId val="92654208"/>
        <c:axId val="92877184"/>
      </c:barChart>
      <c:lineChart>
        <c:grouping val="standard"/>
        <c:ser>
          <c:idx val="3"/>
          <c:order val="3"/>
          <c:tx>
            <c:strRef>
              <c:f>'Long term projections'!$A$42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projections'!$C$42:$G$42</c:f>
              <c:numCache>
                <c:formatCode>_ * #,##0.00_ ;_ * \-#,##0.00_ ;_ * "-"??_ ;_ @_ </c:formatCode>
                <c:ptCount val="5"/>
                <c:pt idx="0">
                  <c:v>40.42427</c:v>
                </c:pt>
                <c:pt idx="1">
                  <c:v>44.402445950000001</c:v>
                </c:pt>
                <c:pt idx="2">
                  <c:v>48.834963582325997</c:v>
                </c:pt>
                <c:pt idx="3">
                  <c:v>53.783575115565512</c:v>
                </c:pt>
                <c:pt idx="4">
                  <c:v>59.319871266797243</c:v>
                </c:pt>
              </c:numCache>
            </c:numRef>
          </c:val>
        </c:ser>
        <c:marker val="1"/>
        <c:axId val="92654208"/>
        <c:axId val="92877184"/>
      </c:lineChart>
      <c:catAx>
        <c:axId val="92654208"/>
        <c:scaling>
          <c:orientation val="minMax"/>
        </c:scaling>
        <c:axPos val="b"/>
        <c:tickLblPos val="nextTo"/>
        <c:crossAx val="92877184"/>
        <c:crosses val="autoZero"/>
        <c:auto val="1"/>
        <c:lblAlgn val="ctr"/>
        <c:lblOffset val="100"/>
      </c:catAx>
      <c:valAx>
        <c:axId val="92877184"/>
        <c:scaling>
          <c:orientation val="minMax"/>
        </c:scaling>
        <c:axPos val="l"/>
        <c:numFmt formatCode="_ * #,##0.00_ ;_ * \-#,##0.00_ ;_ * &quot;-&quot;??_ ;_ @_ " sourceLinked="1"/>
        <c:tickLblPos val="nextTo"/>
        <c:crossAx val="92654208"/>
        <c:crosses val="autoZero"/>
        <c:crossBetween val="between"/>
        <c:majorUnit val="20"/>
      </c:valAx>
    </c:plotArea>
    <c:legend>
      <c:legendPos val="t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'Asset and income check up'!$B$7:$B$18</c:f>
              <c:strCache>
                <c:ptCount val="12"/>
                <c:pt idx="0">
                  <c:v>Equity mutual fund</c:v>
                </c:pt>
                <c:pt idx="1">
                  <c:v>Real estate</c:v>
                </c:pt>
                <c:pt idx="2">
                  <c:v>Debt/Hybrid funds</c:v>
                </c:pt>
                <c:pt idx="3">
                  <c:v>Fixed deposit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 Account</c:v>
                </c:pt>
                <c:pt idx="11">
                  <c:v>LIC</c:v>
                </c:pt>
              </c:strCache>
            </c:strRef>
          </c:cat>
          <c:val>
            <c:numRef>
              <c:f>'Asset and income check up'!$E$7:$E$18</c:f>
              <c:numCache>
                <c:formatCode>0%</c:formatCode>
                <c:ptCount val="12"/>
                <c:pt idx="0">
                  <c:v>0</c:v>
                </c:pt>
                <c:pt idx="1">
                  <c:v>0.79218378663850009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7.050435701082651E-2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5.2812252442566675E-3</c:v>
                </c:pt>
                <c:pt idx="11">
                  <c:v>0.13203063110641669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9312642169728789"/>
          <c:y val="8.1030183727034147E-2"/>
          <c:w val="0.30687361790561773"/>
          <c:h val="0.7704500831302487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9100</c:v>
                </c:pt>
              </c:numCache>
            </c:numRef>
          </c:cat>
          <c:val>
            <c:numRef>
              <c:f>'Current vs recommended'!$B$4</c:f>
              <c:numCache>
                <c:formatCode>0.00</c:formatCode>
                <c:ptCount val="1"/>
                <c:pt idx="0">
                  <c:v>15.57653786851083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9100</c:v>
                </c:pt>
              </c:numCache>
            </c:numRef>
          </c:cat>
          <c:val>
            <c:numRef>
              <c:f>'Current vs recommended'!$B$5</c:f>
              <c:numCache>
                <c:formatCode>0.00</c:formatCode>
                <c:ptCount val="1"/>
                <c:pt idx="0">
                  <c:v>46.256590435760359</c:v>
                </c:pt>
              </c:numCache>
            </c:numRef>
          </c:val>
        </c:ser>
        <c:axId val="93029504"/>
        <c:axId val="93031040"/>
      </c:barChart>
      <c:catAx>
        <c:axId val="93029504"/>
        <c:scaling>
          <c:orientation val="minMax"/>
        </c:scaling>
        <c:axPos val="b"/>
        <c:numFmt formatCode="&quot;₹&quot;\ #,##0.00" sourceLinked="1"/>
        <c:tickLblPos val="nextTo"/>
        <c:crossAx val="93031040"/>
        <c:crosses val="autoZero"/>
        <c:auto val="1"/>
        <c:lblAlgn val="ctr"/>
        <c:lblOffset val="100"/>
      </c:catAx>
      <c:valAx>
        <c:axId val="93031040"/>
        <c:scaling>
          <c:orientation val="minMax"/>
        </c:scaling>
        <c:axPos val="l"/>
        <c:numFmt formatCode="0.00" sourceLinked="1"/>
        <c:tickLblPos val="nextTo"/>
        <c:crossAx val="9302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9100</c:v>
                </c:pt>
              </c:numCache>
            </c:numRef>
          </c:cat>
          <c:val>
            <c:numRef>
              <c:f>'Current vs recommended'!$K$4</c:f>
              <c:numCache>
                <c:formatCode>0.00</c:formatCode>
                <c:ptCount val="1"/>
                <c:pt idx="0">
                  <c:v>19.9004484613431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9100</c:v>
                </c:pt>
              </c:numCache>
            </c:numRef>
          </c:cat>
          <c:val>
            <c:numRef>
              <c:f>'Current vs recommended'!$K$5</c:f>
              <c:numCache>
                <c:formatCode>0.00</c:formatCode>
                <c:ptCount val="1"/>
                <c:pt idx="0">
                  <c:v>80.177967036466484</c:v>
                </c:pt>
              </c:numCache>
            </c:numRef>
          </c:val>
        </c:ser>
        <c:axId val="93060480"/>
        <c:axId val="93070464"/>
      </c:barChart>
      <c:catAx>
        <c:axId val="93060480"/>
        <c:scaling>
          <c:orientation val="minMax"/>
        </c:scaling>
        <c:axPos val="b"/>
        <c:numFmt formatCode="&quot;₹&quot;\ #,##0.00;[Red]&quot;₹&quot;\ \-#,##0.00" sourceLinked="1"/>
        <c:tickLblPos val="nextTo"/>
        <c:crossAx val="93070464"/>
        <c:crosses val="autoZero"/>
        <c:auto val="1"/>
        <c:lblAlgn val="ctr"/>
        <c:lblOffset val="100"/>
      </c:catAx>
      <c:valAx>
        <c:axId val="93070464"/>
        <c:scaling>
          <c:orientation val="minMax"/>
        </c:scaling>
        <c:axPos val="l"/>
        <c:numFmt formatCode="0.00" sourceLinked="1"/>
        <c:tickLblPos val="nextTo"/>
        <c:crossAx val="93060480"/>
        <c:crosses val="autoZero"/>
        <c:crossBetween val="between"/>
        <c:majorUnit val="20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990600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7</xdr:col>
      <xdr:colOff>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15</xdr:row>
      <xdr:rowOff>171450</xdr:rowOff>
    </xdr:from>
    <xdr:to>
      <xdr:col>11</xdr:col>
      <xdr:colOff>9526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25</xdr:row>
      <xdr:rowOff>85725</xdr:rowOff>
    </xdr:from>
    <xdr:to>
      <xdr:col>12</xdr:col>
      <xdr:colOff>1476375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0.20486</cdr:y>
    </cdr:from>
    <cdr:to>
      <cdr:x>0.425</cdr:x>
      <cdr:y>0.28472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50" y="561975"/>
          <a:ext cx="1162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8</xdr:row>
      <xdr:rowOff>133349</xdr:rowOff>
    </xdr:from>
    <xdr:to>
      <xdr:col>4</xdr:col>
      <xdr:colOff>546287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8</xdr:row>
      <xdr:rowOff>9525</xdr:rowOff>
    </xdr:from>
    <xdr:to>
      <xdr:col>13</xdr:col>
      <xdr:colOff>504825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32</xdr:row>
      <xdr:rowOff>171450</xdr:rowOff>
    </xdr:from>
    <xdr:to>
      <xdr:col>4</xdr:col>
      <xdr:colOff>590550</xdr:colOff>
      <xdr:row>47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36</xdr:row>
      <xdr:rowOff>85725</xdr:rowOff>
    </xdr:from>
    <xdr:to>
      <xdr:col>14</xdr:col>
      <xdr:colOff>171450</xdr:colOff>
      <xdr:row>50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0.23958</cdr:x>
      <cdr:y>0.02906</cdr:y>
    </cdr:from>
    <cdr:to>
      <cdr:x>0.81667</cdr:x>
      <cdr:y>0.04274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5375" y="97157"/>
          <a:ext cx="26384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0.34375</cdr:x>
      <cdr:y>0.01067</cdr:y>
    </cdr:from>
    <cdr:to>
      <cdr:x>0.85208</cdr:x>
      <cdr:y>0.06667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25" y="38099"/>
          <a:ext cx="2324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Current Asset Aloocation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0.09328</cdr:x>
      <cdr:y>0.02997</cdr:y>
    </cdr:from>
    <cdr:to>
      <cdr:x>0.57267</cdr:x>
      <cdr:y>0.08447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574" y="104776"/>
          <a:ext cx="21050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Recommended</a:t>
          </a:r>
          <a:r>
            <a:rPr lang="en-IN" sz="1100" b="1" baseline="0"/>
            <a:t> Asset Allocation</a:t>
          </a:r>
          <a:endParaRPr lang="en-IN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0.6625</cdr:x>
      <cdr:y>0.09375</cdr:y>
    </cdr:from>
    <cdr:to>
      <cdr:x>0.98333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8950" y="257175"/>
          <a:ext cx="1466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0.67083</cdr:x>
      <cdr:y>0.10417</cdr:y>
    </cdr:from>
    <cdr:to>
      <cdr:x>0.96042</cdr:x>
      <cdr:y>0.1875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67050" y="285750"/>
          <a:ext cx="13239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y%20of%20Rajesh%20pant%20asset%20allocation_AS%20(2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t and Income checkup"/>
      <sheetName val="Goals"/>
      <sheetName val="Allocation Template"/>
      <sheetName val="Long term projections"/>
      <sheetName val="EMI"/>
    </sheetNames>
    <sheetDataSet>
      <sheetData sheetId="0"/>
      <sheetData sheetId="1"/>
      <sheetData sheetId="2"/>
      <sheetData sheetId="3">
        <row r="20">
          <cell r="A20" t="str">
            <v>Years</v>
          </cell>
        </row>
        <row r="22">
          <cell r="A22" t="str">
            <v>Projections</v>
          </cell>
        </row>
        <row r="23">
          <cell r="A23" t="str">
            <v>Real estate</v>
          </cell>
        </row>
        <row r="24">
          <cell r="A24" t="str">
            <v>Public provident fund (PPF)</v>
          </cell>
        </row>
        <row r="25">
          <cell r="A25" t="str">
            <v>Debt/Hybrid funds</v>
          </cell>
        </row>
        <row r="26">
          <cell r="A26" t="str">
            <v>Equity funds</v>
          </cell>
        </row>
        <row r="27">
          <cell r="A27" t="str">
            <v xml:space="preserve">Other Savings(LIC) </v>
          </cell>
        </row>
        <row r="28">
          <cell r="A28" t="str">
            <v>Emergency cash</v>
          </cell>
        </row>
        <row r="29">
          <cell r="A29" t="str">
            <v>Total</v>
          </cell>
        </row>
        <row r="31">
          <cell r="A31" t="str">
            <v>Savings from employment</v>
          </cell>
        </row>
        <row r="32">
          <cell r="A32" t="str">
            <v>Income (Employment)</v>
          </cell>
        </row>
        <row r="33">
          <cell r="A33" t="str">
            <v>Income , monthly</v>
          </cell>
        </row>
        <row r="34">
          <cell r="A34" t="str">
            <v>Expenses, monthly</v>
          </cell>
        </row>
        <row r="35">
          <cell r="A35" t="str">
            <v>Savings, monthly</v>
          </cell>
        </row>
        <row r="37">
          <cell r="A37" t="str">
            <v>Savings rate (%)</v>
          </cell>
        </row>
        <row r="39">
          <cell r="A39" t="str">
            <v>Gross Savings (NPV), savings from employment</v>
          </cell>
        </row>
        <row r="40">
          <cell r="A40" t="str">
            <v>NPV total savings</v>
          </cell>
        </row>
        <row r="42">
          <cell r="A42" t="str">
            <v>Cost of car</v>
          </cell>
        </row>
        <row r="43">
          <cell r="A43" t="str">
            <v>Son's education</v>
          </cell>
        </row>
        <row r="44">
          <cell r="A44" t="str">
            <v>Son's wedding</v>
          </cell>
        </row>
        <row r="45">
          <cell r="A45" t="str">
            <v>Total</v>
          </cell>
        </row>
        <row r="46">
          <cell r="A46" t="str">
            <v>Major costs excl Pensions (NPV)</v>
          </cell>
        </row>
        <row r="48">
          <cell r="A48" t="str">
            <v>Net Pension savings (NPV)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showGridLines="0" zoomScale="80" zoomScaleNormal="80" workbookViewId="0">
      <selection activeCell="B13" sqref="B13"/>
    </sheetView>
  </sheetViews>
  <sheetFormatPr defaultRowHeight="15"/>
  <cols>
    <col min="1" max="1" width="20.28515625" style="57" customWidth="1"/>
    <col min="2" max="5" width="10.7109375" style="57" customWidth="1"/>
    <col min="6" max="6" width="18.5703125" style="57" customWidth="1"/>
    <col min="7" max="7" width="22.85546875" style="70" customWidth="1"/>
    <col min="8" max="14" width="10.7109375" style="57" customWidth="1"/>
    <col min="15" max="15" width="9.140625" style="57"/>
    <col min="16" max="16" width="29.85546875" style="57" bestFit="1" customWidth="1"/>
    <col min="17" max="21" width="10.7109375" style="57" customWidth="1"/>
    <col min="22" max="16384" width="9.140625" style="57"/>
  </cols>
  <sheetData>
    <row r="1" spans="1:26">
      <c r="A1" s="83"/>
      <c r="B1" s="76"/>
      <c r="C1" s="76"/>
      <c r="D1" s="76"/>
      <c r="E1" s="76"/>
      <c r="F1" s="76"/>
      <c r="G1" s="69"/>
      <c r="H1" s="58"/>
      <c r="O1" s="64"/>
      <c r="V1" s="56"/>
      <c r="W1" s="56"/>
      <c r="X1" s="56"/>
    </row>
    <row r="2" spans="1:26">
      <c r="A2" s="82"/>
      <c r="B2" s="84"/>
      <c r="C2" s="84"/>
      <c r="D2" s="84"/>
      <c r="E2" s="84"/>
      <c r="F2" s="84"/>
      <c r="G2" s="69"/>
      <c r="H2" s="58"/>
      <c r="O2" s="60"/>
      <c r="V2" s="56"/>
      <c r="W2" s="56"/>
      <c r="X2" s="56"/>
    </row>
    <row r="3" spans="1:26">
      <c r="A3" s="45" t="s">
        <v>21</v>
      </c>
      <c r="B3" s="191" t="s">
        <v>23</v>
      </c>
      <c r="C3" s="191"/>
      <c r="D3" s="191"/>
      <c r="E3" s="191"/>
      <c r="F3" s="191"/>
      <c r="G3" s="191"/>
      <c r="H3" s="192"/>
      <c r="P3" s="60"/>
      <c r="W3" s="56"/>
      <c r="X3" s="56"/>
      <c r="Y3" s="56"/>
    </row>
    <row r="4" spans="1:26" s="70" customFormat="1" ht="30">
      <c r="A4" s="85" t="s">
        <v>85</v>
      </c>
      <c r="B4" s="68" t="s">
        <v>71</v>
      </c>
      <c r="C4" s="68" t="s">
        <v>72</v>
      </c>
      <c r="D4" s="68" t="s">
        <v>75</v>
      </c>
      <c r="E4" s="68" t="s">
        <v>10</v>
      </c>
      <c r="F4" s="68" t="s">
        <v>12</v>
      </c>
      <c r="G4" s="68" t="s">
        <v>13</v>
      </c>
      <c r="H4" s="86" t="s">
        <v>16</v>
      </c>
      <c r="P4" s="68"/>
      <c r="W4" s="69"/>
      <c r="X4" s="69"/>
      <c r="Y4" s="69"/>
      <c r="Z4" s="69"/>
    </row>
    <row r="5" spans="1:26">
      <c r="A5" s="90" t="s">
        <v>1</v>
      </c>
      <c r="B5" s="62">
        <v>0.5</v>
      </c>
      <c r="C5" s="62"/>
      <c r="D5" s="62"/>
      <c r="E5" s="62"/>
      <c r="F5" s="62">
        <v>0.3</v>
      </c>
      <c r="G5" s="62">
        <v>0.2</v>
      </c>
      <c r="H5" s="93"/>
      <c r="P5" s="51"/>
    </row>
    <row r="6" spans="1:26">
      <c r="A6" s="91" t="s">
        <v>0</v>
      </c>
      <c r="B6" s="62"/>
      <c r="C6" s="62">
        <v>0.5</v>
      </c>
      <c r="D6" s="62">
        <v>0.5</v>
      </c>
      <c r="E6" s="62"/>
      <c r="F6" s="62"/>
      <c r="G6" s="62"/>
      <c r="H6" s="93"/>
      <c r="P6" s="51"/>
    </row>
    <row r="7" spans="1:26">
      <c r="A7" s="46" t="s">
        <v>76</v>
      </c>
      <c r="B7" s="62"/>
      <c r="C7" s="62">
        <v>0.5</v>
      </c>
      <c r="D7" s="62">
        <v>0.5</v>
      </c>
      <c r="E7" s="62"/>
      <c r="F7" s="62"/>
      <c r="G7" s="62"/>
      <c r="H7" s="93"/>
      <c r="P7" s="51"/>
    </row>
    <row r="8" spans="1:26">
      <c r="A8" s="95" t="s">
        <v>89</v>
      </c>
      <c r="B8" s="62"/>
      <c r="C8" s="62">
        <v>1</v>
      </c>
      <c r="D8" s="62"/>
      <c r="E8" s="62"/>
      <c r="F8" s="62"/>
      <c r="G8" s="62"/>
      <c r="H8" s="93"/>
      <c r="P8" s="51"/>
    </row>
    <row r="9" spans="1:26">
      <c r="A9" s="92" t="s">
        <v>88</v>
      </c>
      <c r="B9" s="63">
        <v>1</v>
      </c>
      <c r="C9" s="63"/>
      <c r="D9" s="63"/>
      <c r="E9" s="63"/>
      <c r="F9" s="63"/>
      <c r="G9" s="63"/>
      <c r="H9" s="94"/>
      <c r="P9" s="51"/>
    </row>
    <row r="10" spans="1:26">
      <c r="A10" s="54"/>
      <c r="B10" s="51"/>
      <c r="C10" s="51"/>
      <c r="D10" s="51"/>
      <c r="E10" s="51"/>
      <c r="F10" s="51"/>
      <c r="G10" s="68"/>
      <c r="H10" s="52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6" ht="30">
      <c r="A11" s="83" t="s">
        <v>86</v>
      </c>
      <c r="B11" s="87"/>
      <c r="C11" s="87"/>
      <c r="D11" s="87"/>
      <c r="E11" s="87"/>
      <c r="F11" s="87"/>
      <c r="G11" s="87"/>
      <c r="H11" s="88"/>
      <c r="I11" s="51"/>
      <c r="J11" s="51"/>
      <c r="K11" s="51"/>
      <c r="L11" s="51"/>
      <c r="M11" s="51"/>
      <c r="N11" s="51"/>
      <c r="O11" s="59"/>
      <c r="P11" s="51"/>
      <c r="Q11" s="51"/>
      <c r="R11" s="51"/>
      <c r="S11" s="51"/>
      <c r="T11" s="51"/>
      <c r="U11" s="51"/>
      <c r="V11" s="58"/>
      <c r="W11" s="58"/>
      <c r="X11" s="58"/>
      <c r="Y11" s="58"/>
    </row>
    <row r="12" spans="1:26">
      <c r="A12" s="90" t="s">
        <v>1</v>
      </c>
      <c r="B12" s="65">
        <v>0.4</v>
      </c>
      <c r="C12" s="51"/>
      <c r="D12" s="51"/>
      <c r="E12" s="51"/>
      <c r="F12" s="65">
        <v>0.3</v>
      </c>
      <c r="G12" s="65">
        <v>0.3</v>
      </c>
      <c r="H12" s="52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6">
      <c r="A13" s="91" t="s">
        <v>0</v>
      </c>
      <c r="B13" s="51"/>
      <c r="C13" s="65">
        <v>0.5</v>
      </c>
      <c r="D13" s="65">
        <v>0.5</v>
      </c>
      <c r="E13" s="51"/>
      <c r="F13" s="65"/>
      <c r="G13" s="65"/>
      <c r="H13" s="52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6">
      <c r="A14" s="46" t="s">
        <v>76</v>
      </c>
      <c r="B14" s="51"/>
      <c r="C14" s="65">
        <v>0.5</v>
      </c>
      <c r="D14" s="65">
        <v>0.5</v>
      </c>
      <c r="E14" s="51"/>
      <c r="F14" s="51"/>
      <c r="G14" s="51"/>
      <c r="H14" s="52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</row>
    <row r="15" spans="1:26">
      <c r="A15" s="95" t="s">
        <v>89</v>
      </c>
      <c r="B15" s="51"/>
      <c r="C15" s="65">
        <v>0.7</v>
      </c>
      <c r="D15" s="51"/>
      <c r="E15" s="65">
        <v>0.3</v>
      </c>
      <c r="F15" s="51"/>
      <c r="G15" s="51"/>
      <c r="H15" s="52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6">
      <c r="A16" s="92" t="s">
        <v>88</v>
      </c>
      <c r="B16" s="66">
        <v>0.6</v>
      </c>
      <c r="C16" s="61">
        <v>0.2</v>
      </c>
      <c r="D16" s="53"/>
      <c r="E16" s="66"/>
      <c r="F16" s="53"/>
      <c r="G16" s="53"/>
      <c r="H16" s="67">
        <v>0.2</v>
      </c>
      <c r="I16" s="55"/>
      <c r="J16" s="55"/>
      <c r="K16" s="55"/>
      <c r="L16" s="55"/>
      <c r="M16" s="55"/>
      <c r="N16" s="55"/>
      <c r="O16" s="59"/>
      <c r="P16" s="59"/>
      <c r="Q16" s="59"/>
      <c r="R16" s="59"/>
      <c r="S16" s="59"/>
      <c r="T16" s="59"/>
      <c r="U16" s="59"/>
    </row>
    <row r="17" spans="1:21">
      <c r="A17" s="90"/>
      <c r="B17" s="51"/>
      <c r="C17" s="51"/>
      <c r="D17" s="51"/>
      <c r="E17" s="51"/>
      <c r="F17" s="51"/>
      <c r="G17" s="68"/>
      <c r="H17" s="52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</row>
    <row r="18" spans="1:21" ht="30">
      <c r="A18" s="113" t="s">
        <v>87</v>
      </c>
      <c r="B18" s="87"/>
      <c r="C18" s="87"/>
      <c r="D18" s="87"/>
      <c r="E18" s="87"/>
      <c r="F18" s="87"/>
      <c r="G18" s="87"/>
      <c r="H18" s="88"/>
      <c r="I18" s="70"/>
    </row>
    <row r="19" spans="1:21">
      <c r="A19" s="90" t="s">
        <v>1</v>
      </c>
      <c r="B19" s="65">
        <v>0.3</v>
      </c>
      <c r="C19" s="51"/>
      <c r="D19" s="51"/>
      <c r="E19" s="65">
        <v>0.7</v>
      </c>
      <c r="F19" s="65"/>
      <c r="G19" s="65"/>
      <c r="H19" s="52"/>
      <c r="I19" s="70"/>
    </row>
    <row r="20" spans="1:21">
      <c r="A20" s="91" t="s">
        <v>0</v>
      </c>
      <c r="B20" s="51"/>
      <c r="C20" s="65">
        <v>0.5</v>
      </c>
      <c r="D20" s="65">
        <v>0.5</v>
      </c>
      <c r="E20" s="65"/>
      <c r="F20" s="65"/>
      <c r="G20" s="65"/>
      <c r="H20" s="52"/>
      <c r="I20" s="70"/>
    </row>
    <row r="21" spans="1:21">
      <c r="A21" s="46" t="s">
        <v>76</v>
      </c>
      <c r="B21" s="51"/>
      <c r="C21" s="65">
        <v>0.5</v>
      </c>
      <c r="D21" s="65">
        <v>0.5</v>
      </c>
      <c r="E21" s="51"/>
      <c r="F21" s="51"/>
      <c r="G21" s="51"/>
      <c r="H21" s="52"/>
      <c r="I21" s="70"/>
    </row>
    <row r="22" spans="1:21">
      <c r="A22" s="95" t="s">
        <v>89</v>
      </c>
      <c r="B22" s="51"/>
      <c r="C22" s="65">
        <v>0.5</v>
      </c>
      <c r="D22" s="51"/>
      <c r="E22" s="65">
        <v>0.5</v>
      </c>
      <c r="F22" s="65"/>
      <c r="G22" s="65"/>
      <c r="H22" s="52"/>
      <c r="I22" s="70"/>
    </row>
    <row r="23" spans="1:21">
      <c r="A23" s="92" t="s">
        <v>88</v>
      </c>
      <c r="B23" s="66">
        <v>0.2</v>
      </c>
      <c r="C23" s="66">
        <v>0.6</v>
      </c>
      <c r="D23" s="53"/>
      <c r="E23" s="66"/>
      <c r="F23" s="66"/>
      <c r="G23" s="66"/>
      <c r="H23" s="67">
        <v>0.2</v>
      </c>
      <c r="I23" s="70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topLeftCell="A22" zoomScale="112" zoomScaleNormal="112" workbookViewId="0">
      <selection activeCell="C40" sqref="C40"/>
    </sheetView>
  </sheetViews>
  <sheetFormatPr defaultColWidth="9.140625" defaultRowHeight="15"/>
  <cols>
    <col min="1" max="1" width="3.42578125" style="36" customWidth="1"/>
    <col min="2" max="2" width="25.85546875" style="36" bestFit="1" customWidth="1"/>
    <col min="3" max="3" width="23.140625" style="36" bestFit="1" customWidth="1"/>
    <col min="4" max="4" width="23.140625" style="36" customWidth="1"/>
    <col min="5" max="5" width="13.42578125" style="36" customWidth="1"/>
    <col min="6" max="6" width="10.140625" style="36" bestFit="1" customWidth="1"/>
    <col min="7" max="10" width="11" style="36" bestFit="1" customWidth="1"/>
    <col min="11" max="14" width="9.140625" style="36"/>
    <col min="15" max="15" width="11.140625" style="36" bestFit="1" customWidth="1"/>
    <col min="16" max="16" width="9.140625" style="36"/>
    <col min="17" max="17" width="11.7109375" style="36" bestFit="1" customWidth="1"/>
    <col min="18" max="16384" width="9.140625" style="36"/>
  </cols>
  <sheetData>
    <row r="1" spans="1:17" s="35" customFormat="1">
      <c r="A1" s="35" t="s">
        <v>41</v>
      </c>
      <c r="Q1" s="35" t="s">
        <v>95</v>
      </c>
    </row>
    <row r="2" spans="1:17" s="35" customFormat="1"/>
    <row r="4" spans="1:17" s="38" customFormat="1">
      <c r="A4" s="37" t="s">
        <v>42</v>
      </c>
      <c r="B4" s="37"/>
      <c r="C4" s="37"/>
      <c r="D4" s="37"/>
      <c r="E4" s="37"/>
      <c r="F4" s="37"/>
      <c r="G4" s="37"/>
    </row>
    <row r="5" spans="1:17">
      <c r="F5" s="193" t="s">
        <v>60</v>
      </c>
      <c r="G5" s="194"/>
      <c r="H5" s="194"/>
      <c r="I5" s="194"/>
      <c r="J5" s="195"/>
    </row>
    <row r="6" spans="1:17">
      <c r="B6" s="129" t="s">
        <v>43</v>
      </c>
      <c r="C6" s="212" t="s">
        <v>44</v>
      </c>
      <c r="D6" s="125" t="s">
        <v>98</v>
      </c>
      <c r="E6" s="160" t="s">
        <v>96</v>
      </c>
      <c r="F6" s="153" t="s">
        <v>114</v>
      </c>
      <c r="G6" s="163" t="s">
        <v>115</v>
      </c>
      <c r="H6" s="163" t="s">
        <v>116</v>
      </c>
      <c r="I6" s="154" t="s">
        <v>117</v>
      </c>
      <c r="J6" s="163" t="s">
        <v>118</v>
      </c>
      <c r="K6" s="159"/>
      <c r="L6" s="159"/>
    </row>
    <row r="7" spans="1:17">
      <c r="B7" s="127" t="s">
        <v>73</v>
      </c>
      <c r="C7" s="114">
        <v>0</v>
      </c>
      <c r="D7" s="170">
        <v>0.125</v>
      </c>
      <c r="E7" s="171">
        <f>C7/$C$19</f>
        <v>0</v>
      </c>
      <c r="F7" s="174">
        <f ca="1">Goals!J25*12</f>
        <v>54600</v>
      </c>
      <c r="G7" s="175">
        <f ca="1">F7*1.0675</f>
        <v>58285.499999999993</v>
      </c>
      <c r="H7" s="175">
        <f t="shared" ref="H7:J7" ca="1" si="0">G7*1.0675</f>
        <v>62219.771249999983</v>
      </c>
      <c r="I7" s="175">
        <f t="shared" ca="1" si="0"/>
        <v>66419.605809374974</v>
      </c>
      <c r="J7" s="176">
        <f t="shared" ca="1" si="0"/>
        <v>70902.929201507781</v>
      </c>
      <c r="K7" s="156"/>
      <c r="L7" s="157"/>
    </row>
    <row r="8" spans="1:17">
      <c r="B8" s="115" t="s">
        <v>45</v>
      </c>
      <c r="C8" s="114">
        <v>3000000</v>
      </c>
      <c r="D8" s="172">
        <v>7.0000000000000007E-2</v>
      </c>
      <c r="E8" s="171">
        <f t="shared" ref="E8:E18" si="1">C8/$C$19</f>
        <v>0.79218378663850009</v>
      </c>
      <c r="F8" s="167"/>
      <c r="G8" s="175">
        <f t="shared" ref="G8:J18" si="2">F8*1.0675</f>
        <v>0</v>
      </c>
      <c r="H8" s="175">
        <f t="shared" si="2"/>
        <v>0</v>
      </c>
      <c r="I8" s="175">
        <f t="shared" si="2"/>
        <v>0</v>
      </c>
      <c r="J8" s="176">
        <f t="shared" si="2"/>
        <v>0</v>
      </c>
      <c r="K8" s="116"/>
      <c r="L8" s="116"/>
    </row>
    <row r="9" spans="1:17">
      <c r="B9" s="115" t="s">
        <v>47</v>
      </c>
      <c r="C9" s="114">
        <v>0</v>
      </c>
      <c r="D9" s="172">
        <v>0.09</v>
      </c>
      <c r="E9" s="171">
        <f t="shared" si="1"/>
        <v>0</v>
      </c>
      <c r="F9" s="168">
        <f ca="1">Goals!K25*12</f>
        <v>0</v>
      </c>
      <c r="G9" s="175">
        <f t="shared" ca="1" si="2"/>
        <v>0</v>
      </c>
      <c r="H9" s="175">
        <f t="shared" ca="1" si="2"/>
        <v>0</v>
      </c>
      <c r="I9" s="175">
        <f t="shared" ca="1" si="2"/>
        <v>0</v>
      </c>
      <c r="J9" s="176">
        <f t="shared" ca="1" si="2"/>
        <v>0</v>
      </c>
      <c r="K9" s="116"/>
      <c r="L9" s="116"/>
    </row>
    <row r="10" spans="1:17">
      <c r="B10" s="115" t="s">
        <v>46</v>
      </c>
      <c r="C10" s="114">
        <v>0</v>
      </c>
      <c r="D10" s="169">
        <v>7.7499999999999999E-2</v>
      </c>
      <c r="E10" s="171">
        <f t="shared" si="1"/>
        <v>0</v>
      </c>
      <c r="F10" s="167">
        <f ca="1">Goals!M25*12</f>
        <v>0</v>
      </c>
      <c r="G10" s="175">
        <f t="shared" ca="1" si="2"/>
        <v>0</v>
      </c>
      <c r="H10" s="175">
        <f t="shared" ca="1" si="2"/>
        <v>0</v>
      </c>
      <c r="I10" s="175">
        <f t="shared" ca="1" si="2"/>
        <v>0</v>
      </c>
      <c r="J10" s="176">
        <f t="shared" ca="1" si="2"/>
        <v>0</v>
      </c>
      <c r="K10" s="116"/>
      <c r="L10" s="116"/>
    </row>
    <row r="11" spans="1:17">
      <c r="B11" s="115" t="s">
        <v>11</v>
      </c>
      <c r="C11" s="114">
        <v>0</v>
      </c>
      <c r="D11" s="169">
        <v>7.0000000000000007E-2</v>
      </c>
      <c r="E11" s="171">
        <f t="shared" si="1"/>
        <v>0</v>
      </c>
      <c r="F11" s="167"/>
      <c r="G11" s="175">
        <f t="shared" si="2"/>
        <v>0</v>
      </c>
      <c r="H11" s="175">
        <f t="shared" si="2"/>
        <v>0</v>
      </c>
      <c r="I11" s="175">
        <f t="shared" si="2"/>
        <v>0</v>
      </c>
      <c r="J11" s="176">
        <f t="shared" si="2"/>
        <v>0</v>
      </c>
      <c r="K11" s="116"/>
      <c r="L11" s="116"/>
    </row>
    <row r="12" spans="1:17">
      <c r="B12" s="115" t="s">
        <v>12</v>
      </c>
      <c r="C12" s="114">
        <v>267000</v>
      </c>
      <c r="D12" s="172">
        <v>8.1000000000000003E-2</v>
      </c>
      <c r="E12" s="171">
        <f t="shared" si="1"/>
        <v>7.050435701082651E-2</v>
      </c>
      <c r="F12" s="167">
        <f ca="1">Goals!N25*12</f>
        <v>32760</v>
      </c>
      <c r="G12" s="175">
        <f t="shared" ca="1" si="2"/>
        <v>34971.299999999996</v>
      </c>
      <c r="H12" s="175">
        <f t="shared" ca="1" si="2"/>
        <v>37331.862749999993</v>
      </c>
      <c r="I12" s="175">
        <f t="shared" ca="1" si="2"/>
        <v>39851.763485624986</v>
      </c>
      <c r="J12" s="176">
        <f t="shared" ca="1" si="2"/>
        <v>42541.75752090467</v>
      </c>
      <c r="K12" s="116"/>
      <c r="L12" s="116"/>
    </row>
    <row r="13" spans="1:17">
      <c r="B13" s="115" t="s">
        <v>106</v>
      </c>
      <c r="C13" s="114">
        <v>0</v>
      </c>
      <c r="D13" s="172">
        <v>0.09</v>
      </c>
      <c r="E13" s="171">
        <f t="shared" si="1"/>
        <v>0</v>
      </c>
      <c r="F13" s="167">
        <f ca="1">Goals!O25*12</f>
        <v>21840</v>
      </c>
      <c r="G13" s="175">
        <f t="shared" ca="1" si="2"/>
        <v>23314.199999999997</v>
      </c>
      <c r="H13" s="175">
        <f t="shared" ca="1" si="2"/>
        <v>24887.908499999994</v>
      </c>
      <c r="I13" s="175">
        <f t="shared" ca="1" si="2"/>
        <v>26567.842323749992</v>
      </c>
      <c r="J13" s="176">
        <f t="shared" ca="1" si="2"/>
        <v>28361.171680603115</v>
      </c>
      <c r="K13" s="116"/>
      <c r="L13" s="116"/>
    </row>
    <row r="14" spans="1:17">
      <c r="B14" s="6" t="s">
        <v>14</v>
      </c>
      <c r="C14" s="114">
        <v>0</v>
      </c>
      <c r="D14" s="173">
        <v>0.13109999999999999</v>
      </c>
      <c r="E14" s="171">
        <f t="shared" si="1"/>
        <v>0</v>
      </c>
      <c r="F14" s="168"/>
      <c r="G14" s="175">
        <f t="shared" si="2"/>
        <v>0</v>
      </c>
      <c r="H14" s="175">
        <f t="shared" si="2"/>
        <v>0</v>
      </c>
      <c r="I14" s="175">
        <f t="shared" si="2"/>
        <v>0</v>
      </c>
      <c r="J14" s="176">
        <f t="shared" si="2"/>
        <v>0</v>
      </c>
      <c r="K14" s="116"/>
      <c r="L14" s="116"/>
    </row>
    <row r="15" spans="1:17">
      <c r="B15" s="6" t="s">
        <v>15</v>
      </c>
      <c r="C15" s="114">
        <v>0</v>
      </c>
      <c r="D15" s="173">
        <v>8.8999999999999996E-2</v>
      </c>
      <c r="E15" s="171">
        <f t="shared" si="1"/>
        <v>0</v>
      </c>
      <c r="F15" s="161"/>
      <c r="G15" s="175">
        <f t="shared" si="2"/>
        <v>0</v>
      </c>
      <c r="H15" s="175">
        <f t="shared" si="2"/>
        <v>0</v>
      </c>
      <c r="I15" s="175">
        <f t="shared" si="2"/>
        <v>0</v>
      </c>
      <c r="J15" s="176">
        <f t="shared" si="2"/>
        <v>0</v>
      </c>
      <c r="K15" s="116"/>
      <c r="L15" s="116"/>
    </row>
    <row r="16" spans="1:17">
      <c r="B16" s="115" t="s">
        <v>16</v>
      </c>
      <c r="C16" s="114">
        <v>0</v>
      </c>
      <c r="D16" s="172">
        <v>7.0000000000000007E-2</v>
      </c>
      <c r="E16" s="171">
        <f t="shared" si="1"/>
        <v>0</v>
      </c>
      <c r="F16" s="167">
        <f ca="1">Goals!P25*12</f>
        <v>0</v>
      </c>
      <c r="G16" s="175">
        <f t="shared" ca="1" si="2"/>
        <v>0</v>
      </c>
      <c r="H16" s="175">
        <f t="shared" ca="1" si="2"/>
        <v>0</v>
      </c>
      <c r="I16" s="175">
        <f t="shared" ca="1" si="2"/>
        <v>0</v>
      </c>
      <c r="J16" s="176">
        <f t="shared" ca="1" si="2"/>
        <v>0</v>
      </c>
      <c r="K16" s="116"/>
      <c r="L16" s="116"/>
    </row>
    <row r="17" spans="1:12">
      <c r="B17" s="115" t="s">
        <v>94</v>
      </c>
      <c r="C17" s="114">
        <v>20000</v>
      </c>
      <c r="D17" s="172">
        <v>0.04</v>
      </c>
      <c r="E17" s="171">
        <f t="shared" si="1"/>
        <v>5.2812252442566675E-3</v>
      </c>
      <c r="F17" s="167">
        <f ca="1">Goals!L25*12</f>
        <v>0</v>
      </c>
      <c r="G17" s="175">
        <f t="shared" ca="1" si="2"/>
        <v>0</v>
      </c>
      <c r="H17" s="175">
        <f t="shared" ca="1" si="2"/>
        <v>0</v>
      </c>
      <c r="I17" s="175">
        <f t="shared" ca="1" si="2"/>
        <v>0</v>
      </c>
      <c r="J17" s="176">
        <f t="shared" ca="1" si="2"/>
        <v>0</v>
      </c>
      <c r="K17" s="116"/>
      <c r="L17" s="116"/>
    </row>
    <row r="18" spans="1:12">
      <c r="B18" s="115" t="s">
        <v>17</v>
      </c>
      <c r="C18" s="114">
        <v>500000</v>
      </c>
      <c r="D18" s="172">
        <v>0.05</v>
      </c>
      <c r="E18" s="171">
        <f t="shared" si="1"/>
        <v>0.13203063110641669</v>
      </c>
      <c r="F18" s="167"/>
      <c r="G18" s="175">
        <f t="shared" si="2"/>
        <v>0</v>
      </c>
      <c r="H18" s="175">
        <f t="shared" si="2"/>
        <v>0</v>
      </c>
      <c r="I18" s="175">
        <f t="shared" si="2"/>
        <v>0</v>
      </c>
      <c r="J18" s="176">
        <f t="shared" si="2"/>
        <v>0</v>
      </c>
      <c r="K18" s="116"/>
      <c r="L18" s="116"/>
    </row>
    <row r="19" spans="1:12">
      <c r="B19" s="129" t="s">
        <v>48</v>
      </c>
      <c r="C19" s="151">
        <f>SUM(C7:C18)</f>
        <v>3787000</v>
      </c>
      <c r="D19" s="130"/>
      <c r="E19" s="131"/>
      <c r="F19" s="162">
        <f ca="1">SUM(F8:F18)</f>
        <v>54600</v>
      </c>
      <c r="G19" s="155">
        <f t="shared" ref="G19:J19" ca="1" si="3">SUM(G8:G18)</f>
        <v>58285.499999999993</v>
      </c>
      <c r="H19" s="155">
        <f t="shared" ca="1" si="3"/>
        <v>62219.771249999991</v>
      </c>
      <c r="I19" s="155">
        <f t="shared" ca="1" si="3"/>
        <v>66419.605809374974</v>
      </c>
      <c r="J19" s="132">
        <f t="shared" ca="1" si="3"/>
        <v>70902.929201507781</v>
      </c>
      <c r="K19" s="116"/>
      <c r="L19" s="116"/>
    </row>
    <row r="20" spans="1:12">
      <c r="D20" s="122" t="s">
        <v>97</v>
      </c>
      <c r="E20" s="150">
        <f>SUMPRODUCT(D7:D18,E7:E18)</f>
        <v>6.7976498547663064E-2</v>
      </c>
      <c r="G20" s="158"/>
      <c r="H20" s="158"/>
      <c r="I20" s="158"/>
      <c r="J20" s="158"/>
      <c r="K20" s="158"/>
      <c r="L20" s="158"/>
    </row>
    <row r="22" spans="1:12" ht="15.75" thickBot="1">
      <c r="B22" s="39" t="s">
        <v>49</v>
      </c>
      <c r="C22" s="39" t="s">
        <v>44</v>
      </c>
      <c r="D22" s="111"/>
    </row>
    <row r="23" spans="1:12">
      <c r="B23" s="36" t="s">
        <v>122</v>
      </c>
      <c r="C23" s="114">
        <v>500000</v>
      </c>
      <c r="D23" s="114"/>
    </row>
    <row r="25" spans="1:12" ht="15.75" thickBot="1">
      <c r="B25" s="39" t="s">
        <v>50</v>
      </c>
      <c r="C25" s="40">
        <f>C19-C23</f>
        <v>3287000</v>
      </c>
      <c r="D25" s="110"/>
      <c r="E25" s="112"/>
    </row>
    <row r="27" spans="1:12">
      <c r="A27" s="37" t="s">
        <v>51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9" spans="1:12">
      <c r="B29" s="36" t="s">
        <v>52</v>
      </c>
      <c r="C29" s="114">
        <v>45500</v>
      </c>
      <c r="D29" s="114"/>
      <c r="G29" s="38"/>
      <c r="H29" s="38"/>
      <c r="I29" s="38"/>
      <c r="J29" s="38"/>
    </row>
    <row r="30" spans="1:12">
      <c r="B30" s="36" t="s">
        <v>93</v>
      </c>
      <c r="C30" s="114">
        <v>0</v>
      </c>
      <c r="D30" s="114"/>
    </row>
    <row r="31" spans="1:12" ht="15.75" thickBot="1">
      <c r="B31" s="39" t="s">
        <v>53</v>
      </c>
      <c r="C31" s="40">
        <f>C29+C30</f>
        <v>45500</v>
      </c>
      <c r="D31" s="110"/>
    </row>
    <row r="33" spans="2:4">
      <c r="B33" s="36" t="s">
        <v>54</v>
      </c>
      <c r="C33" s="114">
        <v>43500</v>
      </c>
      <c r="D33" s="114"/>
    </row>
    <row r="34" spans="2:4">
      <c r="B34" s="36" t="s">
        <v>55</v>
      </c>
      <c r="C34" s="114">
        <v>0</v>
      </c>
      <c r="D34" s="114"/>
    </row>
    <row r="35" spans="2:4">
      <c r="B35" s="36" t="s">
        <v>56</v>
      </c>
      <c r="C35" s="114">
        <v>2125</v>
      </c>
      <c r="D35" s="114"/>
    </row>
    <row r="36" spans="2:4">
      <c r="B36" s="36" t="s">
        <v>57</v>
      </c>
      <c r="C36" s="114">
        <v>0</v>
      </c>
      <c r="D36" s="114"/>
    </row>
    <row r="37" spans="2:4" ht="15.75" thickBot="1">
      <c r="B37" s="39" t="s">
        <v>58</v>
      </c>
      <c r="C37" s="40">
        <f>C33+C34+C35+C36</f>
        <v>45625</v>
      </c>
      <c r="D37" s="110"/>
    </row>
    <row r="39" spans="2:4" ht="15.75" thickBot="1">
      <c r="B39" s="39" t="s">
        <v>59</v>
      </c>
      <c r="C39" s="40">
        <f>+IF(C31-C37&gt;20%*C31,C31-C37,20%*C31)</f>
        <v>9100</v>
      </c>
      <c r="D39" s="110"/>
    </row>
  </sheetData>
  <mergeCells count="1">
    <mergeCell ref="F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Q30"/>
  <sheetViews>
    <sheetView tabSelected="1" topLeftCell="A17" workbookViewId="0">
      <selection activeCell="L38" sqref="L38"/>
    </sheetView>
  </sheetViews>
  <sheetFormatPr defaultRowHeight="15"/>
  <cols>
    <col min="1" max="1" width="3.5703125" customWidth="1"/>
    <col min="2" max="2" width="19.85546875" bestFit="1" customWidth="1"/>
    <col min="3" max="3" width="10.5703125" bestFit="1" customWidth="1"/>
    <col min="4" max="4" width="11.5703125" bestFit="1" customWidth="1"/>
    <col min="5" max="5" width="11.140625" customWidth="1"/>
    <col min="6" max="6" width="14.85546875" bestFit="1" customWidth="1"/>
    <col min="7" max="7" width="12.5703125" bestFit="1" customWidth="1"/>
    <col min="8" max="8" width="18.85546875" hidden="1" customWidth="1"/>
    <col min="9" max="9" width="14.85546875" customWidth="1"/>
    <col min="10" max="10" width="11.42578125" bestFit="1" customWidth="1"/>
    <col min="11" max="11" width="10.85546875" customWidth="1"/>
    <col min="15" max="15" width="13.42578125" bestFit="1" customWidth="1"/>
  </cols>
  <sheetData>
    <row r="3" spans="2:17">
      <c r="B3" s="99" t="s">
        <v>61</v>
      </c>
      <c r="C3" s="100"/>
      <c r="D3" s="100"/>
      <c r="E3" s="100"/>
      <c r="F3" s="100"/>
      <c r="G3" s="100"/>
      <c r="H3" s="100"/>
      <c r="I3" s="100"/>
      <c r="J3" s="199" t="s">
        <v>91</v>
      </c>
      <c r="K3" s="200"/>
      <c r="L3" s="200"/>
      <c r="M3" s="200"/>
      <c r="N3" s="200"/>
      <c r="O3" s="200"/>
      <c r="P3" s="201"/>
    </row>
    <row r="4" spans="2:17" ht="45.75" thickBot="1">
      <c r="B4" s="79" t="s">
        <v>21</v>
      </c>
      <c r="C4" s="77" t="s">
        <v>62</v>
      </c>
      <c r="D4" s="80" t="s">
        <v>63</v>
      </c>
      <c r="E4" s="80" t="s">
        <v>82</v>
      </c>
      <c r="F4" s="80"/>
      <c r="G4" s="77" t="s">
        <v>64</v>
      </c>
      <c r="H4" s="77" t="s">
        <v>65</v>
      </c>
      <c r="I4" s="77" t="s">
        <v>84</v>
      </c>
      <c r="J4" s="96" t="s">
        <v>71</v>
      </c>
      <c r="K4" s="96" t="s">
        <v>90</v>
      </c>
      <c r="L4" s="96" t="s">
        <v>75</v>
      </c>
      <c r="M4" s="96" t="s">
        <v>10</v>
      </c>
      <c r="N4" s="96" t="s">
        <v>12</v>
      </c>
      <c r="O4" s="96" t="s">
        <v>13</v>
      </c>
      <c r="P4" s="97" t="s">
        <v>16</v>
      </c>
    </row>
    <row r="5" spans="2:17">
      <c r="B5" s="46" t="s">
        <v>1</v>
      </c>
      <c r="C5" s="187">
        <v>8929508</v>
      </c>
      <c r="D5" s="142">
        <v>52291</v>
      </c>
      <c r="E5" s="78">
        <f t="shared" ref="E5:E7" ca="1" si="0">(+D5-$C$17)/365</f>
        <v>26.443835616438356</v>
      </c>
      <c r="F5" s="78" t="str">
        <f>+B5</f>
        <v>Retirement</v>
      </c>
      <c r="G5" s="147">
        <v>12740</v>
      </c>
      <c r="H5" s="47">
        <f>+IF(G5&lt;=C16,G5,C16)</f>
        <v>9100</v>
      </c>
      <c r="I5" s="81">
        <f>+IF(H5&gt;0,H5,0)</f>
        <v>9100</v>
      </c>
      <c r="J5" s="89">
        <f>IF(EXACT($D$15,"Case 1"),VLOOKUP($F5,Cases!$A$3:$H$10,2,FALSE),IF(EXACT(Goals!$D$15,"Case 2"),VLOOKUP($F5,Cases!$A$11:$H$16,2,FALSE),IF(EXACT(Goals!$D$15,"Case 3"),VLOOKUP($F5,Cases!$A$18:$H$23,2,FALSE))))</f>
        <v>0.5</v>
      </c>
      <c r="K5" s="89">
        <f>IF(EXACT($D$15,"Case 1"),VLOOKUP($F5,Cases!$A$3:$H$10,3,FALSE),IF(EXACT(Goals!$D$15,"Case 2"),VLOOKUP($F5,Cases!$A$11:$H$16,3,FALSE),IF(EXACT(Goals!$D$15,"Case 3"),VLOOKUP($F5,Cases!$A$18:$H$23,3,FALSE))))</f>
        <v>0</v>
      </c>
      <c r="L5" s="89">
        <f>IF(EXACT($D$15,"Case 1"),VLOOKUP($F5,Cases!$A$3:$H$10,4,FALSE),IF(EXACT(Goals!$D$15,"Case 2"),VLOOKUP($F5,Cases!$A$11:$H$16,4,FALSE),IF(EXACT(Goals!$D$15,"Case 3"),VLOOKUP($F5,Cases!$A$18:$H$23,4,FALSE))))</f>
        <v>0</v>
      </c>
      <c r="M5" s="89">
        <f>IF(EXACT($D$15,"Case 1"),VLOOKUP($F5,Cases!$A$3:$H$10,5,FALSE),IF(EXACT(Goals!$D$15,"Case 2"),VLOOKUP($F5,Cases!$A$11:$H$16,5,FALSE),IF(EXACT(Goals!$D$15,"Case 3"),VLOOKUP($F5,Cases!$A$18:$H$23,5,FALSE))))</f>
        <v>0</v>
      </c>
      <c r="N5" s="89">
        <f>IF(EXACT($D$15,"Case 1"),VLOOKUP($F5,Cases!$A$3:$H$10,6,FALSE),IF(EXACT(Goals!$D$15,"Case 2"),VLOOKUP($F5,Cases!$A$11:$H$16,6,FALSE),IF(EXACT(Goals!$D$15,"Case 3"),VLOOKUP($F5,Cases!$A$18:$H$23,6,FALSE))))</f>
        <v>0.3</v>
      </c>
      <c r="O5" s="89">
        <f>IF(EXACT($D$15,"Case 1"),VLOOKUP($F5,Cases!$A$3:$H$10,7,FALSE),IF(EXACT(Goals!$D$15,"Case 2"),VLOOKUP($F5,Cases!$A$11:$H$16,7,FALSE),IF(EXACT(Goals!$D$15,"Case 3"),VLOOKUP($F5,Cases!$A$18:$H$23,7,FALSE))))</f>
        <v>0.2</v>
      </c>
      <c r="P5" s="98">
        <f>IF(EXACT($D$15,"Case 1"),VLOOKUP($F5,Cases!$A$3:$H$10,8,FALSE),IF(EXACT(Goals!$D$15,"Case 2"),VLOOKUP($F5,Cases!$A$11:$H$16,8,FALSE),IF(EXACT(Goals!$D$15,"Case 3"),VLOOKUP($F5,Cases!$A$18:$H$23,8,FALSE))))</f>
        <v>0</v>
      </c>
      <c r="Q5" s="3"/>
    </row>
    <row r="6" spans="2:17">
      <c r="B6" s="46" t="s">
        <v>0</v>
      </c>
      <c r="C6" s="188">
        <v>273000</v>
      </c>
      <c r="D6" s="142">
        <v>42952</v>
      </c>
      <c r="E6" s="78">
        <f t="shared" ca="1" si="0"/>
        <v>0.8575342465753425</v>
      </c>
      <c r="F6" s="78" t="str">
        <f t="shared" ref="F6:F7" si="1">+B6</f>
        <v>Emergency Fund</v>
      </c>
      <c r="G6" s="147">
        <f ca="1">+D24</f>
        <v>25868.813768521773</v>
      </c>
      <c r="H6" s="47">
        <f ca="1">+IF(SUM(G5:G6)&lt;=C16,G6,C16-G5)</f>
        <v>-3640</v>
      </c>
      <c r="I6" s="81">
        <f t="shared" ref="I6:I12" ca="1" si="2">+IF(H6&gt;0,H6,0)</f>
        <v>0</v>
      </c>
      <c r="J6" s="89">
        <f>IF(EXACT($D$15,"Case 1"),VLOOKUP($F6,Cases!$A$3:$H$10,2,FALSE),IF(EXACT(Goals!$D$15,"Case 2"),VLOOKUP($F6,Cases!$A$11:$H$16,2,FALSE),IF(EXACT(Goals!$D$15,"Case 3"),VLOOKUP($F6,Cases!$A$18:$H$23,2,FALSE))))</f>
        <v>0</v>
      </c>
      <c r="K6" s="89">
        <f>IF(EXACT($D$15,"Case 1"),VLOOKUP($F6,Cases!$A$3:$H$10,3,FALSE),IF(EXACT(Goals!$D$15,"Case 2"),VLOOKUP($F6,Cases!$A$11:$H$16,3,FALSE),IF(EXACT(Goals!$D$15,"Case 3"),VLOOKUP($F6,Cases!$A$18:$H$23,3,FALSE))))</f>
        <v>0.5</v>
      </c>
      <c r="L6" s="89">
        <f>IF(EXACT($D$15,"Case 1"),VLOOKUP($F6,Cases!$A$3:$H$10,4,FALSE),IF(EXACT(Goals!$D$15,"Case 2"),VLOOKUP($F6,Cases!$A$11:$H$16,4,FALSE),IF(EXACT(Goals!$D$15,"Case 3"),VLOOKUP($F6,Cases!$A$18:$H$23,4,FALSE))))</f>
        <v>0.5</v>
      </c>
      <c r="M6" s="89">
        <f>IF(EXACT($D$15,"Case 1"),VLOOKUP($F6,Cases!$A$3:$H$10,5,FALSE),IF(EXACT(Goals!$D$15,"Case 2"),VLOOKUP($F6,Cases!$A$11:$H$16,5,FALSE),IF(EXACT(Goals!$D$15,"Case 3"),VLOOKUP($F6,Cases!$A$18:$H$23,5,FALSE))))</f>
        <v>0</v>
      </c>
      <c r="N6" s="89">
        <f>IF(EXACT($D$15,"Case 1"),VLOOKUP($F6,Cases!$A$3:$H$10,6,FALSE),IF(EXACT(Goals!$D$15,"Case 2"),VLOOKUP($F6,Cases!$A$11:$H$16,6,FALSE),IF(EXACT(Goals!$D$15,"Case 3"),VLOOKUP($F6,Cases!$A$18:$H$23,6,FALSE))))</f>
        <v>0</v>
      </c>
      <c r="O6" s="89">
        <f>IF(EXACT($D$15,"Case 1"),VLOOKUP($F6,Cases!$A$3:$H$10,7,FALSE),IF(EXACT(Goals!$D$15,"Case 2"),VLOOKUP($F6,Cases!$A$11:$H$16,7,FALSE),IF(EXACT(Goals!$D$15,"Case 3"),VLOOKUP($F6,Cases!$A$18:$H$23,7,FALSE))))</f>
        <v>0</v>
      </c>
      <c r="P6" s="98">
        <f>IF(EXACT($D$15,"Case 1"),VLOOKUP($F6,Cases!$A$3:$H$10,8,FALSE),IF(EXACT(Goals!$D$15,"Case 2"),VLOOKUP($F6,Cases!$A$11:$H$16,8,FALSE),IF(EXACT(Goals!$D$15,"Case 3"),VLOOKUP($F6,Cases!$A$18:$H$23,8,FALSE))))</f>
        <v>0</v>
      </c>
      <c r="Q6" s="3"/>
    </row>
    <row r="7" spans="2:17" hidden="1">
      <c r="B7" s="46" t="s">
        <v>76</v>
      </c>
      <c r="C7" s="149"/>
      <c r="D7" s="143">
        <v>43621</v>
      </c>
      <c r="E7" s="78">
        <f t="shared" ca="1" si="0"/>
        <v>2.6904109589041094</v>
      </c>
      <c r="F7" s="78" t="str">
        <f t="shared" si="1"/>
        <v>Payback Loans</v>
      </c>
      <c r="G7" s="147">
        <v>0</v>
      </c>
      <c r="H7" s="47">
        <f ca="1">+IF(SUM(G5:G7)&lt;=C16,G7,C16-G5-G6)</f>
        <v>-29508.813768521773</v>
      </c>
      <c r="I7" s="81">
        <f t="shared" ca="1" si="2"/>
        <v>0</v>
      </c>
      <c r="J7" s="89">
        <f>IF(EXACT($D$15,"Case 1"),VLOOKUP($F7,Cases!$A$3:$H$10,2,FALSE),IF(EXACT(Goals!$D$15,"Case 2"),VLOOKUP($F7,Cases!$A$11:$H$16,2,FALSE),IF(EXACT(Goals!$D$15,"Case 3"),VLOOKUP($F7,Cases!$A$18:$H$23,2,FALSE))))</f>
        <v>0</v>
      </c>
      <c r="K7" s="89">
        <f>IF(EXACT($D$15,"Case 1"),VLOOKUP($F7,Cases!$A$3:$H$10,3,FALSE),IF(EXACT(Goals!$D$15,"Case 2"),VLOOKUP($F7,Cases!$A$11:$H$16,3,FALSE),IF(EXACT(Goals!$D$15,"Case 3"),VLOOKUP($F7,Cases!$A$18:$H$23,3,FALSE))))</f>
        <v>0.5</v>
      </c>
      <c r="L7" s="89">
        <f>IF(EXACT($D$15,"Case 1"),VLOOKUP($F7,Cases!$A$3:$H$10,4,FALSE),IF(EXACT(Goals!$D$15,"Case 2"),VLOOKUP($F7,Cases!$A$11:$H$16,4,FALSE),IF(EXACT(Goals!$D$15,"Case 3"),VLOOKUP($F7,Cases!$A$18:$H$23,4,FALSE))))</f>
        <v>0.5</v>
      </c>
      <c r="M7" s="89">
        <f>IF(EXACT($D$15,"Case 1"),VLOOKUP($F7,Cases!$A$3:$H$10,5,FALSE),IF(EXACT(Goals!$D$15,"Case 2"),VLOOKUP($F7,Cases!$A$11:$H$16,5,FALSE),IF(EXACT(Goals!$D$15,"Case 3"),VLOOKUP($F7,Cases!$A$18:$H$23,5,FALSE))))</f>
        <v>0</v>
      </c>
      <c r="N7" s="89">
        <f>IF(EXACT($D$15,"Case 1"),VLOOKUP($F7,Cases!$A$3:$H$10,6,FALSE),IF(EXACT(Goals!$D$15,"Case 2"),VLOOKUP($F7,Cases!$A$11:$H$16,6,FALSE),IF(EXACT(Goals!$D$15,"Case 3"),VLOOKUP($F7,Cases!$A$18:$H$23,6,FALSE))))</f>
        <v>0</v>
      </c>
      <c r="O7" s="89">
        <f>IF(EXACT($D$15,"Case 1"),VLOOKUP($F7,Cases!$A$3:$H$10,7,FALSE),IF(EXACT(Goals!$D$15,"Case 2"),VLOOKUP($F7,Cases!$A$11:$H$16,7,FALSE),IF(EXACT(Goals!$D$15,"Case 3"),VLOOKUP($F7,Cases!$A$18:$H$23,7,FALSE))))</f>
        <v>0</v>
      </c>
      <c r="P7" s="98">
        <f>IF(EXACT($D$15,"Case 1"),VLOOKUP($F7,Cases!$A$3:$H$10,8,FALSE),IF(EXACT(Goals!$D$15,"Case 2"),VLOOKUP($F7,Cases!$A$11:$H$16,8,FALSE),IF(EXACT(Goals!$D$15,"Case 3"),VLOOKUP($F7,Cases!$A$18:$H$23,8,FALSE))))</f>
        <v>0</v>
      </c>
      <c r="Q7" s="3"/>
    </row>
    <row r="8" spans="2:17">
      <c r="B8" s="46" t="s">
        <v>127</v>
      </c>
      <c r="C8" s="149">
        <v>400000</v>
      </c>
      <c r="D8" s="142">
        <v>47666</v>
      </c>
      <c r="E8" s="78">
        <f ca="1">(+D8-$C$17)/365</f>
        <v>13.772602739726027</v>
      </c>
      <c r="F8" s="78" t="str">
        <f t="shared" ref="F8:F12" ca="1" si="3">+IF(E8&gt;3,"Long Term","Short Term")</f>
        <v>Long Term</v>
      </c>
      <c r="G8" s="147">
        <v>8058</v>
      </c>
      <c r="H8" s="47">
        <f ca="1">+IF(SUM(G5:G8)&lt;=C16,G8,C16-G5-G6-G7)</f>
        <v>-29508.813768521773</v>
      </c>
      <c r="I8" s="81">
        <f t="shared" ca="1" si="2"/>
        <v>0</v>
      </c>
      <c r="J8" s="89">
        <f ca="1">IF(EXACT($D$15,"Case 1"),VLOOKUP($F8,Cases!$A$3:$H$10,2,FALSE),IF(EXACT(Goals!$D$15,"Case 2"),VLOOKUP($F8,Cases!$A$11:$H$16,2,FALSE),IF(EXACT(Goals!$D$15,"Case 3"),VLOOKUP($F8,Cases!$A$18:$H$23,2,FALSE))))</f>
        <v>1</v>
      </c>
      <c r="K8" s="89">
        <f ca="1">IF(EXACT($D$15,"Case 1"),VLOOKUP($F8,Cases!$A$3:$H$10,3,FALSE),IF(EXACT(Goals!$D$15,"Case 2"),VLOOKUP($F8,Cases!$A$11:$H$16,3,FALSE),IF(EXACT(Goals!$D$15,"Case 3"),VLOOKUP($F8,Cases!$A$18:$H$23,3,FALSE))))</f>
        <v>0</v>
      </c>
      <c r="L8" s="89">
        <f ca="1">IF(EXACT($D$15,"Case 1"),VLOOKUP($F8,Cases!$A$3:$H$10,4,FALSE),IF(EXACT(Goals!$D$15,"Case 2"),VLOOKUP($F8,Cases!$A$11:$H$16,4,FALSE),IF(EXACT(Goals!$D$15,"Case 3"),VLOOKUP($F8,Cases!$A$18:$H$23,4,FALSE))))</f>
        <v>0</v>
      </c>
      <c r="M8" s="89">
        <f ca="1">IF(EXACT($D$15,"Case 1"),VLOOKUP($F8,Cases!$A$3:$H$10,5,FALSE),IF(EXACT(Goals!$D$15,"Case 2"),VLOOKUP($F8,Cases!$A$11:$H$16,5,FALSE),IF(EXACT(Goals!$D$15,"Case 3"),VLOOKUP($F8,Cases!$A$18:$H$23,5,FALSE))))</f>
        <v>0</v>
      </c>
      <c r="N8" s="89">
        <f ca="1">IF(EXACT($D$15,"Case 1"),VLOOKUP($F8,Cases!$A$3:$H$10,6,FALSE),IF(EXACT(Goals!$D$15,"Case 2"),VLOOKUP($F8,Cases!$A$11:$H$16,6,FALSE),IF(EXACT(Goals!$D$15,"Case 3"),VLOOKUP($F8,Cases!$A$18:$H$23,6,FALSE))))</f>
        <v>0</v>
      </c>
      <c r="O8" s="89">
        <f ca="1">IF(EXACT($D$15,"Case 1"),VLOOKUP($F8,Cases!$A$3:$H$10,7,FALSE),IF(EXACT(Goals!$D$15,"Case 2"),VLOOKUP($F8,Cases!$A$11:$H$16,7,FALSE),IF(EXACT(Goals!$D$15,"Case 3"),VLOOKUP($F8,Cases!$A$18:$H$23,7,FALSE))))</f>
        <v>0</v>
      </c>
      <c r="P8" s="98">
        <f ca="1">IF(EXACT($D$15,"Case 1"),VLOOKUP($F8,Cases!$A$3:$H$10,8,FALSE),IF(EXACT(Goals!$D$15,"Case 2"),VLOOKUP($F8,Cases!$A$11:$H$16,8,FALSE),IF(EXACT(Goals!$D$15,"Case 3"),VLOOKUP($F8,Cases!$A$18:$H$23,8,FALSE))))</f>
        <v>0</v>
      </c>
      <c r="Q8" s="3"/>
    </row>
    <row r="9" spans="2:17">
      <c r="B9" s="179" t="s">
        <v>128</v>
      </c>
      <c r="C9" s="190">
        <v>2000000</v>
      </c>
      <c r="D9" s="180">
        <v>51349</v>
      </c>
      <c r="E9" s="181">
        <f t="shared" ref="E9:E12" ca="1" si="4">(+D9-$C$17)/365</f>
        <v>23.863013698630137</v>
      </c>
      <c r="F9" s="181" t="str">
        <f t="shared" ca="1" si="3"/>
        <v>Long Term</v>
      </c>
      <c r="G9" s="182">
        <v>4405</v>
      </c>
      <c r="H9" s="183">
        <f ca="1">+IF(SUM(G5:G9)&lt;=C16,G9,C16-G5-G6-G7-G8)</f>
        <v>-37566.813768521773</v>
      </c>
      <c r="I9" s="184">
        <f t="shared" ca="1" si="2"/>
        <v>0</v>
      </c>
      <c r="J9" s="185">
        <f ca="1">IF(EXACT($D$15,"Case 1"),VLOOKUP($F9,Cases!$A$3:$H$10,2,FALSE),IF(EXACT(Goals!$D$15,"Case 2"),VLOOKUP($F9,Cases!$A$11:$H$16,2,FALSE),IF(EXACT(Goals!$D$15,"Case 3"),VLOOKUP($F9,Cases!$A$18:$H$23,2,FALSE))))</f>
        <v>1</v>
      </c>
      <c r="K9" s="185">
        <f ca="1">IF(EXACT($D$15,"Case 1"),VLOOKUP($F9,Cases!$A$3:$H$10,3,FALSE),IF(EXACT(Goals!$D$15,"Case 2"),VLOOKUP($F9,Cases!$A$11:$H$16,3,FALSE),IF(EXACT(Goals!$D$15,"Case 3"),VLOOKUP($F9,Cases!$A$18:$H$23,3,FALSE))))</f>
        <v>0</v>
      </c>
      <c r="L9" s="185">
        <f ca="1">IF(EXACT($D$15,"Case 1"),VLOOKUP($F9,Cases!$A$3:$H$10,4,FALSE),IF(EXACT(Goals!$D$15,"Case 2"),VLOOKUP($F9,Cases!$A$11:$H$16,4,FALSE),IF(EXACT(Goals!$D$15,"Case 3"),VLOOKUP($F9,Cases!$A$18:$H$23,4,FALSE))))</f>
        <v>0</v>
      </c>
      <c r="M9" s="185">
        <f ca="1">IF(EXACT($D$15,"Case 1"),VLOOKUP($F9,Cases!$A$3:$H$10,5,FALSE),IF(EXACT(Goals!$D$15,"Case 2"),VLOOKUP($F9,Cases!$A$11:$H$16,5,FALSE),IF(EXACT(Goals!$D$15,"Case 3"),VLOOKUP($F9,Cases!$A$18:$H$23,5,FALSE))))</f>
        <v>0</v>
      </c>
      <c r="N9" s="185">
        <f ca="1">IF(EXACT($D$15,"Case 1"),VLOOKUP($F9,Cases!$A$3:$H$10,6,FALSE),IF(EXACT(Goals!$D$15,"Case 2"),VLOOKUP($F9,Cases!$A$11:$H$16,6,FALSE),IF(EXACT(Goals!$D$15,"Case 3"),VLOOKUP($F9,Cases!$A$18:$H$23,6,FALSE))))</f>
        <v>0</v>
      </c>
      <c r="O9" s="185">
        <f ca="1">IF(EXACT($D$15,"Case 1"),VLOOKUP($F9,Cases!$A$3:$H$10,7,FALSE),IF(EXACT(Goals!$D$15,"Case 2"),VLOOKUP($F9,Cases!$A$11:$H$16,7,FALSE),IF(EXACT(Goals!$D$15,"Case 3"),VLOOKUP($F9,Cases!$A$18:$H$23,7,FALSE))))</f>
        <v>0</v>
      </c>
      <c r="P9" s="186">
        <f ca="1">IF(EXACT($D$15,"Case 1"),VLOOKUP($F9,Cases!$A$3:$H$10,8,FALSE),IF(EXACT(Goals!$D$15,"Case 2"),VLOOKUP($F9,Cases!$A$11:$H$16,8,FALSE),IF(EXACT(Goals!$D$15,"Case 3"),VLOOKUP($F9,Cases!$A$18:$H$23,8,FALSE))))</f>
        <v>0</v>
      </c>
      <c r="Q9" s="3"/>
    </row>
    <row r="10" spans="2:17" hidden="1">
      <c r="B10" s="46" t="s">
        <v>79</v>
      </c>
      <c r="C10" s="144"/>
      <c r="D10" s="145">
        <v>51213</v>
      </c>
      <c r="E10" s="78">
        <f t="shared" ca="1" si="4"/>
        <v>23.490410958904111</v>
      </c>
      <c r="F10" s="78" t="str">
        <f t="shared" ca="1" si="3"/>
        <v>Long Term</v>
      </c>
      <c r="G10" s="141">
        <v>10000</v>
      </c>
      <c r="H10" s="47">
        <f ca="1">+IF(SUM(G5:G10)&lt;=C16,G10,C16-G5-G6-G7-G8-G9)</f>
        <v>-41971.813768521773</v>
      </c>
      <c r="I10" s="81">
        <f t="shared" ca="1" si="2"/>
        <v>0</v>
      </c>
      <c r="J10" s="89">
        <f ca="1">IF(EXACT($D$15,"Case 1"),VLOOKUP($F10,Cases!$A$3:$H$10,2,FALSE),IF(EXACT(Goals!$D$15,"Case 2"),VLOOKUP($F10,Cases!$A$11:$H$16,2,FALSE),IF(EXACT(Goals!$D$15,"Case 3"),VLOOKUP($F10,Cases!$A$18:$H$23,2,FALSE))))</f>
        <v>1</v>
      </c>
      <c r="K10" s="89">
        <f ca="1">IF(EXACT($D$15,"Case 1"),VLOOKUP($F10,Cases!$A$3:$H$10,3,FALSE),IF(EXACT(Goals!$D$15,"Case 2"),VLOOKUP($F10,Cases!$A$11:$H$16,3,FALSE),IF(EXACT(Goals!$D$15,"Case 3"),VLOOKUP($F10,Cases!$A$18:$H$23,3,FALSE))))</f>
        <v>0</v>
      </c>
      <c r="L10" s="89">
        <f ca="1">IF(EXACT($D$15,"Case 1"),VLOOKUP($F10,Cases!$A$3:$H$10,4,FALSE),IF(EXACT(Goals!$D$15,"Case 2"),VLOOKUP($F10,Cases!$A$11:$H$16,4,FALSE),IF(EXACT(Goals!$D$15,"Case 3"),VLOOKUP($F10,Cases!$A$18:$H$23,4,FALSE))))</f>
        <v>0</v>
      </c>
      <c r="M10" s="89">
        <f ca="1">IF(EXACT($D$15,"Case 1"),VLOOKUP($F10,Cases!$A$3:$H$10,5,FALSE),IF(EXACT(Goals!$D$15,"Case 2"),VLOOKUP($F10,Cases!$A$11:$H$16,5,FALSE),IF(EXACT(Goals!$D$15,"Case 3"),VLOOKUP($F10,Cases!$A$18:$H$23,5,FALSE))))</f>
        <v>0</v>
      </c>
      <c r="N10" s="89">
        <f ca="1">IF(EXACT($D$15,"Case 1"),VLOOKUP($F10,Cases!$A$3:$H$10,6,FALSE),IF(EXACT(Goals!$D$15,"Case 2"),VLOOKUP($F10,Cases!$A$11:$H$16,6,FALSE),IF(EXACT(Goals!$D$15,"Case 3"),VLOOKUP($F10,Cases!$A$18:$H$23,6,FALSE))))</f>
        <v>0</v>
      </c>
      <c r="O10" s="89">
        <f ca="1">IF(EXACT($D$15,"Case 1"),VLOOKUP($F10,Cases!$A$3:$H$10,7,FALSE),IF(EXACT(Goals!$D$15,"Case 2"),VLOOKUP($F10,Cases!$A$11:$H$16,7,FALSE),IF(EXACT(Goals!$D$15,"Case 3"),VLOOKUP($F10,Cases!$A$18:$H$23,7,FALSE))))</f>
        <v>0</v>
      </c>
      <c r="P10" s="98">
        <f ca="1">IF(EXACT($D$15,"Case 1"),VLOOKUP($F10,Cases!$A$3:$H$10,8,FALSE),IF(EXACT(Goals!$D$15,"Case 2"),VLOOKUP($F10,Cases!$A$11:$H$16,8,FALSE),IF(EXACT(Goals!$D$15,"Case 3"),VLOOKUP($F10,Cases!$A$18:$H$23,8,FALSE))))</f>
        <v>0</v>
      </c>
      <c r="Q10" s="3"/>
    </row>
    <row r="11" spans="2:17" hidden="1">
      <c r="B11" s="46" t="s">
        <v>80</v>
      </c>
      <c r="C11" s="144"/>
      <c r="D11" s="145">
        <v>43475</v>
      </c>
      <c r="E11" s="78">
        <f t="shared" ca="1" si="4"/>
        <v>2.2904109589041095</v>
      </c>
      <c r="F11" s="78" t="str">
        <f t="shared" ca="1" si="3"/>
        <v>Short Term</v>
      </c>
      <c r="G11" s="141">
        <v>2000</v>
      </c>
      <c r="H11" s="47">
        <f ca="1">+IF(SUM(G5:G11)&lt;=C16,G11,C16-G5-G6-G7-G8-G9-G10)</f>
        <v>-51971.813768521773</v>
      </c>
      <c r="I11" s="81">
        <f t="shared" ca="1" si="2"/>
        <v>0</v>
      </c>
      <c r="J11" s="89">
        <f ca="1">IF(EXACT($D$15,"Case 1"),VLOOKUP($F11,Cases!$A$3:$H$10,2,FALSE),IF(EXACT(Goals!$D$15,"Case 2"),VLOOKUP($F11,Cases!$A$11:$H$16,2,FALSE),IF(EXACT(Goals!$D$15,"Case 3"),VLOOKUP($F11,Cases!$A$18:$H$23,2,FALSE))))</f>
        <v>0</v>
      </c>
      <c r="K11" s="89">
        <f ca="1">IF(EXACT($D$15,"Case 1"),VLOOKUP($F11,Cases!$A$3:$H$10,3,FALSE),IF(EXACT(Goals!$D$15,"Case 2"),VLOOKUP($F11,Cases!$A$11:$H$16,3,FALSE),IF(EXACT(Goals!$D$15,"Case 3"),VLOOKUP($F11,Cases!$A$18:$H$23,3,FALSE))))</f>
        <v>1</v>
      </c>
      <c r="L11" s="89">
        <f ca="1">IF(EXACT($D$15,"Case 1"),VLOOKUP($F11,Cases!$A$3:$H$10,4,FALSE),IF(EXACT(Goals!$D$15,"Case 2"),VLOOKUP($F11,Cases!$A$11:$H$16,4,FALSE),IF(EXACT(Goals!$D$15,"Case 3"),VLOOKUP($F11,Cases!$A$18:$H$23,4,FALSE))))</f>
        <v>0</v>
      </c>
      <c r="M11" s="89">
        <f ca="1">IF(EXACT($D$15,"Case 1"),VLOOKUP($F11,Cases!$A$3:$H$10,5,FALSE),IF(EXACT(Goals!$D$15,"Case 2"),VLOOKUP($F11,Cases!$A$11:$H$16,5,FALSE),IF(EXACT(Goals!$D$15,"Case 3"),VLOOKUP($F11,Cases!$A$18:$H$23,5,FALSE))))</f>
        <v>0</v>
      </c>
      <c r="N11" s="89">
        <f ca="1">IF(EXACT($D$15,"Case 1"),VLOOKUP($F11,Cases!$A$3:$H$10,6,FALSE),IF(EXACT(Goals!$D$15,"Case 2"),VLOOKUP($F11,Cases!$A$11:$H$16,6,FALSE),IF(EXACT(Goals!$D$15,"Case 3"),VLOOKUP($F11,Cases!$A$18:$H$23,6,FALSE))))</f>
        <v>0</v>
      </c>
      <c r="O11" s="89">
        <f ca="1">IF(EXACT($D$15,"Case 1"),VLOOKUP($F11,Cases!$A$3:$H$10,7,FALSE),IF(EXACT(Goals!$D$15,"Case 2"),VLOOKUP($F11,Cases!$A$11:$H$16,7,FALSE),IF(EXACT(Goals!$D$15,"Case 3"),VLOOKUP($F11,Cases!$A$18:$H$23,7,FALSE))))</f>
        <v>0</v>
      </c>
      <c r="P11" s="98">
        <f ca="1">IF(EXACT($D$15,"Case 1"),VLOOKUP($F11,Cases!$A$3:$H$10,8,FALSE),IF(EXACT(Goals!$D$15,"Case 2"),VLOOKUP($F11,Cases!$A$11:$H$16,8,FALSE),IF(EXACT(Goals!$D$15,"Case 3"),VLOOKUP($F11,Cases!$A$18:$H$23,8,FALSE))))</f>
        <v>0</v>
      </c>
      <c r="Q11" s="3"/>
    </row>
    <row r="12" spans="2:17" hidden="1">
      <c r="B12" s="46" t="s">
        <v>78</v>
      </c>
      <c r="C12" s="59"/>
      <c r="D12" s="146">
        <v>43202</v>
      </c>
      <c r="E12" s="78">
        <f t="shared" ca="1" si="4"/>
        <v>1.5424657534246575</v>
      </c>
      <c r="F12" s="78" t="str">
        <f t="shared" ca="1" si="3"/>
        <v>Short Term</v>
      </c>
      <c r="G12" s="148">
        <v>18000</v>
      </c>
      <c r="H12" s="47">
        <f ca="1">+IF(SUM(G5:G12)&lt;=C16,G12,C16-G5-G6-G7-G8-G9-G10-G11)</f>
        <v>-53971.813768521773</v>
      </c>
      <c r="I12" s="81">
        <f t="shared" ca="1" si="2"/>
        <v>0</v>
      </c>
      <c r="J12" s="89">
        <f ca="1">IF(EXACT($D$15,"Case 1"),VLOOKUP($F12,Cases!$A$3:$H$10,2,FALSE),IF(EXACT(Goals!$D$15,"Case 2"),VLOOKUP($F12,Cases!$A$11:$H$16,2,FALSE),IF(EXACT(Goals!$D$15,"Case 3"),VLOOKUP($F12,Cases!$A$18:$H$23,2,FALSE))))</f>
        <v>0</v>
      </c>
      <c r="K12" s="89">
        <f ca="1">IF(EXACT($D$15,"Case 1"),VLOOKUP($F12,Cases!$A$3:$H$10,3,FALSE),IF(EXACT(Goals!$D$15,"Case 2"),VLOOKUP($F12,Cases!$A$11:$H$16,3,FALSE),IF(EXACT(Goals!$D$15,"Case 3"),VLOOKUP($F12,Cases!$A$18:$H$23,3,FALSE))))</f>
        <v>1</v>
      </c>
      <c r="L12" s="89">
        <f ca="1">IF(EXACT($D$15,"Case 1"),VLOOKUP($F12,Cases!$A$3:$H$10,4,FALSE),IF(EXACT(Goals!$D$15,"Case 2"),VLOOKUP($F12,Cases!$A$11:$H$16,4,FALSE),IF(EXACT(Goals!$D$15,"Case 3"),VLOOKUP($F12,Cases!$A$18:$H$23,4,FALSE))))</f>
        <v>0</v>
      </c>
      <c r="M12" s="89">
        <f ca="1">IF(EXACT($D$15,"Case 1"),VLOOKUP($F12,Cases!$A$3:$H$10,5,FALSE),IF(EXACT(Goals!$D$15,"Case 2"),VLOOKUP($F12,Cases!$A$11:$H$16,5,FALSE),IF(EXACT(Goals!$D$15,"Case 3"),VLOOKUP($F12,Cases!$A$18:$H$23,5,FALSE))))</f>
        <v>0</v>
      </c>
      <c r="N12" s="89">
        <f ca="1">IF(EXACT($D$15,"Case 1"),VLOOKUP($F12,Cases!$A$3:$H$10,6,FALSE),IF(EXACT(Goals!$D$15,"Case 2"),VLOOKUP($F12,Cases!$A$11:$H$16,6,FALSE),IF(EXACT(Goals!$D$15,"Case 3"),VLOOKUP($F12,Cases!$A$18:$H$23,6,FALSE))))</f>
        <v>0</v>
      </c>
      <c r="O12" s="89">
        <f ca="1">IF(EXACT($D$15,"Case 1"),VLOOKUP($F12,Cases!$A$3:$H$10,7,FALSE),IF(EXACT(Goals!$D$15,"Case 2"),VLOOKUP($F12,Cases!$A$11:$H$16,7,FALSE),IF(EXACT(Goals!$D$15,"Case 3"),VLOOKUP($F12,Cases!$A$18:$H$23,7,FALSE))))</f>
        <v>0</v>
      </c>
      <c r="P12" s="98">
        <f ca="1">IF(EXACT($D$15,"Case 1"),VLOOKUP($F12,Cases!$A$3:$H$10,8,FALSE),IF(EXACT(Goals!$D$15,"Case 2"),VLOOKUP($F12,Cases!$A$11:$H$16,8,FALSE),IF(EXACT(Goals!$D$15,"Case 3"),VLOOKUP($F12,Cases!$A$18:$H$23,8,FALSE))))</f>
        <v>0</v>
      </c>
      <c r="Q12" s="3"/>
    </row>
    <row r="13" spans="2:17" hidden="1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9"/>
    </row>
    <row r="14" spans="2:17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17">
      <c r="B15" s="59" t="s">
        <v>83</v>
      </c>
      <c r="C15" s="112">
        <v>33</v>
      </c>
      <c r="D15" t="str">
        <f>IF(Goals!C15&lt;=35,"Case 1",IF(Goals!C15&lt;=50,"Case 2","Case 3"))</f>
        <v>Case 1</v>
      </c>
      <c r="G15" s="75"/>
      <c r="J15" s="202" t="s">
        <v>92</v>
      </c>
      <c r="K15" s="203"/>
      <c r="L15" s="203"/>
      <c r="M15" s="203"/>
      <c r="N15" s="203"/>
      <c r="O15" s="203"/>
      <c r="P15" s="204"/>
    </row>
    <row r="16" spans="2:17" ht="45">
      <c r="B16" s="59" t="s">
        <v>77</v>
      </c>
      <c r="C16" s="149">
        <f>'Asset and income check up'!C39</f>
        <v>9100</v>
      </c>
      <c r="G16" s="15"/>
      <c r="J16" s="102" t="s">
        <v>71</v>
      </c>
      <c r="K16" s="96" t="s">
        <v>90</v>
      </c>
      <c r="L16" s="96" t="s">
        <v>75</v>
      </c>
      <c r="M16" s="96" t="s">
        <v>10</v>
      </c>
      <c r="N16" s="96" t="s">
        <v>12</v>
      </c>
      <c r="O16" s="96" t="s">
        <v>13</v>
      </c>
      <c r="P16" s="97" t="s">
        <v>16</v>
      </c>
    </row>
    <row r="17" spans="2:16">
      <c r="B17" s="59" t="s">
        <v>81</v>
      </c>
      <c r="C17" s="74">
        <f ca="1">+TODAY()</f>
        <v>42639</v>
      </c>
      <c r="J17" s="103">
        <f>J5*$I5</f>
        <v>4550</v>
      </c>
      <c r="K17" s="104">
        <f t="shared" ref="K17:P17" si="5">K5*$I5</f>
        <v>0</v>
      </c>
      <c r="L17" s="104">
        <f t="shared" si="5"/>
        <v>0</v>
      </c>
      <c r="M17" s="104">
        <f t="shared" si="5"/>
        <v>0</v>
      </c>
      <c r="N17" s="104">
        <f t="shared" si="5"/>
        <v>2730</v>
      </c>
      <c r="O17" s="104">
        <f t="shared" si="5"/>
        <v>1820</v>
      </c>
      <c r="P17" s="105">
        <f t="shared" si="5"/>
        <v>0</v>
      </c>
    </row>
    <row r="18" spans="2:16">
      <c r="J18" s="103">
        <f t="shared" ref="J18:P18" ca="1" si="6">J6*$I6</f>
        <v>0</v>
      </c>
      <c r="K18" s="104">
        <f t="shared" ca="1" si="6"/>
        <v>0</v>
      </c>
      <c r="L18" s="104">
        <f t="shared" ca="1" si="6"/>
        <v>0</v>
      </c>
      <c r="M18" s="104">
        <f t="shared" ca="1" si="6"/>
        <v>0</v>
      </c>
      <c r="N18" s="104">
        <f t="shared" ca="1" si="6"/>
        <v>0</v>
      </c>
      <c r="O18" s="104">
        <f t="shared" ca="1" si="6"/>
        <v>0</v>
      </c>
      <c r="P18" s="105">
        <f t="shared" ca="1" si="6"/>
        <v>0</v>
      </c>
    </row>
    <row r="19" spans="2:16">
      <c r="J19" s="103">
        <f t="shared" ref="J19:P19" ca="1" si="7">J7*$I7</f>
        <v>0</v>
      </c>
      <c r="K19" s="104">
        <f t="shared" ca="1" si="7"/>
        <v>0</v>
      </c>
      <c r="L19" s="104">
        <f t="shared" ca="1" si="7"/>
        <v>0</v>
      </c>
      <c r="M19" s="104">
        <f t="shared" ca="1" si="7"/>
        <v>0</v>
      </c>
      <c r="N19" s="104">
        <f t="shared" ca="1" si="7"/>
        <v>0</v>
      </c>
      <c r="O19" s="104">
        <f t="shared" ca="1" si="7"/>
        <v>0</v>
      </c>
      <c r="P19" s="105">
        <f t="shared" ca="1" si="7"/>
        <v>0</v>
      </c>
    </row>
    <row r="20" spans="2:16">
      <c r="B20" s="196" t="s">
        <v>66</v>
      </c>
      <c r="C20" s="197"/>
      <c r="D20" s="198"/>
      <c r="E20" s="50"/>
      <c r="F20" s="50"/>
      <c r="J20" s="103">
        <f t="shared" ref="J20:P20" ca="1" si="8">J8*$I8</f>
        <v>0</v>
      </c>
      <c r="K20" s="104">
        <f t="shared" ca="1" si="8"/>
        <v>0</v>
      </c>
      <c r="L20" s="104">
        <f t="shared" ca="1" si="8"/>
        <v>0</v>
      </c>
      <c r="M20" s="104">
        <f t="shared" ca="1" si="8"/>
        <v>0</v>
      </c>
      <c r="N20" s="104">
        <f t="shared" ca="1" si="8"/>
        <v>0</v>
      </c>
      <c r="O20" s="104">
        <f t="shared" ca="1" si="8"/>
        <v>0</v>
      </c>
      <c r="P20" s="105">
        <f t="shared" ca="1" si="8"/>
        <v>0</v>
      </c>
    </row>
    <row r="21" spans="2:16">
      <c r="B21" s="6" t="s">
        <v>67</v>
      </c>
      <c r="C21" s="15"/>
      <c r="D21" s="128">
        <f>C6</f>
        <v>273000</v>
      </c>
      <c r="E21" s="15"/>
      <c r="F21" s="15"/>
      <c r="J21" s="103">
        <f t="shared" ref="J21:P21" ca="1" si="9">J9*$I9</f>
        <v>0</v>
      </c>
      <c r="K21" s="104">
        <f t="shared" ca="1" si="9"/>
        <v>0</v>
      </c>
      <c r="L21" s="104">
        <f t="shared" ca="1" si="9"/>
        <v>0</v>
      </c>
      <c r="M21" s="104">
        <f t="shared" ca="1" si="9"/>
        <v>0</v>
      </c>
      <c r="N21" s="104">
        <f t="shared" ca="1" si="9"/>
        <v>0</v>
      </c>
      <c r="O21" s="104">
        <f t="shared" ca="1" si="9"/>
        <v>0</v>
      </c>
      <c r="P21" s="105">
        <f t="shared" ca="1" si="9"/>
        <v>0</v>
      </c>
    </row>
    <row r="22" spans="2:16">
      <c r="B22" s="6" t="s">
        <v>68</v>
      </c>
      <c r="C22" s="15"/>
      <c r="D22" s="189">
        <f ca="1">E6*12</f>
        <v>10.29041095890411</v>
      </c>
      <c r="E22" s="15"/>
      <c r="F22" s="15"/>
      <c r="J22" s="103">
        <f t="shared" ref="J22:P22" ca="1" si="10">J10*$I10</f>
        <v>0</v>
      </c>
      <c r="K22" s="104">
        <f t="shared" ca="1" si="10"/>
        <v>0</v>
      </c>
      <c r="L22" s="104">
        <f t="shared" ca="1" si="10"/>
        <v>0</v>
      </c>
      <c r="M22" s="104">
        <f t="shared" ca="1" si="10"/>
        <v>0</v>
      </c>
      <c r="N22" s="104">
        <f t="shared" ca="1" si="10"/>
        <v>0</v>
      </c>
      <c r="O22" s="104">
        <f t="shared" ca="1" si="10"/>
        <v>0</v>
      </c>
      <c r="P22" s="105">
        <f t="shared" ca="1" si="10"/>
        <v>0</v>
      </c>
    </row>
    <row r="23" spans="2:16">
      <c r="B23" s="6" t="s">
        <v>69</v>
      </c>
      <c r="C23" s="15"/>
      <c r="D23" s="48">
        <v>6.5000000000000002E-2</v>
      </c>
      <c r="E23" s="72"/>
      <c r="F23" s="72"/>
      <c r="J23" s="103">
        <f t="shared" ref="J23:P23" ca="1" si="11">J11*$I11</f>
        <v>0</v>
      </c>
      <c r="K23" s="104">
        <f t="shared" ca="1" si="11"/>
        <v>0</v>
      </c>
      <c r="L23" s="104">
        <f t="shared" ca="1" si="11"/>
        <v>0</v>
      </c>
      <c r="M23" s="104">
        <f t="shared" ca="1" si="11"/>
        <v>0</v>
      </c>
      <c r="N23" s="104">
        <f t="shared" ca="1" si="11"/>
        <v>0</v>
      </c>
      <c r="O23" s="104">
        <f t="shared" ca="1" si="11"/>
        <v>0</v>
      </c>
      <c r="P23" s="105">
        <f t="shared" ca="1" si="11"/>
        <v>0</v>
      </c>
    </row>
    <row r="24" spans="2:16">
      <c r="B24" s="16" t="s">
        <v>70</v>
      </c>
      <c r="C24" s="17"/>
      <c r="D24" s="49">
        <f ca="1">PMT(D23/12,D22,0,-D21)</f>
        <v>25868.813768521773</v>
      </c>
      <c r="E24" s="73"/>
      <c r="F24" s="73"/>
      <c r="J24" s="103">
        <f t="shared" ref="J24:P24" ca="1" si="12">J12*$I12</f>
        <v>0</v>
      </c>
      <c r="K24" s="104">
        <f t="shared" ca="1" si="12"/>
        <v>0</v>
      </c>
      <c r="L24" s="104">
        <f t="shared" ca="1" si="12"/>
        <v>0</v>
      </c>
      <c r="M24" s="104">
        <f t="shared" ca="1" si="12"/>
        <v>0</v>
      </c>
      <c r="N24" s="104">
        <f t="shared" ca="1" si="12"/>
        <v>0</v>
      </c>
      <c r="O24" s="104">
        <f t="shared" ca="1" si="12"/>
        <v>0</v>
      </c>
      <c r="P24" s="105">
        <f t="shared" ca="1" si="12"/>
        <v>0</v>
      </c>
    </row>
    <row r="25" spans="2:16">
      <c r="J25" s="106">
        <f ca="1">+SUM(J17:J24)</f>
        <v>4550</v>
      </c>
      <c r="K25" s="107">
        <f t="shared" ref="K25:P25" ca="1" si="13">+SUM(K17:K24)</f>
        <v>0</v>
      </c>
      <c r="L25" s="107">
        <f t="shared" ca="1" si="13"/>
        <v>0</v>
      </c>
      <c r="M25" s="107">
        <f t="shared" ca="1" si="13"/>
        <v>0</v>
      </c>
      <c r="N25" s="107">
        <f t="shared" ca="1" si="13"/>
        <v>2730</v>
      </c>
      <c r="O25" s="107">
        <f t="shared" ca="1" si="13"/>
        <v>1820</v>
      </c>
      <c r="P25" s="108">
        <f t="shared" ca="1" si="13"/>
        <v>0</v>
      </c>
    </row>
    <row r="26" spans="2:16">
      <c r="J26" s="101"/>
      <c r="K26" s="101"/>
      <c r="L26" s="101"/>
      <c r="M26" s="101"/>
      <c r="N26" s="101"/>
      <c r="O26" s="101"/>
      <c r="P26" s="101"/>
    </row>
    <row r="27" spans="2:16">
      <c r="J27" s="101"/>
      <c r="K27" s="101"/>
      <c r="L27" s="101"/>
      <c r="M27" s="101"/>
      <c r="N27" s="101"/>
      <c r="O27" s="101"/>
      <c r="P27" s="101"/>
    </row>
    <row r="28" spans="2:16">
      <c r="J28" s="101"/>
      <c r="K28" s="101"/>
      <c r="L28" s="101"/>
      <c r="M28" s="101"/>
      <c r="N28" s="101"/>
      <c r="O28" s="101"/>
      <c r="P28" s="101"/>
    </row>
    <row r="29" spans="2:16">
      <c r="J29" s="101"/>
      <c r="K29" s="101"/>
      <c r="L29" s="101"/>
      <c r="M29" s="101"/>
      <c r="N29" s="101"/>
      <c r="O29" s="101"/>
      <c r="P29" s="101"/>
    </row>
    <row r="30" spans="2:16">
      <c r="J30" s="101"/>
      <c r="K30" s="101"/>
      <c r="L30" s="101"/>
      <c r="M30" s="101"/>
      <c r="N30" s="101"/>
      <c r="O30" s="101"/>
      <c r="P30" s="101"/>
    </row>
  </sheetData>
  <mergeCells count="3">
    <mergeCell ref="B20:D20"/>
    <mergeCell ref="J3:P3"/>
    <mergeCell ref="J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A6" sqref="A6"/>
    </sheetView>
  </sheetViews>
  <sheetFormatPr defaultRowHeight="15"/>
  <cols>
    <col min="1" max="1" width="32.140625" bestFit="1" customWidth="1"/>
    <col min="2" max="2" width="18.85546875" bestFit="1" customWidth="1"/>
    <col min="3" max="3" width="15" bestFit="1" customWidth="1"/>
    <col min="5" max="5" width="31.42578125" bestFit="1" customWidth="1"/>
    <col min="6" max="6" width="18.85546875" bestFit="1" customWidth="1"/>
    <col min="7" max="7" width="15" bestFit="1" customWidth="1"/>
    <col min="9" max="9" width="32.28515625" bestFit="1" customWidth="1"/>
    <col min="10" max="10" width="18.85546875" bestFit="1" customWidth="1"/>
    <col min="11" max="11" width="15" bestFit="1" customWidth="1"/>
    <col min="13" max="13" width="39.42578125" bestFit="1" customWidth="1"/>
  </cols>
  <sheetData>
    <row r="1" spans="1:14">
      <c r="A1" s="196" t="s">
        <v>2</v>
      </c>
      <c r="B1" s="197"/>
      <c r="C1" s="198"/>
      <c r="E1" s="196" t="s">
        <v>3</v>
      </c>
      <c r="F1" s="197"/>
      <c r="G1" s="198"/>
      <c r="I1" s="196" t="s">
        <v>4</v>
      </c>
      <c r="J1" s="197"/>
      <c r="K1" s="198"/>
    </row>
    <row r="2" spans="1:14">
      <c r="A2" s="10"/>
      <c r="B2" s="13" t="s">
        <v>5</v>
      </c>
      <c r="C2" s="14" t="s">
        <v>6</v>
      </c>
      <c r="E2" s="10" t="s">
        <v>20</v>
      </c>
      <c r="F2" s="13" t="s">
        <v>5</v>
      </c>
      <c r="G2" s="14" t="s">
        <v>6</v>
      </c>
      <c r="I2" s="10"/>
      <c r="J2" s="13" t="s">
        <v>5</v>
      </c>
      <c r="K2" s="14" t="s">
        <v>6</v>
      </c>
    </row>
    <row r="3" spans="1:14">
      <c r="A3" s="6" t="s">
        <v>73</v>
      </c>
      <c r="B3" s="7">
        <v>0.125</v>
      </c>
      <c r="C3" s="8">
        <v>0.7</v>
      </c>
      <c r="D3" s="3"/>
      <c r="E3" s="6" t="s">
        <v>74</v>
      </c>
      <c r="F3" s="7">
        <v>0.125</v>
      </c>
      <c r="G3" s="8">
        <v>0.5</v>
      </c>
      <c r="H3" s="3"/>
      <c r="I3" s="6" t="s">
        <v>7</v>
      </c>
      <c r="J3" s="7">
        <v>0.125</v>
      </c>
      <c r="K3" s="8">
        <v>0.2</v>
      </c>
      <c r="L3" s="3"/>
    </row>
    <row r="4" spans="1:14">
      <c r="A4" s="6" t="s">
        <v>8</v>
      </c>
      <c r="B4" s="7">
        <v>7.0000000000000007E-2</v>
      </c>
      <c r="C4" s="8">
        <v>0</v>
      </c>
      <c r="E4" s="6" t="s">
        <v>8</v>
      </c>
      <c r="F4" s="7">
        <v>7.0000000000000007E-2</v>
      </c>
      <c r="G4" s="8">
        <v>0</v>
      </c>
      <c r="I4" s="6" t="s">
        <v>8</v>
      </c>
      <c r="J4" s="7">
        <v>7.0000000000000007E-2</v>
      </c>
      <c r="K4" s="8">
        <v>0</v>
      </c>
    </row>
    <row r="5" spans="1:14">
      <c r="A5" s="6" t="s">
        <v>9</v>
      </c>
      <c r="B5" s="7">
        <v>0.09</v>
      </c>
      <c r="C5" s="8">
        <v>0.1</v>
      </c>
      <c r="E5" s="6" t="s">
        <v>9</v>
      </c>
      <c r="F5" s="7">
        <v>0.09</v>
      </c>
      <c r="G5" s="8">
        <v>0.1</v>
      </c>
      <c r="H5" s="3"/>
      <c r="I5" s="6" t="s">
        <v>9</v>
      </c>
      <c r="J5" s="7">
        <v>0.09</v>
      </c>
      <c r="K5" s="8">
        <v>0.3</v>
      </c>
      <c r="L5" s="3"/>
    </row>
    <row r="6" spans="1:14">
      <c r="A6" s="6" t="s">
        <v>10</v>
      </c>
      <c r="B6" s="7">
        <v>7.7499999999999999E-2</v>
      </c>
      <c r="C6" s="8">
        <v>0</v>
      </c>
      <c r="E6" s="6" t="s">
        <v>10</v>
      </c>
      <c r="F6" s="7">
        <v>7.7499999999999999E-2</v>
      </c>
      <c r="G6" s="8">
        <v>0.1</v>
      </c>
      <c r="H6" s="3"/>
      <c r="I6" s="6" t="s">
        <v>10</v>
      </c>
      <c r="J6" s="7">
        <v>7.7499999999999999E-2</v>
      </c>
      <c r="K6" s="8">
        <v>0.36</v>
      </c>
      <c r="L6" s="3"/>
    </row>
    <row r="7" spans="1:14">
      <c r="A7" s="6" t="s">
        <v>11</v>
      </c>
      <c r="B7" s="7">
        <v>7.2499999999999995E-2</v>
      </c>
      <c r="C7" s="8">
        <v>0</v>
      </c>
      <c r="E7" s="6" t="s">
        <v>11</v>
      </c>
      <c r="F7" s="7">
        <v>7.2499999999999995E-2</v>
      </c>
      <c r="G7" s="8">
        <v>0</v>
      </c>
      <c r="I7" s="6" t="s">
        <v>11</v>
      </c>
      <c r="J7" s="7">
        <v>7.2499999999999995E-2</v>
      </c>
      <c r="K7" s="8">
        <v>0</v>
      </c>
    </row>
    <row r="8" spans="1:14">
      <c r="A8" s="6" t="s">
        <v>12</v>
      </c>
      <c r="B8" s="7">
        <v>8.1000000000000003E-2</v>
      </c>
      <c r="C8" s="8">
        <v>0.1</v>
      </c>
      <c r="D8" s="3"/>
      <c r="E8" s="6" t="s">
        <v>12</v>
      </c>
      <c r="F8" s="7">
        <v>8.1000000000000003E-2</v>
      </c>
      <c r="G8" s="8">
        <v>0.1</v>
      </c>
      <c r="H8" s="3"/>
      <c r="I8" s="6" t="s">
        <v>12</v>
      </c>
      <c r="J8" s="7">
        <v>8.1000000000000003E-2</v>
      </c>
      <c r="K8" s="8">
        <v>0</v>
      </c>
    </row>
    <row r="9" spans="1:14">
      <c r="A9" s="6" t="s">
        <v>13</v>
      </c>
      <c r="B9" s="7">
        <v>9.4700000000000006E-2</v>
      </c>
      <c r="C9" s="8">
        <v>0.05</v>
      </c>
      <c r="D9" s="3"/>
      <c r="E9" s="6" t="s">
        <v>13</v>
      </c>
      <c r="F9" s="7">
        <v>9.4700000000000006E-2</v>
      </c>
      <c r="G9" s="8">
        <v>0.06</v>
      </c>
      <c r="I9" s="6" t="s">
        <v>13</v>
      </c>
      <c r="J9" s="7">
        <v>9.4700000000000006E-2</v>
      </c>
      <c r="K9" s="8">
        <v>0</v>
      </c>
      <c r="M9" s="1"/>
    </row>
    <row r="10" spans="1:14">
      <c r="A10" s="6" t="s">
        <v>14</v>
      </c>
      <c r="B10" s="7">
        <v>0.13109999999999999</v>
      </c>
      <c r="C10" s="8">
        <v>0</v>
      </c>
      <c r="E10" s="6" t="s">
        <v>14</v>
      </c>
      <c r="F10" s="7">
        <v>0.13109999999999999</v>
      </c>
      <c r="G10" s="8">
        <v>0</v>
      </c>
      <c r="I10" s="6" t="s">
        <v>14</v>
      </c>
      <c r="J10" s="7">
        <v>0.13109999999999999</v>
      </c>
      <c r="K10" s="8">
        <v>0</v>
      </c>
    </row>
    <row r="11" spans="1:14">
      <c r="A11" s="6" t="s">
        <v>15</v>
      </c>
      <c r="B11" s="7">
        <v>8.8999999999999996E-2</v>
      </c>
      <c r="C11" s="8">
        <v>0</v>
      </c>
      <c r="E11" s="6" t="s">
        <v>15</v>
      </c>
      <c r="F11" s="7">
        <v>8.8999999999999996E-2</v>
      </c>
      <c r="G11" s="8">
        <v>0</v>
      </c>
      <c r="I11" s="6" t="s">
        <v>15</v>
      </c>
      <c r="J11" s="7">
        <v>8.8999999999999996E-2</v>
      </c>
      <c r="K11" s="8">
        <v>0</v>
      </c>
    </row>
    <row r="12" spans="1:14">
      <c r="A12" s="6" t="s">
        <v>16</v>
      </c>
      <c r="B12" s="7">
        <v>6.5000000000000002E-2</v>
      </c>
      <c r="C12" s="8">
        <v>0</v>
      </c>
      <c r="D12" s="3"/>
      <c r="E12" s="6" t="s">
        <v>16</v>
      </c>
      <c r="F12" s="7">
        <v>6.5000000000000002E-2</v>
      </c>
      <c r="G12" s="8">
        <v>0.1</v>
      </c>
      <c r="H12" s="3"/>
      <c r="I12" s="6" t="s">
        <v>16</v>
      </c>
      <c r="J12" s="7">
        <v>6.5000000000000002E-2</v>
      </c>
      <c r="K12" s="8">
        <v>0.1</v>
      </c>
    </row>
    <row r="13" spans="1:14">
      <c r="A13" s="6" t="s">
        <v>75</v>
      </c>
      <c r="B13" s="7">
        <v>0.04</v>
      </c>
      <c r="C13" s="8">
        <v>0.05</v>
      </c>
      <c r="D13" s="3"/>
      <c r="E13" s="6" t="s">
        <v>75</v>
      </c>
      <c r="F13" s="7">
        <v>0.04</v>
      </c>
      <c r="G13" s="8">
        <v>0.04</v>
      </c>
      <c r="H13" s="3"/>
      <c r="I13" s="6" t="s">
        <v>75</v>
      </c>
      <c r="J13" s="7">
        <v>0.04</v>
      </c>
      <c r="K13" s="8">
        <v>0.04</v>
      </c>
    </row>
    <row r="14" spans="1:14" ht="15.75" thickBot="1">
      <c r="A14" s="6" t="s">
        <v>17</v>
      </c>
      <c r="B14" s="7">
        <v>4.4999999999999998E-2</v>
      </c>
      <c r="C14" s="8">
        <v>0</v>
      </c>
      <c r="E14" s="6" t="s">
        <v>17</v>
      </c>
      <c r="F14" s="7">
        <v>4.4999999999999998E-2</v>
      </c>
      <c r="G14" s="8">
        <v>0</v>
      </c>
      <c r="I14" s="6" t="s">
        <v>17</v>
      </c>
      <c r="J14" s="7">
        <v>4.4999999999999998E-2</v>
      </c>
      <c r="K14" s="8">
        <v>0</v>
      </c>
    </row>
    <row r="15" spans="1:14" ht="15.75" thickBot="1">
      <c r="A15" s="10" t="s">
        <v>18</v>
      </c>
      <c r="B15" s="11">
        <f>SUMPRODUCT(B3:B14,C3:C14)</f>
        <v>0.11133499999999999</v>
      </c>
      <c r="C15" s="12"/>
      <c r="E15" s="10" t="s">
        <v>18</v>
      </c>
      <c r="F15" s="11">
        <f>SUMPRODUCT(F3:F14,G3:G14)</f>
        <v>0.101132</v>
      </c>
      <c r="G15" s="12"/>
      <c r="I15" s="10" t="s">
        <v>18</v>
      </c>
      <c r="J15" s="11">
        <f>SUMPRODUCT(J3:J14,K3:K14)</f>
        <v>8.8000000000000009E-2</v>
      </c>
      <c r="K15" s="12"/>
      <c r="M15" s="4" t="s">
        <v>19</v>
      </c>
      <c r="N15" s="5">
        <f>(B15+F15+J15)/3</f>
        <v>0.10015566666666666</v>
      </c>
    </row>
    <row r="19" spans="5:5">
      <c r="E19" s="7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3"/>
  <sheetViews>
    <sheetView topLeftCell="A14" workbookViewId="0">
      <selection activeCell="C27" sqref="C27"/>
    </sheetView>
  </sheetViews>
  <sheetFormatPr defaultRowHeight="15"/>
  <cols>
    <col min="1" max="1" width="43.7109375" bestFit="1" customWidth="1"/>
    <col min="2" max="2" width="10" bestFit="1" customWidth="1"/>
    <col min="3" max="3" width="12.85546875" bestFit="1" customWidth="1"/>
    <col min="4" max="7" width="12.5703125" bestFit="1" customWidth="1"/>
    <col min="8" max="8" width="12" bestFit="1" customWidth="1"/>
    <col min="13" max="13" width="41.5703125" bestFit="1" customWidth="1"/>
    <col min="14" max="14" width="12.5703125" bestFit="1" customWidth="1"/>
  </cols>
  <sheetData>
    <row r="1" spans="1:14">
      <c r="A1" s="152" t="str">
        <f>'[1]Long term projections'!A20</f>
        <v>Years</v>
      </c>
      <c r="B1" s="152" t="s">
        <v>113</v>
      </c>
      <c r="C1" s="152" t="s">
        <v>114</v>
      </c>
      <c r="D1" s="152" t="s">
        <v>115</v>
      </c>
      <c r="E1" s="152" t="s">
        <v>116</v>
      </c>
      <c r="F1" s="152" t="s">
        <v>117</v>
      </c>
      <c r="G1" s="152" t="s">
        <v>118</v>
      </c>
      <c r="H1" s="109"/>
      <c r="M1" t="s">
        <v>107</v>
      </c>
      <c r="N1" s="133">
        <v>0.2</v>
      </c>
    </row>
    <row r="2" spans="1:14">
      <c r="C2" s="42"/>
      <c r="D2" s="42"/>
      <c r="E2" s="42"/>
      <c r="F2" s="42"/>
      <c r="G2" s="42"/>
      <c r="H2" s="41"/>
      <c r="M2" t="s">
        <v>108</v>
      </c>
      <c r="N2" s="134">
        <v>10</v>
      </c>
    </row>
    <row r="3" spans="1:14">
      <c r="A3" s="2" t="str">
        <f>'[1]Long term projections'!A22</f>
        <v>Projections</v>
      </c>
      <c r="B3" s="2"/>
      <c r="C3" s="42"/>
      <c r="D3" s="42"/>
      <c r="E3" s="42"/>
      <c r="F3" s="42"/>
      <c r="G3" s="42"/>
      <c r="H3" s="41"/>
      <c r="M3" t="s">
        <v>109</v>
      </c>
      <c r="N3" s="133">
        <v>6.7500000000000004E-2</v>
      </c>
    </row>
    <row r="4" spans="1:14">
      <c r="A4" t="str">
        <f>'[1]Long term projections'!A23</f>
        <v>Real estate</v>
      </c>
      <c r="B4" s="42">
        <f>'Asset and income check up'!C8</f>
        <v>3000000</v>
      </c>
      <c r="C4" s="42">
        <f>B4*(1+'Optimal asset allocation'!J4)</f>
        <v>3210000</v>
      </c>
      <c r="D4" s="42">
        <f>+(C4+'Asset and income check up'!F$8)*(1+'Optimal asset allocation'!$B$4)</f>
        <v>3434700</v>
      </c>
      <c r="E4" s="42">
        <f>+(D4+'Asset and income check up'!G$8)*(1+'Optimal asset allocation'!$B$4)</f>
        <v>3675129</v>
      </c>
      <c r="F4" s="42">
        <f>+(E4+'Asset and income check up'!H$8)*(1+'Optimal asset allocation'!$B$4)</f>
        <v>3932388.0300000003</v>
      </c>
      <c r="G4" s="42">
        <f>+(F4+'Asset and income check up'!I$8)*(1+'Optimal asset allocation'!$B$4)</f>
        <v>4207655.1921000006</v>
      </c>
      <c r="H4" s="41"/>
      <c r="M4" t="s">
        <v>110</v>
      </c>
      <c r="N4" s="135">
        <v>0.06</v>
      </c>
    </row>
    <row r="5" spans="1:14">
      <c r="A5" t="str">
        <f>'[1]Long term projections'!A24</f>
        <v>Public provident fund (PPF)</v>
      </c>
      <c r="B5" s="42">
        <f>'Asset and income check up'!C12</f>
        <v>267000</v>
      </c>
      <c r="C5" s="42">
        <f>B5*(1+'Optimal asset allocation'!J8)</f>
        <v>288627</v>
      </c>
      <c r="D5" s="42">
        <f ca="1">+(C5+'Asset and income check up'!F$12)*(1+'Optimal asset allocation'!$B$8)</f>
        <v>347419.34700000001</v>
      </c>
      <c r="E5" s="42">
        <f ca="1">+(D5+'Asset and income check up'!G$12)*(1+'Optimal asset allocation'!$B$8)</f>
        <v>413364.289407</v>
      </c>
      <c r="F5" s="42">
        <f ca="1">+(E5+'Asset and income check up'!H$12)*(1+'Optimal asset allocation'!$B$8)</f>
        <v>487202.54048171698</v>
      </c>
      <c r="G5" s="42">
        <f ca="1">+(F5+'Asset and income check up'!I$12)*(1+'Optimal asset allocation'!$B$8)</f>
        <v>569745.70258869673</v>
      </c>
      <c r="H5" s="41"/>
      <c r="M5" s="178" t="s">
        <v>125</v>
      </c>
      <c r="N5" s="177">
        <v>6.7500000000000004E-2</v>
      </c>
    </row>
    <row r="6" spans="1:14">
      <c r="A6" t="str">
        <f>'[1]Long term projections'!A25</f>
        <v>Debt/Hybrid funds</v>
      </c>
      <c r="B6" s="42">
        <f>'Asset and income check up'!C9</f>
        <v>0</v>
      </c>
      <c r="C6" s="42">
        <f>B6*(1+N9)</f>
        <v>0</v>
      </c>
      <c r="D6" s="42">
        <f ca="1">+(C6+'Asset and income check up'!F$9)*(1+$N$9)</f>
        <v>0</v>
      </c>
      <c r="E6" s="42">
        <f ca="1">+(D6+'Asset and income check up'!G$9)*(1+$N$9)</f>
        <v>0</v>
      </c>
      <c r="F6" s="42">
        <f ca="1">+(E6+'Asset and income check up'!H$9)*(1+$N$9)</f>
        <v>0</v>
      </c>
      <c r="G6" s="42">
        <f ca="1">+(F6+'Asset and income check up'!I$9)*(1+$N$9)</f>
        <v>0</v>
      </c>
      <c r="H6" s="41"/>
      <c r="M6" t="s">
        <v>111</v>
      </c>
      <c r="N6" s="135">
        <v>7.0000000000000007E-2</v>
      </c>
    </row>
    <row r="7" spans="1:14">
      <c r="A7" t="str">
        <f>'[1]Long term projections'!A26</f>
        <v>Equity funds</v>
      </c>
      <c r="B7" s="42">
        <f>'Asset and income check up'!C7</f>
        <v>0</v>
      </c>
      <c r="C7" s="42">
        <f>B7*(1+N8)</f>
        <v>0</v>
      </c>
      <c r="D7" s="42">
        <f ca="1">+(C7+'Asset and income check up'!F$7)*(1+$N$8)</f>
        <v>65520</v>
      </c>
      <c r="E7" s="42">
        <f ca="1">+(D7+'Asset and income check up'!G$7)*(1+$N$8)</f>
        <v>148566.6</v>
      </c>
      <c r="F7" s="42">
        <f ca="1">+(E7+'Asset and income check up'!H$7)*(1+$N$8)</f>
        <v>252943.64549999998</v>
      </c>
      <c r="G7" s="42">
        <f ca="1">+(F7+'Asset and income check up'!I$7)*(1+$N$8)</f>
        <v>383235.90157124988</v>
      </c>
      <c r="H7" s="41"/>
    </row>
    <row r="8" spans="1:14">
      <c r="A8" t="str">
        <f>'[1]Long term projections'!A27</f>
        <v xml:space="preserve">Other Savings(LIC) </v>
      </c>
      <c r="B8" s="42">
        <f>'Asset and income check up'!C18</f>
        <v>500000</v>
      </c>
      <c r="C8" s="42">
        <f>B8*(1+'Optimal asset allocation'!F14)</f>
        <v>522499.99999999994</v>
      </c>
      <c r="D8" s="42">
        <f>+(C8+'Asset and income check up'!F$18)*(1+'Optimal asset allocation'!$B$14)</f>
        <v>546012.49999999988</v>
      </c>
      <c r="E8" s="42">
        <f>+(D8+'Asset and income check up'!G$18)*(1+'Optimal asset allocation'!$B$14)</f>
        <v>570583.06249999988</v>
      </c>
      <c r="F8" s="42">
        <f>+(E8+'Asset and income check up'!H$18)*(1+'Optimal asset allocation'!$B$14)</f>
        <v>596259.30031249986</v>
      </c>
      <c r="G8" s="42">
        <f>+(F8+'Asset and income check up'!I$18)*(1+'Optimal asset allocation'!$B$14)</f>
        <v>623090.96882656228</v>
      </c>
      <c r="H8" s="41"/>
      <c r="M8" t="s">
        <v>129</v>
      </c>
      <c r="N8" s="3">
        <v>0.2</v>
      </c>
    </row>
    <row r="9" spans="1:14">
      <c r="A9" t="str">
        <f>'[1]Long term projections'!A28</f>
        <v>Emergency cash</v>
      </c>
      <c r="B9" s="42">
        <f>'Asset and income check up'!C17</f>
        <v>20000</v>
      </c>
      <c r="C9" s="42">
        <f>B9*(1+6.5%)</f>
        <v>21300</v>
      </c>
      <c r="D9" s="42">
        <f ca="1">+(C9+'Asset and income check up'!F$17)*(1+6.5%)</f>
        <v>22684.5</v>
      </c>
      <c r="E9" s="42">
        <f ca="1">+(D9+'Asset and income check up'!G$17)*(1+6.5%)</f>
        <v>24158.9925</v>
      </c>
      <c r="F9" s="42">
        <f ca="1">+(E9+'Asset and income check up'!H$17)*(1+6.5%)</f>
        <v>25729.327012499998</v>
      </c>
      <c r="G9" s="42">
        <f ca="1">+(F9+'Asset and income check up'!I$17)*(1+6.5%)</f>
        <v>27401.733268312495</v>
      </c>
      <c r="H9" s="41"/>
      <c r="M9" t="s">
        <v>130</v>
      </c>
      <c r="N9" s="3">
        <v>0.125</v>
      </c>
    </row>
    <row r="10" spans="1:14">
      <c r="A10" t="s">
        <v>15</v>
      </c>
      <c r="B10" s="42">
        <f>'Asset and income check up'!C15</f>
        <v>0</v>
      </c>
      <c r="C10" s="42">
        <f>B10*(1+'Optimal asset allocation'!F11)</f>
        <v>0</v>
      </c>
      <c r="D10" s="42">
        <f>(C10+'Asset and income check up'!F15)*(1+'Optimal asset allocation'!$F$11)</f>
        <v>0</v>
      </c>
      <c r="E10" s="42">
        <f>(D10+'Asset and income check up'!G15)*(1+'Optimal asset allocation'!$F$11)</f>
        <v>0</v>
      </c>
      <c r="F10" s="42">
        <f>(E10+'Asset and income check up'!H15)*(1+'Optimal asset allocation'!$F$11)</f>
        <v>0</v>
      </c>
      <c r="G10" s="42">
        <f>(F10+'Asset and income check up'!I15)*(1+'Optimal asset allocation'!$F$11)</f>
        <v>0</v>
      </c>
      <c r="H10" s="41"/>
      <c r="M10" t="s">
        <v>131</v>
      </c>
      <c r="N10" s="211">
        <v>6.7500000000000004E-2</v>
      </c>
    </row>
    <row r="11" spans="1:14">
      <c r="A11" t="s">
        <v>46</v>
      </c>
      <c r="B11" s="42">
        <f>'Asset and income check up'!C10</f>
        <v>0</v>
      </c>
      <c r="C11" s="42">
        <f>B11*(1+'Optimal asset allocation'!B6)</f>
        <v>0</v>
      </c>
      <c r="D11" s="42">
        <f ca="1">(C11+'Asset and income check up'!F10)*(1+'Optimal asset allocation'!$B$6)</f>
        <v>0</v>
      </c>
      <c r="E11" s="42">
        <f ca="1">(D11+'Asset and income check up'!G10)*(1+'Optimal asset allocation'!$B$6)</f>
        <v>0</v>
      </c>
      <c r="F11" s="42">
        <f ca="1">(E11+'Asset and income check up'!H10)*(1+'Optimal asset allocation'!$B$6)</f>
        <v>0</v>
      </c>
      <c r="G11" s="42">
        <f ca="1">(F11+'Asset and income check up'!I10)*(1+'Optimal asset allocation'!$B$6)</f>
        <v>0</v>
      </c>
      <c r="H11" s="41"/>
    </row>
    <row r="12" spans="1:14">
      <c r="A12" t="s">
        <v>14</v>
      </c>
      <c r="B12" s="42">
        <f>'Asset and income check up'!C14</f>
        <v>0</v>
      </c>
      <c r="C12" s="42">
        <f>B12*(1+'Optimal asset allocation'!F10)</f>
        <v>0</v>
      </c>
      <c r="D12" s="42">
        <f>(C12+'Asset and income check up'!F14)*(1+'Optimal asset allocation'!$F$10)</f>
        <v>0</v>
      </c>
      <c r="E12" s="42">
        <f>(D12+'Asset and income check up'!G14)*(1+'Optimal asset allocation'!$F$10)</f>
        <v>0</v>
      </c>
      <c r="F12" s="42">
        <f>(E12+'Asset and income check up'!H14)*(1+'Optimal asset allocation'!$F$10)</f>
        <v>0</v>
      </c>
      <c r="G12" s="42">
        <f>(F12+'Asset and income check up'!I14)*(1+'Optimal asset allocation'!$F$10)</f>
        <v>0</v>
      </c>
      <c r="H12" s="41"/>
    </row>
    <row r="13" spans="1:14">
      <c r="A13" t="s">
        <v>16</v>
      </c>
      <c r="B13" s="42">
        <f>'Asset and income check up'!C16</f>
        <v>0</v>
      </c>
      <c r="C13" s="42">
        <f>B13*(1+N10)</f>
        <v>0</v>
      </c>
      <c r="D13" s="42">
        <f ca="1">(C13+'Asset and income check up'!F16)*(1+$N$10)</f>
        <v>0</v>
      </c>
      <c r="E13" s="42">
        <f ca="1">(D13+'Asset and income check up'!G16)*(1+$N$10)</f>
        <v>0</v>
      </c>
      <c r="F13" s="42">
        <f ca="1">(E13+'Asset and income check up'!H16)*(1+$N$10)</f>
        <v>0</v>
      </c>
      <c r="G13" s="42">
        <f ca="1">(F13+'Asset and income check up'!I16)*(1+$N$10)</f>
        <v>0</v>
      </c>
      <c r="H13" s="41"/>
    </row>
    <row r="14" spans="1:14">
      <c r="A14" t="s">
        <v>126</v>
      </c>
      <c r="B14" s="42">
        <f>'Asset and income check up'!C13</f>
        <v>0</v>
      </c>
      <c r="C14" s="42">
        <f>B14*(1+'Optimal asset allocation'!F9)</f>
        <v>0</v>
      </c>
      <c r="D14" s="42">
        <f ca="1">(C14+'Asset and income check up'!F13)*(1+'Optimal asset allocation'!$F$9)</f>
        <v>23908.248</v>
      </c>
      <c r="E14" s="42">
        <f ca="1">(D14+'Asset and income check up'!G13)*(1+'Optimal asset allocation'!$F$9)</f>
        <v>51694.413825599993</v>
      </c>
      <c r="F14" s="42">
        <f ca="1">(E14+'Asset and income check up'!H13)*(1+'Optimal asset allocation'!$F$9)</f>
        <v>83834.668249834314</v>
      </c>
      <c r="G14" s="42">
        <f ca="1">(F14+'Asset and income check up'!I13)*(1+'Optimal asset allocation'!$F$9)</f>
        <v>120857.62832490275</v>
      </c>
      <c r="H14" s="41"/>
    </row>
    <row r="15" spans="1:14">
      <c r="A15" t="s">
        <v>112</v>
      </c>
      <c r="B15" s="42">
        <f>'Asset and income check up'!C11</f>
        <v>0</v>
      </c>
      <c r="C15" s="136">
        <f>B15*(1+'Optimal asset allocation'!J7)</f>
        <v>0</v>
      </c>
      <c r="D15">
        <f>(C15+'Asset and income check up'!F$11)*(1+'Optimal asset allocation'!$B$7)</f>
        <v>0</v>
      </c>
      <c r="E15">
        <f>(D15+'Asset and income check up'!G$11)*(1+'Optimal asset allocation'!$B$7)</f>
        <v>0</v>
      </c>
      <c r="F15">
        <f>(E15+'Asset and income check up'!H$11)*(1+'Optimal asset allocation'!$B$7)</f>
        <v>0</v>
      </c>
      <c r="G15">
        <f>(F15+'Asset and income check up'!I$11)*(1+'Optimal asset allocation'!$B$7)</f>
        <v>0</v>
      </c>
      <c r="H15" s="41"/>
    </row>
    <row r="16" spans="1:14">
      <c r="A16" s="2" t="str">
        <f>'[1]Long term projections'!A29</f>
        <v>Total</v>
      </c>
      <c r="B16" s="44">
        <f>SUM(B4:B15)</f>
        <v>3787000</v>
      </c>
      <c r="C16" s="44">
        <f t="shared" ref="C16:G16" si="0">SUM(C4:C15)</f>
        <v>4042427</v>
      </c>
      <c r="D16" s="44">
        <f t="shared" ca="1" si="0"/>
        <v>4440244.5949999997</v>
      </c>
      <c r="E16" s="44">
        <f t="shared" ca="1" si="0"/>
        <v>4883496.3582325997</v>
      </c>
      <c r="F16" s="44">
        <f t="shared" ca="1" si="0"/>
        <v>5378357.5115565509</v>
      </c>
      <c r="G16" s="44">
        <f t="shared" ca="1" si="0"/>
        <v>5931987.1266797241</v>
      </c>
      <c r="H16" s="41"/>
    </row>
    <row r="17" spans="1:8">
      <c r="C17" s="42"/>
      <c r="D17" s="42"/>
      <c r="E17" s="42"/>
      <c r="F17" s="42"/>
      <c r="G17" s="42"/>
      <c r="H17" s="41"/>
    </row>
    <row r="18" spans="1:8">
      <c r="A18" t="str">
        <f>'[1]Long term projections'!A31</f>
        <v>Savings from employment</v>
      </c>
      <c r="C18" s="42"/>
      <c r="D18" s="42"/>
      <c r="E18" s="42"/>
      <c r="F18" s="42"/>
      <c r="G18" s="42"/>
      <c r="H18" s="41"/>
    </row>
    <row r="19" spans="1:8">
      <c r="A19" t="str">
        <f>'[1]Long term projections'!A32</f>
        <v>Income (Employment)</v>
      </c>
      <c r="C19" s="42">
        <f>C20*12</f>
        <v>546000</v>
      </c>
      <c r="D19" s="42">
        <f t="shared" ref="D19:G19" si="1">D20*12</f>
        <v>582854.99999999988</v>
      </c>
      <c r="E19" s="42">
        <f t="shared" si="1"/>
        <v>622197.71249999991</v>
      </c>
      <c r="F19" s="42">
        <f t="shared" si="1"/>
        <v>664196.0580937498</v>
      </c>
      <c r="G19" s="42">
        <f t="shared" si="1"/>
        <v>709029.29201507778</v>
      </c>
      <c r="H19" s="41"/>
    </row>
    <row r="20" spans="1:8">
      <c r="A20" t="str">
        <f>'[1]Long term projections'!A33</f>
        <v>Income , monthly</v>
      </c>
      <c r="C20" s="42">
        <f>'Asset and income check up'!C29</f>
        <v>45500</v>
      </c>
      <c r="D20" s="42">
        <f>C20*(1+$N$3)</f>
        <v>48571.249999999993</v>
      </c>
      <c r="E20" s="42">
        <f t="shared" ref="E20:G20" si="2">D20*(1+$N$3)</f>
        <v>51849.80937499999</v>
      </c>
      <c r="F20" s="42">
        <f t="shared" si="2"/>
        <v>55349.671507812483</v>
      </c>
      <c r="G20" s="42">
        <f t="shared" si="2"/>
        <v>59085.77433458982</v>
      </c>
      <c r="H20" s="41"/>
    </row>
    <row r="21" spans="1:8">
      <c r="A21" t="str">
        <f>'[1]Long term projections'!A34</f>
        <v>Expenses, monthly</v>
      </c>
      <c r="C21" s="42">
        <f>'Asset and income check up'!C37</f>
        <v>45625</v>
      </c>
      <c r="D21" s="42">
        <f>C21*(1+$N$4)</f>
        <v>48362.5</v>
      </c>
      <c r="E21" s="42">
        <f t="shared" ref="E21:G21" si="3">D21*(1+$N$4)</f>
        <v>51264.25</v>
      </c>
      <c r="F21" s="42">
        <f t="shared" si="3"/>
        <v>54340.105000000003</v>
      </c>
      <c r="G21" s="42">
        <f t="shared" si="3"/>
        <v>57600.511300000006</v>
      </c>
      <c r="H21" s="41"/>
    </row>
    <row r="22" spans="1:8">
      <c r="A22" t="str">
        <f>'[1]Long term projections'!A35</f>
        <v>Savings, monthly</v>
      </c>
      <c r="C22" s="42">
        <f>C20-C21</f>
        <v>-125</v>
      </c>
      <c r="D22" s="42">
        <f t="shared" ref="D22:G22" si="4">D20-D21</f>
        <v>208.74999999999272</v>
      </c>
      <c r="E22" s="42">
        <f t="shared" si="4"/>
        <v>585.55937499998981</v>
      </c>
      <c r="F22" s="42">
        <f t="shared" si="4"/>
        <v>1009.5665078124803</v>
      </c>
      <c r="G22" s="42">
        <f t="shared" si="4"/>
        <v>1485.2630345898142</v>
      </c>
      <c r="H22" s="41"/>
    </row>
    <row r="23" spans="1:8">
      <c r="A23" t="s">
        <v>123</v>
      </c>
      <c r="C23" s="42">
        <f>Goals!C16</f>
        <v>9100</v>
      </c>
      <c r="D23" s="42">
        <f>C23*(1+$N$5)</f>
        <v>9714.2499999999982</v>
      </c>
      <c r="E23" s="42">
        <f t="shared" ref="E23:G23" si="5">D23*(1+$N$5)</f>
        <v>10369.961874999997</v>
      </c>
      <c r="F23" s="42">
        <f t="shared" si="5"/>
        <v>11069.934301562496</v>
      </c>
      <c r="G23" s="42">
        <f t="shared" si="5"/>
        <v>11817.154866917963</v>
      </c>
      <c r="H23" s="41"/>
    </row>
    <row r="24" spans="1:8">
      <c r="A24" t="s">
        <v>124</v>
      </c>
      <c r="C24" s="42">
        <f>C23*12</f>
        <v>109200</v>
      </c>
      <c r="D24" s="42">
        <f t="shared" ref="D24:G24" si="6">D23*12</f>
        <v>116570.99999999997</v>
      </c>
      <c r="E24" s="42">
        <f t="shared" si="6"/>
        <v>124439.54249999997</v>
      </c>
      <c r="F24" s="42">
        <f t="shared" si="6"/>
        <v>132839.21161874995</v>
      </c>
      <c r="G24" s="42">
        <f t="shared" si="6"/>
        <v>141805.85840301556</v>
      </c>
      <c r="H24" s="41"/>
    </row>
    <row r="25" spans="1:8">
      <c r="A25" t="str">
        <f>'[1]Long term projections'!A37</f>
        <v>Savings rate (%)</v>
      </c>
      <c r="C25" s="43">
        <f>C24/C19</f>
        <v>0.2</v>
      </c>
      <c r="D25" s="43">
        <f t="shared" ref="D25:G25" si="7">D24/D19</f>
        <v>0.19999999999999998</v>
      </c>
      <c r="E25" s="43">
        <f t="shared" si="7"/>
        <v>0.19999999999999998</v>
      </c>
      <c r="F25" s="43">
        <f t="shared" si="7"/>
        <v>0.19999999999999998</v>
      </c>
      <c r="G25" s="43">
        <f t="shared" si="7"/>
        <v>0.2</v>
      </c>
      <c r="H25" s="41"/>
    </row>
    <row r="26" spans="1:8">
      <c r="C26" s="42"/>
      <c r="D26" s="42"/>
      <c r="E26" s="42"/>
      <c r="F26" s="42"/>
      <c r="G26" s="42"/>
      <c r="H26" s="41"/>
    </row>
    <row r="27" spans="1:8">
      <c r="A27" t="str">
        <f>'[1]Long term projections'!A39</f>
        <v>Gross Savings (NPV), savings from employment</v>
      </c>
      <c r="C27" s="42">
        <f>NPV($N$6,C24:G24)</f>
        <v>507901.45083119097</v>
      </c>
      <c r="D27" s="42">
        <f>C27*(1+'Optimal asset allocation'!$N$15)</f>
        <v>558770.65924015618</v>
      </c>
      <c r="E27" s="42">
        <f>D27*(1+'Optimal asset allocation'!$N$15)</f>
        <v>614734.70713012689</v>
      </c>
      <c r="F27" s="42">
        <f>E27*(1+'Optimal asset allocation'!$N$15)</f>
        <v>676303.8715458829</v>
      </c>
      <c r="G27" s="42">
        <f>F27*(1+'Optimal asset allocation'!$N$15)</f>
        <v>744039.53666980856</v>
      </c>
      <c r="H27" s="41"/>
    </row>
    <row r="28" spans="1:8">
      <c r="A28" s="2" t="str">
        <f>'[1]Long term projections'!A40</f>
        <v>NPV total savings</v>
      </c>
      <c r="B28" s="2"/>
      <c r="C28" s="44">
        <f>C27+C16</f>
        <v>4550328.4508311907</v>
      </c>
      <c r="D28" s="44">
        <f t="shared" ref="D28:G28" ca="1" si="8">D27+D16</f>
        <v>4999015.2542401562</v>
      </c>
      <c r="E28" s="44">
        <f t="shared" ca="1" si="8"/>
        <v>5498231.0653627263</v>
      </c>
      <c r="F28" s="44">
        <f t="shared" ca="1" si="8"/>
        <v>6054661.3831024338</v>
      </c>
      <c r="G28" s="44">
        <f t="shared" ca="1" si="8"/>
        <v>6676026.6633495325</v>
      </c>
      <c r="H28" s="41"/>
    </row>
    <row r="29" spans="1:8">
      <c r="C29" s="42"/>
      <c r="D29" s="42"/>
      <c r="E29" s="42"/>
      <c r="F29" s="42"/>
      <c r="G29" s="42"/>
      <c r="H29" s="41"/>
    </row>
    <row r="30" spans="1:8">
      <c r="A30" t="str">
        <f>'[1]Long term projections'!A42</f>
        <v>Cost of car</v>
      </c>
      <c r="C30" s="42"/>
      <c r="D30" s="42"/>
      <c r="E30" s="42"/>
      <c r="F30" s="42"/>
      <c r="G30" s="42"/>
      <c r="H30" s="41"/>
    </row>
    <row r="31" spans="1:8">
      <c r="A31" t="str">
        <f>'[1]Long term projections'!A43</f>
        <v>Son's education</v>
      </c>
      <c r="C31" s="42"/>
      <c r="D31" s="42"/>
      <c r="E31" s="42"/>
      <c r="F31" s="42"/>
      <c r="G31" s="42"/>
      <c r="H31" s="41"/>
    </row>
    <row r="32" spans="1:8">
      <c r="A32" t="str">
        <f>'[1]Long term projections'!A44</f>
        <v>Son's wedding</v>
      </c>
      <c r="C32" s="42"/>
      <c r="D32" s="42"/>
      <c r="E32" s="42"/>
      <c r="F32" s="42"/>
      <c r="G32" s="42"/>
      <c r="H32" s="41"/>
    </row>
    <row r="33" spans="1:8">
      <c r="A33" t="str">
        <f>'[1]Long term projections'!A45</f>
        <v>Total</v>
      </c>
      <c r="C33" s="42"/>
      <c r="D33" s="42"/>
      <c r="E33" s="42"/>
      <c r="F33" s="42"/>
      <c r="G33" s="42"/>
      <c r="H33" s="41"/>
    </row>
    <row r="34" spans="1:8">
      <c r="A34" t="str">
        <f>'[1]Long term projections'!A46</f>
        <v>Major costs excl Pensions (NPV)</v>
      </c>
      <c r="C34" s="42">
        <f>NPV($N$6,C33:G33)</f>
        <v>0</v>
      </c>
      <c r="D34" s="42">
        <f>C34*(1+'Optimal asset allocation'!$N$15)</f>
        <v>0</v>
      </c>
      <c r="E34" s="42">
        <f>D34*(1+'Optimal asset allocation'!$N$15)</f>
        <v>0</v>
      </c>
      <c r="F34" s="42">
        <f>E34*(1+'Optimal asset allocation'!$N$15)</f>
        <v>0</v>
      </c>
      <c r="G34" s="42">
        <f>F34*(1+'Optimal asset allocation'!$N$15)</f>
        <v>0</v>
      </c>
      <c r="H34" s="41"/>
    </row>
    <row r="35" spans="1:8">
      <c r="C35" s="42"/>
      <c r="D35" s="42"/>
      <c r="E35" s="42"/>
      <c r="F35" s="42"/>
      <c r="G35" s="42"/>
      <c r="H35" s="41"/>
    </row>
    <row r="36" spans="1:8">
      <c r="A36" t="str">
        <f>'[1]Long term projections'!A48</f>
        <v>Net Pension savings (NPV)</v>
      </c>
      <c r="C36" s="42">
        <f>C28-C34</f>
        <v>4550328.4508311907</v>
      </c>
      <c r="D36" s="42">
        <f t="shared" ref="D36:G36" ca="1" si="9">D28-D34</f>
        <v>4999015.2542401562</v>
      </c>
      <c r="E36" s="42">
        <f t="shared" ca="1" si="9"/>
        <v>5498231.0653627263</v>
      </c>
      <c r="F36" s="42">
        <f t="shared" ca="1" si="9"/>
        <v>6054661.3831024338</v>
      </c>
      <c r="G36" s="42">
        <f t="shared" ca="1" si="9"/>
        <v>6676026.6633495325</v>
      </c>
      <c r="H36" s="41"/>
    </row>
    <row r="39" spans="1:8">
      <c r="A39" s="44" t="s">
        <v>119</v>
      </c>
      <c r="C39" s="164">
        <f>B16/100000</f>
        <v>37.869999999999997</v>
      </c>
      <c r="D39" s="164">
        <f>C39+C40+C41</f>
        <v>40.42427</v>
      </c>
      <c r="E39" s="164">
        <f t="shared" ref="E39:G39" ca="1" si="10">D39+D40+D41</f>
        <v>44.402445950000001</v>
      </c>
      <c r="F39" s="164">
        <f t="shared" ca="1" si="10"/>
        <v>48.834963582325997</v>
      </c>
      <c r="G39" s="164">
        <f t="shared" ca="1" si="10"/>
        <v>53.783575115565512</v>
      </c>
    </row>
    <row r="40" spans="1:8">
      <c r="A40" t="s">
        <v>120</v>
      </c>
      <c r="C40" s="164"/>
      <c r="D40" s="164">
        <f>C24/100000</f>
        <v>1.0920000000000001</v>
      </c>
      <c r="E40" s="164">
        <f t="shared" ref="E40:G40" si="11">D24/100000</f>
        <v>1.1657099999999998</v>
      </c>
      <c r="F40" s="164">
        <f t="shared" si="11"/>
        <v>1.2443954249999998</v>
      </c>
      <c r="G40" s="164">
        <f t="shared" si="11"/>
        <v>1.3283921161874994</v>
      </c>
    </row>
    <row r="41" spans="1:8">
      <c r="A41" s="44" t="s">
        <v>121</v>
      </c>
      <c r="C41" s="164">
        <f>(C16-B16)/100000</f>
        <v>2.5542699999999998</v>
      </c>
      <c r="D41" s="164">
        <f ca="1">(D16/100000)-D39-D40</f>
        <v>2.8861759500000006</v>
      </c>
      <c r="E41" s="164">
        <f t="shared" ref="E41:G41" ca="1" si="12">(E16/100000)-E39-E40</f>
        <v>3.2668076323259969</v>
      </c>
      <c r="F41" s="164">
        <f t="shared" ca="1" si="12"/>
        <v>3.7042161082395149</v>
      </c>
      <c r="G41" s="164">
        <f t="shared" ca="1" si="12"/>
        <v>4.2079040350442316</v>
      </c>
    </row>
    <row r="42" spans="1:8">
      <c r="C42" s="164">
        <f>+SUM(C39:C41)</f>
        <v>40.42427</v>
      </c>
      <c r="D42" s="164">
        <f t="shared" ref="D42:G42" ca="1" si="13">+SUM(D39:D41)</f>
        <v>44.402445950000001</v>
      </c>
      <c r="E42" s="164">
        <f t="shared" ca="1" si="13"/>
        <v>48.834963582325997</v>
      </c>
      <c r="F42" s="164">
        <f t="shared" ca="1" si="13"/>
        <v>53.783575115565512</v>
      </c>
      <c r="G42" s="164">
        <f t="shared" ca="1" si="13"/>
        <v>59.319871266797243</v>
      </c>
    </row>
    <row r="43" spans="1:8">
      <c r="C43" s="41"/>
      <c r="D43" s="41"/>
      <c r="E43" s="41"/>
      <c r="F43" s="41"/>
      <c r="G43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3" sqref="E13"/>
    </sheetView>
  </sheetViews>
  <sheetFormatPr defaultRowHeight="15"/>
  <cols>
    <col min="1" max="1" width="5.28515625" bestFit="1" customWidth="1"/>
    <col min="2" max="2" width="40.42578125" customWidth="1"/>
    <col min="3" max="3" width="18" customWidth="1"/>
    <col min="4" max="4" width="19.7109375" customWidth="1"/>
    <col min="5" max="5" width="16.42578125" customWidth="1"/>
  </cols>
  <sheetData>
    <row r="1" spans="1:5" ht="18.75">
      <c r="A1" s="205" t="s">
        <v>24</v>
      </c>
      <c r="B1" s="206"/>
      <c r="C1" s="206"/>
      <c r="D1" s="206"/>
      <c r="E1" s="207"/>
    </row>
    <row r="2" spans="1:5">
      <c r="A2" s="18" t="s">
        <v>25</v>
      </c>
      <c r="B2" s="18" t="s">
        <v>26</v>
      </c>
      <c r="C2" s="30" t="s">
        <v>27</v>
      </c>
      <c r="D2" s="19" t="s">
        <v>22</v>
      </c>
      <c r="E2" s="19" t="s">
        <v>28</v>
      </c>
    </row>
    <row r="3" spans="1:5" ht="45">
      <c r="A3" s="20">
        <v>1</v>
      </c>
      <c r="B3" s="21" t="s">
        <v>29</v>
      </c>
      <c r="C3" s="22" t="s">
        <v>30</v>
      </c>
      <c r="D3" s="23" t="s">
        <v>31</v>
      </c>
      <c r="E3" s="23" t="s">
        <v>32</v>
      </c>
    </row>
    <row r="4" spans="1:5" ht="45">
      <c r="A4" s="24">
        <v>2</v>
      </c>
      <c r="B4" s="31" t="s">
        <v>33</v>
      </c>
      <c r="C4" s="25" t="s">
        <v>34</v>
      </c>
      <c r="D4" s="26" t="s">
        <v>35</v>
      </c>
      <c r="E4" s="26" t="s">
        <v>36</v>
      </c>
    </row>
    <row r="5" spans="1:5" ht="45">
      <c r="A5" s="24">
        <v>3</v>
      </c>
      <c r="B5" s="31" t="s">
        <v>37</v>
      </c>
      <c r="C5" s="25" t="s">
        <v>38</v>
      </c>
      <c r="D5" s="32"/>
      <c r="E5" s="26" t="s">
        <v>39</v>
      </c>
    </row>
    <row r="6" spans="1:5" ht="30">
      <c r="A6" s="27">
        <v>4</v>
      </c>
      <c r="B6" s="28" t="s">
        <v>40</v>
      </c>
      <c r="C6" s="33"/>
      <c r="D6" s="34"/>
      <c r="E6" s="29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2"/>
  <sheetViews>
    <sheetView topLeftCell="K1" workbookViewId="0">
      <selection activeCell="K4" sqref="K4"/>
    </sheetView>
  </sheetViews>
  <sheetFormatPr defaultRowHeight="15"/>
  <cols>
    <col min="1" max="1" width="27.42578125" style="36" bestFit="1" customWidth="1"/>
    <col min="2" max="2" width="14.42578125" style="36" bestFit="1" customWidth="1"/>
    <col min="3" max="9" width="9.140625" style="36"/>
    <col min="10" max="10" width="27.42578125" style="36" bestFit="1" customWidth="1"/>
    <col min="11" max="11" width="14.42578125" style="36" bestFit="1" customWidth="1"/>
    <col min="12" max="16384" width="9.140625" style="36"/>
  </cols>
  <sheetData>
    <row r="1" spans="1:17">
      <c r="A1" s="193" t="s">
        <v>102</v>
      </c>
      <c r="B1" s="194"/>
      <c r="C1" s="194"/>
      <c r="D1" s="194"/>
      <c r="E1" s="194"/>
      <c r="F1" s="194"/>
      <c r="G1" s="194"/>
      <c r="H1" s="195"/>
      <c r="J1" s="208" t="s">
        <v>105</v>
      </c>
      <c r="K1" s="209"/>
      <c r="L1" s="209"/>
      <c r="M1" s="209"/>
      <c r="N1" s="209"/>
      <c r="O1" s="209"/>
      <c r="P1" s="209"/>
      <c r="Q1" s="210"/>
    </row>
    <row r="2" spans="1:17">
      <c r="A2" s="115" t="s">
        <v>99</v>
      </c>
      <c r="B2" s="166">
        <f>Goals!C16</f>
        <v>9100</v>
      </c>
      <c r="C2" s="117"/>
      <c r="D2" s="117"/>
      <c r="E2" s="117"/>
      <c r="F2" s="117"/>
      <c r="G2" s="117"/>
      <c r="H2" s="118"/>
      <c r="J2" s="137" t="s">
        <v>99</v>
      </c>
      <c r="K2" s="138">
        <f>Goals!C16</f>
        <v>9100</v>
      </c>
      <c r="L2" s="121"/>
      <c r="M2" s="121"/>
      <c r="N2" s="121"/>
      <c r="O2" s="121"/>
      <c r="P2" s="121"/>
      <c r="Q2" s="139"/>
    </row>
    <row r="3" spans="1:17" ht="45">
      <c r="A3" s="119" t="s">
        <v>100</v>
      </c>
      <c r="B3" s="120">
        <f>'Asset and income check up'!E20</f>
        <v>6.7976498547663064E-2</v>
      </c>
      <c r="C3" s="117"/>
      <c r="D3" s="117"/>
      <c r="E3" s="117"/>
      <c r="F3" s="117"/>
      <c r="G3" s="117"/>
      <c r="H3" s="118"/>
      <c r="J3" s="140" t="s">
        <v>101</v>
      </c>
      <c r="K3" s="126">
        <f>+IF(B8&lt;=35,'Optimal asset allocation'!B15,IF(51&lt;'Current vs recommended'!B8&gt;35,'Optimal asset allocation'!F15,IF('Current vs recommended'!B8&gt;50,'Optimal asset allocation'!J15,0)))</f>
        <v>0.11133499999999999</v>
      </c>
      <c r="L3" s="121"/>
      <c r="M3" s="121"/>
      <c r="N3" s="121"/>
      <c r="O3" s="121"/>
      <c r="P3" s="121"/>
      <c r="Q3" s="139"/>
    </row>
    <row r="4" spans="1:17">
      <c r="A4" s="115" t="s">
        <v>103</v>
      </c>
      <c r="B4" s="165">
        <f>(FV(B3/12,120,-B2))/100000</f>
        <v>15.57653786851083</v>
      </c>
      <c r="C4" s="117"/>
      <c r="D4" s="117"/>
      <c r="E4" s="117"/>
      <c r="F4" s="117"/>
      <c r="G4" s="117"/>
      <c r="H4" s="118"/>
      <c r="J4" s="137" t="s">
        <v>103</v>
      </c>
      <c r="K4" s="165">
        <f>(FV(K3/12,120,-K2))/100000</f>
        <v>19.9004484613431</v>
      </c>
      <c r="L4" s="121"/>
      <c r="M4" s="121"/>
      <c r="N4" s="121"/>
      <c r="O4" s="121"/>
      <c r="P4" s="121"/>
      <c r="Q4" s="139"/>
    </row>
    <row r="5" spans="1:17">
      <c r="A5" s="115" t="s">
        <v>104</v>
      </c>
      <c r="B5" s="165">
        <f>(FV(B3/12,240,-B2))/100000</f>
        <v>46.256590435760359</v>
      </c>
      <c r="C5" s="117"/>
      <c r="D5" s="117"/>
      <c r="E5" s="117"/>
      <c r="F5" s="117"/>
      <c r="G5" s="117"/>
      <c r="H5" s="118"/>
      <c r="J5" s="137" t="s">
        <v>104</v>
      </c>
      <c r="K5" s="165">
        <f>(FV(K3/12,240,-K2))/100000</f>
        <v>80.177967036466484</v>
      </c>
      <c r="L5" s="121"/>
      <c r="M5" s="121"/>
      <c r="N5" s="121"/>
      <c r="O5" s="121"/>
      <c r="P5" s="121"/>
      <c r="Q5" s="139"/>
    </row>
    <row r="6" spans="1:17">
      <c r="A6" s="115"/>
      <c r="B6" s="117"/>
      <c r="C6" s="117"/>
      <c r="D6" s="117"/>
      <c r="E6" s="117"/>
      <c r="F6" s="117"/>
      <c r="G6" s="117"/>
      <c r="H6" s="118"/>
      <c r="J6" s="137"/>
      <c r="K6" s="121"/>
      <c r="L6" s="121"/>
      <c r="M6" s="121"/>
      <c r="N6" s="121"/>
      <c r="O6" s="121"/>
      <c r="P6" s="121"/>
      <c r="Q6" s="139"/>
    </row>
    <row r="7" spans="1:17">
      <c r="A7" s="115"/>
      <c r="B7" s="117"/>
      <c r="C7" s="117"/>
      <c r="D7" s="117"/>
      <c r="E7" s="117"/>
      <c r="F7" s="117"/>
      <c r="G7" s="117"/>
      <c r="H7" s="118"/>
      <c r="J7" s="137"/>
      <c r="K7" s="121"/>
      <c r="L7" s="121"/>
      <c r="M7" s="121"/>
      <c r="N7" s="121"/>
      <c r="O7" s="121"/>
      <c r="P7" s="121"/>
      <c r="Q7" s="139"/>
    </row>
    <row r="8" spans="1:17">
      <c r="A8" s="115" t="s">
        <v>83</v>
      </c>
      <c r="B8" s="117">
        <f>Goals!C15</f>
        <v>33</v>
      </c>
      <c r="C8" s="117"/>
      <c r="D8" s="117"/>
      <c r="E8" s="117"/>
      <c r="F8" s="117"/>
      <c r="G8" s="117"/>
      <c r="H8" s="118"/>
      <c r="J8" s="137"/>
      <c r="K8" s="121"/>
      <c r="L8" s="121"/>
      <c r="M8" s="121"/>
      <c r="N8" s="121"/>
      <c r="O8" s="121"/>
      <c r="P8" s="121"/>
      <c r="Q8" s="139"/>
    </row>
    <row r="9" spans="1:17">
      <c r="A9" s="115"/>
      <c r="B9" s="117"/>
      <c r="C9" s="117"/>
      <c r="D9" s="117"/>
      <c r="E9" s="117"/>
      <c r="F9" s="117"/>
      <c r="G9" s="117"/>
      <c r="H9" s="118"/>
      <c r="J9" s="137"/>
      <c r="K9" s="121"/>
      <c r="L9" s="121"/>
      <c r="M9" s="121"/>
      <c r="N9" s="121"/>
      <c r="O9" s="121"/>
      <c r="P9" s="121"/>
      <c r="Q9" s="139"/>
    </row>
    <row r="10" spans="1:17">
      <c r="A10" s="115"/>
      <c r="B10" s="117"/>
      <c r="C10" s="117"/>
      <c r="D10" s="117"/>
      <c r="E10" s="117"/>
      <c r="F10" s="117"/>
      <c r="G10" s="117"/>
      <c r="H10" s="118"/>
      <c r="J10" s="137"/>
      <c r="K10" s="121"/>
      <c r="L10" s="121"/>
      <c r="M10" s="121"/>
      <c r="N10" s="121"/>
      <c r="O10" s="121"/>
      <c r="P10" s="121"/>
      <c r="Q10" s="139"/>
    </row>
    <row r="11" spans="1:17">
      <c r="A11" s="115"/>
      <c r="B11" s="117"/>
      <c r="C11" s="117"/>
      <c r="D11" s="117"/>
      <c r="E11" s="117"/>
      <c r="F11" s="117"/>
      <c r="G11" s="117"/>
      <c r="H11" s="118"/>
      <c r="J11" s="137"/>
      <c r="K11" s="121"/>
      <c r="L11" s="121"/>
      <c r="M11" s="121"/>
      <c r="N11" s="121"/>
      <c r="O11" s="121"/>
      <c r="P11" s="121"/>
      <c r="Q11" s="139"/>
    </row>
    <row r="12" spans="1:17">
      <c r="A12" s="115"/>
      <c r="B12" s="117"/>
      <c r="C12" s="117"/>
      <c r="D12" s="117"/>
      <c r="E12" s="117"/>
      <c r="F12" s="117"/>
      <c r="G12" s="117"/>
      <c r="H12" s="118"/>
      <c r="J12" s="137"/>
      <c r="K12" s="121"/>
      <c r="L12" s="121"/>
      <c r="M12" s="121"/>
      <c r="N12" s="121"/>
      <c r="O12" s="121"/>
      <c r="P12" s="121"/>
      <c r="Q12" s="139"/>
    </row>
    <row r="13" spans="1:17">
      <c r="A13" s="115"/>
      <c r="B13" s="117"/>
      <c r="C13" s="117"/>
      <c r="D13" s="117"/>
      <c r="E13" s="117"/>
      <c r="F13" s="117"/>
      <c r="G13" s="117"/>
      <c r="H13" s="118"/>
      <c r="J13" s="137"/>
      <c r="K13" s="121"/>
      <c r="L13" s="121"/>
      <c r="M13" s="121"/>
      <c r="N13" s="121"/>
      <c r="O13" s="121"/>
      <c r="P13" s="121"/>
      <c r="Q13" s="139"/>
    </row>
    <row r="14" spans="1:17">
      <c r="A14" s="115"/>
      <c r="B14" s="117"/>
      <c r="C14" s="117"/>
      <c r="D14" s="117"/>
      <c r="E14" s="117"/>
      <c r="F14" s="117"/>
      <c r="G14" s="117"/>
      <c r="H14" s="118"/>
      <c r="J14" s="137"/>
      <c r="K14" s="121"/>
      <c r="L14" s="121"/>
      <c r="M14" s="121"/>
      <c r="N14" s="121"/>
      <c r="O14" s="121"/>
      <c r="P14" s="121"/>
      <c r="Q14" s="139"/>
    </row>
    <row r="15" spans="1:17">
      <c r="A15" s="115"/>
      <c r="B15" s="117"/>
      <c r="C15" s="117"/>
      <c r="D15" s="117"/>
      <c r="E15" s="117"/>
      <c r="F15" s="117"/>
      <c r="G15" s="117"/>
      <c r="H15" s="118"/>
      <c r="J15" s="137"/>
      <c r="K15" s="121"/>
      <c r="L15" s="121"/>
      <c r="M15" s="121"/>
      <c r="N15" s="121"/>
      <c r="O15" s="121"/>
      <c r="P15" s="121"/>
      <c r="Q15" s="139"/>
    </row>
    <row r="16" spans="1:17">
      <c r="A16" s="115"/>
      <c r="B16" s="117"/>
      <c r="C16" s="117"/>
      <c r="D16" s="117"/>
      <c r="E16" s="117"/>
      <c r="F16" s="117"/>
      <c r="G16" s="117"/>
      <c r="H16" s="118"/>
      <c r="J16" s="137"/>
      <c r="K16" s="121"/>
      <c r="L16" s="121"/>
      <c r="M16" s="121"/>
      <c r="N16" s="121"/>
      <c r="O16" s="121"/>
      <c r="P16" s="121"/>
      <c r="Q16" s="139"/>
    </row>
    <row r="17" spans="1:17">
      <c r="A17" s="115"/>
      <c r="B17" s="117"/>
      <c r="C17" s="117"/>
      <c r="D17" s="117"/>
      <c r="E17" s="117"/>
      <c r="F17" s="117"/>
      <c r="G17" s="117"/>
      <c r="H17" s="118"/>
      <c r="J17" s="137"/>
      <c r="K17" s="121"/>
      <c r="L17" s="121"/>
      <c r="M17" s="121"/>
      <c r="N17" s="121"/>
      <c r="O17" s="121"/>
      <c r="P17" s="121"/>
      <c r="Q17" s="139"/>
    </row>
    <row r="18" spans="1:17">
      <c r="A18" s="115"/>
      <c r="B18" s="117"/>
      <c r="C18" s="117"/>
      <c r="D18" s="117"/>
      <c r="E18" s="117"/>
      <c r="F18" s="117"/>
      <c r="G18" s="117"/>
      <c r="H18" s="118"/>
      <c r="J18" s="137"/>
      <c r="K18" s="121"/>
      <c r="L18" s="121"/>
      <c r="M18" s="121"/>
      <c r="N18" s="121"/>
      <c r="O18" s="121"/>
      <c r="P18" s="121"/>
      <c r="Q18" s="139"/>
    </row>
    <row r="19" spans="1:17">
      <c r="A19" s="115"/>
      <c r="B19" s="117"/>
      <c r="C19" s="117"/>
      <c r="D19" s="117"/>
      <c r="E19" s="117"/>
      <c r="F19" s="117"/>
      <c r="G19" s="117"/>
      <c r="H19" s="118"/>
      <c r="J19" s="137"/>
      <c r="K19" s="121"/>
      <c r="L19" s="121"/>
      <c r="M19" s="121"/>
      <c r="N19" s="121"/>
      <c r="O19" s="121"/>
      <c r="P19" s="121"/>
      <c r="Q19" s="139"/>
    </row>
    <row r="20" spans="1:17">
      <c r="A20" s="115"/>
      <c r="B20" s="117"/>
      <c r="C20" s="117"/>
      <c r="D20" s="117"/>
      <c r="E20" s="117"/>
      <c r="F20" s="117"/>
      <c r="G20" s="117"/>
      <c r="H20" s="118"/>
      <c r="J20" s="137"/>
      <c r="K20" s="121"/>
      <c r="L20" s="121"/>
      <c r="M20" s="121"/>
      <c r="N20" s="121"/>
      <c r="O20" s="121"/>
      <c r="P20" s="121"/>
      <c r="Q20" s="139"/>
    </row>
    <row r="21" spans="1:17">
      <c r="A21" s="115"/>
      <c r="B21" s="117"/>
      <c r="C21" s="117"/>
      <c r="D21" s="117"/>
      <c r="E21" s="117"/>
      <c r="F21" s="117"/>
      <c r="G21" s="117"/>
      <c r="H21" s="118"/>
      <c r="J21" s="137"/>
      <c r="K21" s="121"/>
      <c r="L21" s="121"/>
      <c r="M21" s="121"/>
      <c r="N21" s="121"/>
      <c r="O21" s="121"/>
      <c r="P21" s="121"/>
      <c r="Q21" s="139"/>
    </row>
    <row r="22" spans="1:17">
      <c r="A22" s="115"/>
      <c r="B22" s="117"/>
      <c r="C22" s="117"/>
      <c r="D22" s="117"/>
      <c r="E22" s="117"/>
      <c r="F22" s="117"/>
      <c r="G22" s="117"/>
      <c r="H22" s="118"/>
      <c r="J22" s="137"/>
      <c r="K22" s="121"/>
      <c r="L22" s="121"/>
      <c r="M22" s="121"/>
      <c r="N22" s="121"/>
      <c r="O22" s="121"/>
      <c r="P22" s="121"/>
      <c r="Q22" s="139"/>
    </row>
    <row r="23" spans="1:17">
      <c r="A23" s="115"/>
      <c r="B23" s="117"/>
      <c r="C23" s="117"/>
      <c r="D23" s="117"/>
      <c r="E23" s="117"/>
      <c r="F23" s="117"/>
      <c r="G23" s="117"/>
      <c r="H23" s="118"/>
      <c r="J23" s="137"/>
      <c r="K23" s="121"/>
      <c r="L23" s="121"/>
      <c r="M23" s="121"/>
      <c r="N23" s="121"/>
      <c r="O23" s="121"/>
      <c r="P23" s="121"/>
      <c r="Q23" s="139"/>
    </row>
    <row r="24" spans="1:17">
      <c r="A24" s="115"/>
      <c r="B24" s="117"/>
      <c r="C24" s="117"/>
      <c r="D24" s="117"/>
      <c r="E24" s="117"/>
      <c r="F24" s="117"/>
      <c r="G24" s="117"/>
      <c r="H24" s="118"/>
      <c r="J24" s="137"/>
      <c r="K24" s="121"/>
      <c r="L24" s="121"/>
      <c r="M24" s="121"/>
      <c r="N24" s="121"/>
      <c r="O24" s="121"/>
      <c r="P24" s="121"/>
      <c r="Q24" s="139"/>
    </row>
    <row r="25" spans="1:17">
      <c r="A25" s="115"/>
      <c r="B25" s="117"/>
      <c r="C25" s="117"/>
      <c r="D25" s="117"/>
      <c r="E25" s="117"/>
      <c r="F25" s="117"/>
      <c r="G25" s="117"/>
      <c r="H25" s="118"/>
      <c r="J25" s="137"/>
      <c r="K25" s="121"/>
      <c r="L25" s="121"/>
      <c r="M25" s="121"/>
      <c r="N25" s="121"/>
      <c r="O25" s="121"/>
      <c r="P25" s="121"/>
      <c r="Q25" s="139"/>
    </row>
    <row r="26" spans="1:17">
      <c r="A26" s="115"/>
      <c r="B26" s="117"/>
      <c r="C26" s="117"/>
      <c r="D26" s="117"/>
      <c r="E26" s="117"/>
      <c r="F26" s="117"/>
      <c r="G26" s="117"/>
      <c r="H26" s="118"/>
      <c r="J26" s="137"/>
      <c r="K26" s="121"/>
      <c r="L26" s="121"/>
      <c r="M26" s="121"/>
      <c r="N26" s="121"/>
      <c r="O26" s="121"/>
      <c r="P26" s="121"/>
      <c r="Q26" s="139"/>
    </row>
    <row r="27" spans="1:17">
      <c r="A27" s="115"/>
      <c r="B27" s="117"/>
      <c r="C27" s="117"/>
      <c r="D27" s="117"/>
      <c r="E27" s="117"/>
      <c r="F27" s="117"/>
      <c r="G27" s="117"/>
      <c r="H27" s="118"/>
      <c r="J27" s="137"/>
      <c r="K27" s="121"/>
      <c r="L27" s="121"/>
      <c r="M27" s="121"/>
      <c r="N27" s="121"/>
      <c r="O27" s="121"/>
      <c r="P27" s="121"/>
      <c r="Q27" s="139"/>
    </row>
    <row r="28" spans="1:17">
      <c r="A28" s="115"/>
      <c r="B28" s="117"/>
      <c r="C28" s="117"/>
      <c r="D28" s="117"/>
      <c r="E28" s="117"/>
      <c r="F28" s="117"/>
      <c r="G28" s="117"/>
      <c r="H28" s="118"/>
      <c r="J28" s="137"/>
      <c r="K28" s="121"/>
      <c r="L28" s="121"/>
      <c r="M28" s="121"/>
      <c r="N28" s="121"/>
      <c r="O28" s="121"/>
      <c r="P28" s="121"/>
      <c r="Q28" s="139"/>
    </row>
    <row r="29" spans="1:17">
      <c r="A29" s="115"/>
      <c r="B29" s="117"/>
      <c r="C29" s="117"/>
      <c r="D29" s="117"/>
      <c r="E29" s="117"/>
      <c r="F29" s="117"/>
      <c r="G29" s="117"/>
      <c r="H29" s="118"/>
      <c r="J29" s="137"/>
      <c r="K29" s="121"/>
      <c r="L29" s="121"/>
      <c r="M29" s="121"/>
      <c r="N29" s="121"/>
      <c r="O29" s="121"/>
      <c r="P29" s="121"/>
      <c r="Q29" s="139"/>
    </row>
    <row r="30" spans="1:17">
      <c r="A30" s="115"/>
      <c r="B30" s="117"/>
      <c r="C30" s="117"/>
      <c r="D30" s="117"/>
      <c r="E30" s="117"/>
      <c r="F30" s="117"/>
      <c r="G30" s="117"/>
      <c r="H30" s="118"/>
      <c r="J30" s="137"/>
      <c r="K30" s="121"/>
      <c r="L30" s="121"/>
      <c r="M30" s="121"/>
      <c r="N30" s="121"/>
      <c r="O30" s="121"/>
      <c r="P30" s="121"/>
      <c r="Q30" s="139"/>
    </row>
    <row r="31" spans="1:17">
      <c r="A31" s="115"/>
      <c r="B31" s="117"/>
      <c r="C31" s="117"/>
      <c r="D31" s="117"/>
      <c r="E31" s="117"/>
      <c r="F31" s="117"/>
      <c r="G31" s="117"/>
      <c r="H31" s="118"/>
      <c r="J31" s="137"/>
      <c r="K31" s="121"/>
      <c r="L31" s="121"/>
      <c r="M31" s="121"/>
      <c r="N31" s="121"/>
      <c r="O31" s="121"/>
      <c r="P31" s="121"/>
      <c r="Q31" s="139"/>
    </row>
    <row r="32" spans="1:17">
      <c r="A32" s="115"/>
      <c r="B32" s="117"/>
      <c r="C32" s="117"/>
      <c r="D32" s="117"/>
      <c r="E32" s="117"/>
      <c r="F32" s="117"/>
      <c r="G32" s="117"/>
      <c r="H32" s="118"/>
      <c r="J32" s="137"/>
      <c r="K32" s="121"/>
      <c r="L32" s="121"/>
      <c r="M32" s="121"/>
      <c r="N32" s="121"/>
      <c r="O32" s="121"/>
      <c r="P32" s="121"/>
      <c r="Q32" s="139"/>
    </row>
    <row r="33" spans="1:17">
      <c r="A33" s="115"/>
      <c r="B33" s="117"/>
      <c r="C33" s="117"/>
      <c r="D33" s="117"/>
      <c r="E33" s="117"/>
      <c r="F33" s="117"/>
      <c r="G33" s="117"/>
      <c r="H33" s="118"/>
      <c r="J33" s="137"/>
      <c r="K33" s="121"/>
      <c r="L33" s="121"/>
      <c r="M33" s="121"/>
      <c r="N33" s="121"/>
      <c r="O33" s="121"/>
      <c r="P33" s="121"/>
      <c r="Q33" s="139"/>
    </row>
    <row r="34" spans="1:17">
      <c r="A34" s="115"/>
      <c r="B34" s="117"/>
      <c r="C34" s="117"/>
      <c r="D34" s="117"/>
      <c r="E34" s="117"/>
      <c r="F34" s="117"/>
      <c r="G34" s="117"/>
      <c r="H34" s="118"/>
      <c r="J34" s="137"/>
      <c r="K34" s="121"/>
      <c r="L34" s="121"/>
      <c r="M34" s="121"/>
      <c r="N34" s="121"/>
      <c r="O34" s="121"/>
      <c r="P34" s="121"/>
      <c r="Q34" s="139"/>
    </row>
    <row r="35" spans="1:17">
      <c r="A35" s="115"/>
      <c r="B35" s="117"/>
      <c r="C35" s="117"/>
      <c r="D35" s="117"/>
      <c r="E35" s="117"/>
      <c r="F35" s="117"/>
      <c r="G35" s="117"/>
      <c r="H35" s="118"/>
      <c r="J35" s="137"/>
      <c r="K35" s="121"/>
      <c r="L35" s="121"/>
      <c r="M35" s="121"/>
      <c r="N35" s="121"/>
      <c r="O35" s="121"/>
      <c r="P35" s="121"/>
      <c r="Q35" s="139"/>
    </row>
    <row r="36" spans="1:17">
      <c r="A36" s="115"/>
      <c r="B36" s="117"/>
      <c r="C36" s="117"/>
      <c r="D36" s="117"/>
      <c r="E36" s="117"/>
      <c r="F36" s="117"/>
      <c r="G36" s="117"/>
      <c r="H36" s="118"/>
      <c r="J36" s="137"/>
      <c r="K36" s="121"/>
      <c r="L36" s="121"/>
      <c r="M36" s="121"/>
      <c r="N36" s="121"/>
      <c r="O36" s="121"/>
      <c r="P36" s="121"/>
      <c r="Q36" s="139"/>
    </row>
    <row r="37" spans="1:17">
      <c r="A37" s="115"/>
      <c r="B37" s="117"/>
      <c r="C37" s="117"/>
      <c r="D37" s="117"/>
      <c r="E37" s="117"/>
      <c r="F37" s="117"/>
      <c r="G37" s="117"/>
      <c r="H37" s="118"/>
      <c r="J37" s="137"/>
      <c r="K37" s="121"/>
      <c r="L37" s="121"/>
      <c r="M37" s="121"/>
      <c r="N37" s="121"/>
      <c r="O37" s="121"/>
      <c r="P37" s="121"/>
      <c r="Q37" s="139"/>
    </row>
    <row r="38" spans="1:17">
      <c r="A38" s="115"/>
      <c r="B38" s="117"/>
      <c r="C38" s="117"/>
      <c r="D38" s="117"/>
      <c r="E38" s="117"/>
      <c r="F38" s="117"/>
      <c r="G38" s="117"/>
      <c r="H38" s="118"/>
      <c r="J38" s="137"/>
      <c r="K38" s="121"/>
      <c r="L38" s="121"/>
      <c r="M38" s="121"/>
      <c r="N38" s="121"/>
      <c r="O38" s="121"/>
      <c r="P38" s="121"/>
      <c r="Q38" s="139"/>
    </row>
    <row r="39" spans="1:17">
      <c r="A39" s="115"/>
      <c r="B39" s="117"/>
      <c r="C39" s="117"/>
      <c r="D39" s="117"/>
      <c r="E39" s="117"/>
      <c r="F39" s="117"/>
      <c r="G39" s="117"/>
      <c r="H39" s="118"/>
      <c r="J39" s="137"/>
      <c r="K39" s="121"/>
      <c r="L39" s="121"/>
      <c r="M39" s="121"/>
      <c r="N39" s="121"/>
      <c r="O39" s="121"/>
      <c r="P39" s="121"/>
      <c r="Q39" s="139"/>
    </row>
    <row r="40" spans="1:17">
      <c r="A40" s="115"/>
      <c r="B40" s="117"/>
      <c r="C40" s="117"/>
      <c r="D40" s="117"/>
      <c r="E40" s="117"/>
      <c r="F40" s="117"/>
      <c r="G40" s="117"/>
      <c r="H40" s="118"/>
      <c r="J40" s="137"/>
      <c r="K40" s="121"/>
      <c r="L40" s="121"/>
      <c r="M40" s="121"/>
      <c r="N40" s="121"/>
      <c r="O40" s="121"/>
      <c r="P40" s="121"/>
      <c r="Q40" s="139"/>
    </row>
    <row r="41" spans="1:17">
      <c r="A41" s="115"/>
      <c r="B41" s="117"/>
      <c r="C41" s="117"/>
      <c r="D41" s="117"/>
      <c r="E41" s="117"/>
      <c r="F41" s="117"/>
      <c r="G41" s="117"/>
      <c r="H41" s="118"/>
      <c r="J41" s="137"/>
      <c r="K41" s="121"/>
      <c r="L41" s="121"/>
      <c r="M41" s="121"/>
      <c r="N41" s="121"/>
      <c r="O41" s="121"/>
      <c r="P41" s="121"/>
      <c r="Q41" s="139"/>
    </row>
    <row r="42" spans="1:17">
      <c r="A42" s="115"/>
      <c r="B42" s="117"/>
      <c r="C42" s="117"/>
      <c r="D42" s="117"/>
      <c r="E42" s="117"/>
      <c r="F42" s="117"/>
      <c r="G42" s="117"/>
      <c r="H42" s="118"/>
      <c r="J42" s="137"/>
      <c r="K42" s="121"/>
      <c r="L42" s="121"/>
      <c r="M42" s="121"/>
      <c r="N42" s="121"/>
      <c r="O42" s="121"/>
      <c r="P42" s="121"/>
      <c r="Q42" s="139"/>
    </row>
    <row r="43" spans="1:17">
      <c r="A43" s="115"/>
      <c r="B43" s="117"/>
      <c r="C43" s="117"/>
      <c r="D43" s="117"/>
      <c r="E43" s="117"/>
      <c r="F43" s="117"/>
      <c r="G43" s="117"/>
      <c r="H43" s="118"/>
      <c r="J43" s="137"/>
      <c r="K43" s="121"/>
      <c r="L43" s="121"/>
      <c r="M43" s="121"/>
      <c r="N43" s="121"/>
      <c r="O43" s="121"/>
      <c r="P43" s="121"/>
      <c r="Q43" s="139"/>
    </row>
    <row r="44" spans="1:17">
      <c r="A44" s="115"/>
      <c r="B44" s="117"/>
      <c r="C44" s="117"/>
      <c r="D44" s="117"/>
      <c r="E44" s="117"/>
      <c r="F44" s="117"/>
      <c r="G44" s="117"/>
      <c r="H44" s="118"/>
      <c r="J44" s="137"/>
      <c r="K44" s="121"/>
      <c r="L44" s="121"/>
      <c r="M44" s="121"/>
      <c r="N44" s="121"/>
      <c r="O44" s="121"/>
      <c r="P44" s="121"/>
      <c r="Q44" s="139"/>
    </row>
    <row r="45" spans="1:17">
      <c r="A45" s="115"/>
      <c r="B45" s="117"/>
      <c r="C45" s="117"/>
      <c r="D45" s="117"/>
      <c r="E45" s="117"/>
      <c r="F45" s="117"/>
      <c r="G45" s="117"/>
      <c r="H45" s="118"/>
      <c r="J45" s="137"/>
      <c r="K45" s="121"/>
      <c r="L45" s="121"/>
      <c r="M45" s="121"/>
      <c r="N45" s="121"/>
      <c r="O45" s="121"/>
      <c r="P45" s="121"/>
      <c r="Q45" s="139"/>
    </row>
    <row r="46" spans="1:17">
      <c r="A46" s="115"/>
      <c r="B46" s="117"/>
      <c r="C46" s="117"/>
      <c r="D46" s="117"/>
      <c r="E46" s="117"/>
      <c r="F46" s="117"/>
      <c r="G46" s="117"/>
      <c r="H46" s="118"/>
      <c r="J46" s="137"/>
      <c r="K46" s="121"/>
      <c r="L46" s="121"/>
      <c r="M46" s="121"/>
      <c r="N46" s="121"/>
      <c r="O46" s="121"/>
      <c r="P46" s="121"/>
      <c r="Q46" s="139"/>
    </row>
    <row r="47" spans="1:17">
      <c r="A47" s="115"/>
      <c r="B47" s="117"/>
      <c r="C47" s="117"/>
      <c r="D47" s="117"/>
      <c r="E47" s="117"/>
      <c r="F47" s="117"/>
      <c r="G47" s="117"/>
      <c r="H47" s="118"/>
      <c r="J47" s="137"/>
      <c r="K47" s="121"/>
      <c r="L47" s="121"/>
      <c r="M47" s="121"/>
      <c r="N47" s="121"/>
      <c r="O47" s="121"/>
      <c r="P47" s="121"/>
      <c r="Q47" s="139"/>
    </row>
    <row r="48" spans="1:17">
      <c r="A48" s="115"/>
      <c r="B48" s="117"/>
      <c r="C48" s="117"/>
      <c r="D48" s="117"/>
      <c r="E48" s="117"/>
      <c r="F48" s="117"/>
      <c r="G48" s="117"/>
      <c r="H48" s="118"/>
      <c r="J48" s="137"/>
      <c r="K48" s="121"/>
      <c r="L48" s="121"/>
      <c r="M48" s="121"/>
      <c r="N48" s="121"/>
      <c r="O48" s="121"/>
      <c r="P48" s="121"/>
      <c r="Q48" s="139"/>
    </row>
    <row r="49" spans="1:17">
      <c r="A49" s="122"/>
      <c r="B49" s="123"/>
      <c r="C49" s="123"/>
      <c r="D49" s="123"/>
      <c r="E49" s="123"/>
      <c r="F49" s="123"/>
      <c r="G49" s="123"/>
      <c r="H49" s="124"/>
      <c r="J49" s="137"/>
      <c r="K49" s="121"/>
      <c r="L49" s="121"/>
      <c r="M49" s="121"/>
      <c r="N49" s="121"/>
      <c r="O49" s="121"/>
      <c r="P49" s="121"/>
      <c r="Q49" s="139"/>
    </row>
    <row r="50" spans="1:17">
      <c r="J50" s="137"/>
      <c r="K50" s="121"/>
      <c r="L50" s="121"/>
      <c r="M50" s="121"/>
      <c r="N50" s="121"/>
      <c r="O50" s="121"/>
      <c r="P50" s="121"/>
      <c r="Q50" s="139"/>
    </row>
    <row r="51" spans="1:17">
      <c r="J51" s="137"/>
      <c r="K51" s="121"/>
      <c r="L51" s="121"/>
      <c r="M51" s="121"/>
      <c r="N51" s="121"/>
      <c r="O51" s="121"/>
      <c r="P51" s="121"/>
      <c r="Q51" s="139"/>
    </row>
    <row r="52" spans="1:17">
      <c r="J52" s="122"/>
      <c r="K52" s="123"/>
      <c r="L52" s="123"/>
      <c r="M52" s="123"/>
      <c r="N52" s="123"/>
      <c r="O52" s="123"/>
      <c r="P52" s="123"/>
      <c r="Q52" s="124"/>
    </row>
  </sheetData>
  <mergeCells count="2">
    <mergeCell ref="A1:H1"/>
    <mergeCell ref="J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Asset and income check up</vt:lpstr>
      <vt:lpstr>Goals</vt:lpstr>
      <vt:lpstr>Optimal asset allocation</vt:lpstr>
      <vt:lpstr>Long term projections</vt:lpstr>
      <vt:lpstr>Funds</vt:lpstr>
      <vt:lpstr>Current vs 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2016-09-26T05:24:19Z</dcterms:modified>
</cp:coreProperties>
</file>