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ebextensions/webextension1.xml" ContentType="application/vnd.ms-office.webextension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V:\Y Invest\Top down content\"/>
    </mc:Choice>
  </mc:AlternateContent>
  <bookViews>
    <workbookView xWindow="0" yWindow="0" windowWidth="20520" windowHeight="8895" activeTab="4"/>
  </bookViews>
  <sheets>
    <sheet name="Full Asset tool" sheetId="1" r:id="rId1"/>
    <sheet name="Personal P&amp;L" sheetId="2" r:id="rId2"/>
    <sheet name="YFInAdvisor data" sheetId="4" r:id="rId3"/>
    <sheet name="Personal Detail Sh" sheetId="3" r:id="rId4"/>
    <sheet name="Asst alloc" sheetId="6" r:id="rId5"/>
    <sheet name="Retirement" sheetId="8" r:id="rId6"/>
    <sheet name="Sheet2" sheetId="7" r:id="rId7"/>
    <sheet name="Debt Profile" sheetId="5" r:id="rId8"/>
  </sheets>
  <externalReferences>
    <externalReference r:id="rId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1" i="6" l="1"/>
  <c r="H102" i="6"/>
  <c r="H103" i="6"/>
  <c r="H100" i="6"/>
  <c r="C103" i="6"/>
  <c r="C102" i="6"/>
  <c r="C101" i="6"/>
  <c r="C100" i="6"/>
  <c r="G101" i="6"/>
  <c r="G102" i="6"/>
  <c r="G103" i="6"/>
  <c r="G100" i="6"/>
  <c r="F101" i="6"/>
  <c r="F103" i="6"/>
  <c r="G40" i="6"/>
  <c r="F102" i="6" s="1"/>
  <c r="F100" i="6"/>
  <c r="D102" i="6"/>
  <c r="D103" i="6"/>
  <c r="D101" i="6"/>
  <c r="D100" i="6"/>
  <c r="D97" i="6"/>
  <c r="D86" i="6"/>
  <c r="D85" i="6"/>
  <c r="D84" i="6"/>
  <c r="G79" i="6"/>
  <c r="L81" i="6" s="1"/>
  <c r="L64" i="6"/>
  <c r="K64" i="6"/>
  <c r="J64" i="6"/>
  <c r="I64" i="6"/>
  <c r="I72" i="6" s="1"/>
  <c r="H64" i="6"/>
  <c r="E10" i="8"/>
  <c r="E6" i="8"/>
  <c r="E4" i="8"/>
  <c r="G70" i="6"/>
  <c r="L72" i="6" s="1"/>
  <c r="D87" i="6" l="1"/>
  <c r="J81" i="6"/>
  <c r="K81" i="6"/>
  <c r="I81" i="6"/>
  <c r="D81" i="6"/>
  <c r="H81" i="6"/>
  <c r="J72" i="6"/>
  <c r="K72" i="6"/>
  <c r="H72" i="6"/>
  <c r="G75" i="6"/>
  <c r="J77" i="6" s="1"/>
  <c r="G39" i="6"/>
  <c r="D72" i="6"/>
  <c r="G65" i="6"/>
  <c r="G38" i="6"/>
  <c r="I43" i="6" s="1"/>
  <c r="G36" i="6"/>
  <c r="N43" i="6" s="1"/>
  <c r="E15" i="6"/>
  <c r="F15" i="6"/>
  <c r="G15" i="6"/>
  <c r="H15" i="6"/>
  <c r="I15" i="6"/>
  <c r="J15" i="6"/>
  <c r="K15" i="6"/>
  <c r="L15" i="6"/>
  <c r="M15" i="6"/>
  <c r="N15" i="6"/>
  <c r="E16" i="6"/>
  <c r="F16" i="6"/>
  <c r="G16" i="6"/>
  <c r="H16" i="6"/>
  <c r="I16" i="6"/>
  <c r="J16" i="6"/>
  <c r="K16" i="6"/>
  <c r="L16" i="6"/>
  <c r="M16" i="6"/>
  <c r="N16" i="6"/>
  <c r="E17" i="6"/>
  <c r="F17" i="6"/>
  <c r="G17" i="6"/>
  <c r="H17" i="6"/>
  <c r="I17" i="6"/>
  <c r="J17" i="6"/>
  <c r="K17" i="6"/>
  <c r="L17" i="6"/>
  <c r="M17" i="6"/>
  <c r="N17" i="6"/>
  <c r="E18" i="6"/>
  <c r="F18" i="6"/>
  <c r="G18" i="6"/>
  <c r="H18" i="6"/>
  <c r="I18" i="6"/>
  <c r="J18" i="6"/>
  <c r="K18" i="6"/>
  <c r="L18" i="6"/>
  <c r="M18" i="6"/>
  <c r="N18" i="6"/>
  <c r="E19" i="6"/>
  <c r="F19" i="6"/>
  <c r="G19" i="6"/>
  <c r="H19" i="6"/>
  <c r="I19" i="6"/>
  <c r="J19" i="6"/>
  <c r="K19" i="6"/>
  <c r="L19" i="6"/>
  <c r="M19" i="6"/>
  <c r="N19" i="6"/>
  <c r="E20" i="6"/>
  <c r="F20" i="6"/>
  <c r="G20" i="6"/>
  <c r="H20" i="6"/>
  <c r="I20" i="6"/>
  <c r="J20" i="6"/>
  <c r="K20" i="6"/>
  <c r="L20" i="6"/>
  <c r="M20" i="6"/>
  <c r="N20" i="6"/>
  <c r="E21" i="6"/>
  <c r="F21" i="6"/>
  <c r="G21" i="6"/>
  <c r="H21" i="6"/>
  <c r="I21" i="6"/>
  <c r="J21" i="6"/>
  <c r="K21" i="6"/>
  <c r="L21" i="6"/>
  <c r="M21" i="6"/>
  <c r="N21" i="6"/>
  <c r="E22" i="6"/>
  <c r="F22" i="6"/>
  <c r="G22" i="6"/>
  <c r="H22" i="6"/>
  <c r="I22" i="6"/>
  <c r="J22" i="6"/>
  <c r="K22" i="6"/>
  <c r="L22" i="6"/>
  <c r="M22" i="6"/>
  <c r="N22" i="6"/>
  <c r="E29" i="6"/>
  <c r="F29" i="6"/>
  <c r="G29" i="6"/>
  <c r="H29" i="6"/>
  <c r="I29" i="6"/>
  <c r="J29" i="6"/>
  <c r="K29" i="6"/>
  <c r="L29" i="6"/>
  <c r="M29" i="6"/>
  <c r="N29" i="6"/>
  <c r="D29" i="6"/>
  <c r="D53" i="6"/>
  <c r="D55" i="6" s="1"/>
  <c r="E55" i="6" s="1"/>
  <c r="F55" i="6" s="1"/>
  <c r="G55" i="6" s="1"/>
  <c r="H55" i="6" s="1"/>
  <c r="I55" i="6" s="1"/>
  <c r="J55" i="6" s="1"/>
  <c r="K55" i="6" s="1"/>
  <c r="L55" i="6" s="1"/>
  <c r="M55" i="6" s="1"/>
  <c r="N55" i="6" s="1"/>
  <c r="N44" i="6"/>
  <c r="M44" i="6"/>
  <c r="M46" i="6" s="1"/>
  <c r="M49" i="6" s="1"/>
  <c r="L44" i="6"/>
  <c r="L46" i="6" s="1"/>
  <c r="L49" i="6" s="1"/>
  <c r="K44" i="6"/>
  <c r="K46" i="6" s="1"/>
  <c r="K49" i="6" s="1"/>
  <c r="J44" i="6"/>
  <c r="J46" i="6" s="1"/>
  <c r="J49" i="6" s="1"/>
  <c r="I44" i="6"/>
  <c r="H44" i="6"/>
  <c r="H46" i="6" s="1"/>
  <c r="H49" i="6" s="1"/>
  <c r="G44" i="6"/>
  <c r="G46" i="6" s="1"/>
  <c r="G49" i="6" s="1"/>
  <c r="F44" i="6"/>
  <c r="F46" i="6" s="1"/>
  <c r="F49" i="6" s="1"/>
  <c r="E44" i="6"/>
  <c r="E46" i="6" s="1"/>
  <c r="E49" i="6" s="1"/>
  <c r="D44" i="6"/>
  <c r="D46" i="6" s="1"/>
  <c r="D8" i="6"/>
  <c r="D7" i="6"/>
  <c r="D6" i="6"/>
  <c r="D5" i="6"/>
  <c r="D4" i="6"/>
  <c r="D3" i="6"/>
  <c r="E54" i="1"/>
  <c r="D22" i="6"/>
  <c r="D20" i="6"/>
  <c r="H40" i="1"/>
  <c r="H39" i="1"/>
  <c r="H33" i="1"/>
  <c r="H32" i="1"/>
  <c r="D21" i="6"/>
  <c r="D19" i="6"/>
  <c r="D18" i="6"/>
  <c r="D17" i="6"/>
  <c r="D16" i="6"/>
  <c r="D15" i="6"/>
  <c r="D30" i="6" s="1"/>
  <c r="L67" i="6" l="1"/>
  <c r="H67" i="6"/>
  <c r="J67" i="6"/>
  <c r="D67" i="6"/>
  <c r="D77" i="6"/>
  <c r="I67" i="6"/>
  <c r="H77" i="6"/>
  <c r="L77" i="6"/>
  <c r="K77" i="6"/>
  <c r="I77" i="6"/>
  <c r="K67" i="6"/>
  <c r="N46" i="6"/>
  <c r="N49" i="6" s="1"/>
  <c r="I46" i="6"/>
  <c r="I49" i="6" s="1"/>
  <c r="D49" i="6"/>
  <c r="D51" i="6"/>
  <c r="D24" i="6"/>
  <c r="D28" i="6" s="1"/>
  <c r="D31" i="6" s="1"/>
  <c r="E28" i="6" s="1"/>
  <c r="D15" i="4"/>
  <c r="E30" i="6" l="1"/>
  <c r="E31" i="6" s="1"/>
  <c r="F28" i="6" s="1"/>
  <c r="D65" i="2"/>
  <c r="D61" i="2"/>
  <c r="E59" i="2"/>
  <c r="F59" i="2"/>
  <c r="G59" i="2"/>
  <c r="H59" i="2"/>
  <c r="I59" i="2"/>
  <c r="J59" i="2"/>
  <c r="K59" i="2"/>
  <c r="L59" i="2"/>
  <c r="M59" i="2"/>
  <c r="N59" i="2"/>
  <c r="D59" i="2"/>
  <c r="F30" i="6" l="1"/>
  <c r="F31" i="6"/>
  <c r="G28" i="6" s="1"/>
  <c r="G31" i="6" s="1"/>
  <c r="H28" i="6" s="1"/>
  <c r="D63" i="2"/>
  <c r="E65" i="2"/>
  <c r="F65" i="2"/>
  <c r="G65" i="2"/>
  <c r="H65" i="2"/>
  <c r="I65" i="2"/>
  <c r="J65" i="2"/>
  <c r="K65" i="2"/>
  <c r="L65" i="2"/>
  <c r="M65" i="2"/>
  <c r="N65" i="2"/>
  <c r="D36" i="2"/>
  <c r="D54" i="2"/>
  <c r="D56" i="2"/>
  <c r="E23" i="2"/>
  <c r="E25" i="2"/>
  <c r="E26" i="2"/>
  <c r="E27" i="2"/>
  <c r="E28" i="2"/>
  <c r="E29" i="2"/>
  <c r="E30" i="2"/>
  <c r="E31" i="2"/>
  <c r="E32" i="2"/>
  <c r="E33" i="2"/>
  <c r="E34" i="2"/>
  <c r="E36" i="2"/>
  <c r="E54" i="2"/>
  <c r="E56" i="2"/>
  <c r="F23" i="2"/>
  <c r="F25" i="2"/>
  <c r="F26" i="2"/>
  <c r="F27" i="2"/>
  <c r="F28" i="2"/>
  <c r="F29" i="2"/>
  <c r="F30" i="2"/>
  <c r="F31" i="2"/>
  <c r="F32" i="2"/>
  <c r="F33" i="2"/>
  <c r="F34" i="2"/>
  <c r="F36" i="2"/>
  <c r="F54" i="2"/>
  <c r="F56" i="2"/>
  <c r="G23" i="2"/>
  <c r="G25" i="2"/>
  <c r="G26" i="2"/>
  <c r="G27" i="2"/>
  <c r="G28" i="2"/>
  <c r="G29" i="2"/>
  <c r="G30" i="2"/>
  <c r="G31" i="2"/>
  <c r="G32" i="2"/>
  <c r="G33" i="2"/>
  <c r="G34" i="2"/>
  <c r="G36" i="2"/>
  <c r="G54" i="2"/>
  <c r="G56" i="2"/>
  <c r="H23" i="2"/>
  <c r="H25" i="2"/>
  <c r="H26" i="2"/>
  <c r="H27" i="2"/>
  <c r="H28" i="2"/>
  <c r="H29" i="2"/>
  <c r="H30" i="2"/>
  <c r="H31" i="2"/>
  <c r="H32" i="2"/>
  <c r="H33" i="2"/>
  <c r="H34" i="2"/>
  <c r="H36" i="2"/>
  <c r="H54" i="2"/>
  <c r="H56" i="2"/>
  <c r="I23" i="2"/>
  <c r="I25" i="2"/>
  <c r="I26" i="2"/>
  <c r="I27" i="2"/>
  <c r="I28" i="2"/>
  <c r="I29" i="2"/>
  <c r="I30" i="2"/>
  <c r="I31" i="2"/>
  <c r="I32" i="2"/>
  <c r="I33" i="2"/>
  <c r="I34" i="2"/>
  <c r="I36" i="2"/>
  <c r="G49" i="2"/>
  <c r="I53" i="2"/>
  <c r="I54" i="2"/>
  <c r="I56" i="2"/>
  <c r="J23" i="2"/>
  <c r="J25" i="2"/>
  <c r="J26" i="2"/>
  <c r="J27" i="2"/>
  <c r="J28" i="2"/>
  <c r="J29" i="2"/>
  <c r="J30" i="2"/>
  <c r="J31" i="2"/>
  <c r="J32" i="2"/>
  <c r="J33" i="2"/>
  <c r="J34" i="2"/>
  <c r="J36" i="2"/>
  <c r="J54" i="2"/>
  <c r="J56" i="2"/>
  <c r="K23" i="2"/>
  <c r="K25" i="2"/>
  <c r="K26" i="2"/>
  <c r="K27" i="2"/>
  <c r="K28" i="2"/>
  <c r="K29" i="2"/>
  <c r="K30" i="2"/>
  <c r="K31" i="2"/>
  <c r="K32" i="2"/>
  <c r="K33" i="2"/>
  <c r="K34" i="2"/>
  <c r="K36" i="2"/>
  <c r="K54" i="2"/>
  <c r="K56" i="2"/>
  <c r="L23" i="2"/>
  <c r="L25" i="2"/>
  <c r="L26" i="2"/>
  <c r="L27" i="2"/>
  <c r="L28" i="2"/>
  <c r="L29" i="2"/>
  <c r="L30" i="2"/>
  <c r="L31" i="2"/>
  <c r="L32" i="2"/>
  <c r="L33" i="2"/>
  <c r="L34" i="2"/>
  <c r="L36" i="2"/>
  <c r="L54" i="2"/>
  <c r="L56" i="2"/>
  <c r="M23" i="2"/>
  <c r="M25" i="2"/>
  <c r="M26" i="2"/>
  <c r="M27" i="2"/>
  <c r="M28" i="2"/>
  <c r="M29" i="2"/>
  <c r="M30" i="2"/>
  <c r="M31" i="2"/>
  <c r="M32" i="2"/>
  <c r="M33" i="2"/>
  <c r="M34" i="2"/>
  <c r="M36" i="2"/>
  <c r="M54" i="2"/>
  <c r="M56" i="2"/>
  <c r="N23" i="2"/>
  <c r="N25" i="2"/>
  <c r="N26" i="2"/>
  <c r="N27" i="2"/>
  <c r="N28" i="2"/>
  <c r="N29" i="2"/>
  <c r="N30" i="2"/>
  <c r="N31" i="2"/>
  <c r="N32" i="2"/>
  <c r="N33" i="2"/>
  <c r="N34" i="2"/>
  <c r="N36" i="2"/>
  <c r="G47" i="2"/>
  <c r="N53" i="2"/>
  <c r="N54" i="2"/>
  <c r="N56" i="2"/>
  <c r="D40" i="2"/>
  <c r="D16" i="2"/>
  <c r="E40" i="2"/>
  <c r="F40" i="2"/>
  <c r="G40" i="2"/>
  <c r="H40" i="2"/>
  <c r="I40" i="2"/>
  <c r="J40" i="2"/>
  <c r="K40" i="2"/>
  <c r="L40" i="2"/>
  <c r="M40" i="2"/>
  <c r="N40" i="2"/>
  <c r="E59" i="1"/>
  <c r="H19" i="1"/>
  <c r="H18" i="1"/>
  <c r="H17" i="1"/>
  <c r="H15" i="1"/>
  <c r="H14" i="1"/>
  <c r="H13" i="1"/>
  <c r="H11" i="1"/>
  <c r="H10" i="1"/>
  <c r="H9" i="1"/>
  <c r="D41" i="2" l="1"/>
  <c r="D42" i="2" s="1"/>
  <c r="E39" i="2" s="1"/>
  <c r="E41" i="2" s="1"/>
  <c r="E42" i="2" s="1"/>
  <c r="F39" i="2" s="1"/>
  <c r="G30" i="6"/>
  <c r="H30" i="6"/>
  <c r="H31" i="6"/>
  <c r="I28" i="6" s="1"/>
  <c r="I30" i="6" l="1"/>
  <c r="I31" i="6"/>
  <c r="J28" i="6" s="1"/>
  <c r="F41" i="2"/>
  <c r="F42" i="2" s="1"/>
  <c r="G39" i="2" s="1"/>
  <c r="J31" i="6" l="1"/>
  <c r="K28" i="6" s="1"/>
  <c r="J30" i="6"/>
  <c r="G41" i="2"/>
  <c r="G42" i="2" s="1"/>
  <c r="H39" i="2" s="1"/>
  <c r="K30" i="6" l="1"/>
  <c r="K31" i="6"/>
  <c r="L28" i="6" s="1"/>
  <c r="H41" i="2"/>
  <c r="H42" i="2" s="1"/>
  <c r="I39" i="2" s="1"/>
  <c r="L30" i="6" l="1"/>
  <c r="L31" i="6"/>
  <c r="M28" i="6" s="1"/>
  <c r="I41" i="2"/>
  <c r="I42" i="2" s="1"/>
  <c r="J39" i="2" s="1"/>
  <c r="M30" i="6" l="1"/>
  <c r="M31" i="6"/>
  <c r="N28" i="6" s="1"/>
  <c r="J41" i="2"/>
  <c r="J42" i="2" s="1"/>
  <c r="K39" i="2" s="1"/>
  <c r="N31" i="6" l="1"/>
  <c r="D57" i="6" s="1"/>
  <c r="D59" i="6" s="1"/>
  <c r="N30" i="6"/>
  <c r="K41" i="2"/>
  <c r="K42" i="2" s="1"/>
  <c r="L39" i="2" s="1"/>
  <c r="L41" i="2" l="1"/>
  <c r="L42" i="2" s="1"/>
  <c r="M39" i="2" s="1"/>
  <c r="M41" i="2" l="1"/>
  <c r="M42" i="2" s="1"/>
  <c r="N39" i="2" s="1"/>
  <c r="N41" i="2" l="1"/>
  <c r="N42" i="2" s="1"/>
  <c r="D67" i="2" s="1"/>
  <c r="D69" i="2" s="1"/>
  <c r="D71" i="2" s="1"/>
</calcChain>
</file>

<file path=xl/sharedStrings.xml><?xml version="1.0" encoding="utf-8"?>
<sst xmlns="http://schemas.openxmlformats.org/spreadsheetml/2006/main" count="323" uniqueCount="174">
  <si>
    <t>Client details</t>
  </si>
  <si>
    <t>Client A</t>
  </si>
  <si>
    <t>Balance (Rs, lac)</t>
  </si>
  <si>
    <t>Duration</t>
  </si>
  <si>
    <t>Pre-tax rate (LTM)</t>
  </si>
  <si>
    <t>Post tax return (LTM)</t>
  </si>
  <si>
    <t>Liquidity</t>
  </si>
  <si>
    <t>ASSETS</t>
  </si>
  <si>
    <t>Bank Accounts</t>
  </si>
  <si>
    <t>Bank Account 1</t>
  </si>
  <si>
    <t>Current</t>
  </si>
  <si>
    <t>daily</t>
  </si>
  <si>
    <t>Savings</t>
  </si>
  <si>
    <t>Fixed Deposit</t>
  </si>
  <si>
    <t>5 years</t>
  </si>
  <si>
    <t>Bank Account 2</t>
  </si>
  <si>
    <t>Bank Account 3</t>
  </si>
  <si>
    <t>Other Saving products (this list is going to be long)</t>
  </si>
  <si>
    <t>Tax free Infra Bonds</t>
  </si>
  <si>
    <t>Debentures</t>
  </si>
  <si>
    <t>Direct Equity</t>
  </si>
  <si>
    <t>Broker A</t>
  </si>
  <si>
    <t>Broker B</t>
  </si>
  <si>
    <t>Equity Funds</t>
  </si>
  <si>
    <t>Birla Sunlife</t>
  </si>
  <si>
    <t>ICIC Pru</t>
  </si>
  <si>
    <t>Provident Fund</t>
  </si>
  <si>
    <t>Property</t>
  </si>
  <si>
    <t>House Address</t>
  </si>
  <si>
    <t>Estimated value</t>
  </si>
  <si>
    <t>last transaction</t>
  </si>
  <si>
    <t>average price increase</t>
  </si>
  <si>
    <t>enter manually</t>
  </si>
  <si>
    <t>House Address 2</t>
  </si>
  <si>
    <t>Gold</t>
  </si>
  <si>
    <t>100 tola</t>
  </si>
  <si>
    <t>LIABILITIES</t>
  </si>
  <si>
    <t>Mortgage</t>
  </si>
  <si>
    <t>Credit Card Debt</t>
  </si>
  <si>
    <t>Other Loans</t>
  </si>
  <si>
    <t>CIBIL Credit History</t>
  </si>
  <si>
    <t>NET WORTH CALCULATION</t>
  </si>
  <si>
    <t>Goals</t>
  </si>
  <si>
    <t>Goal</t>
  </si>
  <si>
    <t>by when</t>
  </si>
  <si>
    <t>monthly saving required</t>
  </si>
  <si>
    <t>Children Education</t>
  </si>
  <si>
    <t>Vacation</t>
  </si>
  <si>
    <t>Retirement</t>
  </si>
  <si>
    <t>TYPICAL VARIABLES FOR OUR TARGET CLASS OF PEOPLE</t>
  </si>
  <si>
    <t>Salary (Net)</t>
  </si>
  <si>
    <t>Housing</t>
  </si>
  <si>
    <t>Utilities</t>
  </si>
  <si>
    <t>Groceries</t>
  </si>
  <si>
    <t>Education</t>
  </si>
  <si>
    <t>Transportation</t>
  </si>
  <si>
    <t>Car Loan</t>
  </si>
  <si>
    <t>Shopping</t>
  </si>
  <si>
    <t>Eating Out</t>
  </si>
  <si>
    <t>Personal Care</t>
  </si>
  <si>
    <t>Others</t>
  </si>
  <si>
    <t>Investment return assumption</t>
  </si>
  <si>
    <t>Inflation</t>
  </si>
  <si>
    <t>P&amp;L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</si>
  <si>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</si>
  <si>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</si>
  <si>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</si>
  <si>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</si>
  <si>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</si>
  <si>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</si>
  <si>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</si>
  <si>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</si>
  <si>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</si>
  <si>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</si>
  <si>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</si>
  <si>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Saving</t>
  </si>
  <si>
    <t>Balance Sheet</t>
  </si>
  <si>
    <t>Starting Saving</t>
  </si>
  <si>
    <t>New Saving</t>
  </si>
  <si>
    <t>Investment returns</t>
  </si>
  <si>
    <t>End Saving</t>
  </si>
  <si>
    <t>Amount</t>
  </si>
  <si>
    <t>Year</t>
  </si>
  <si>
    <t>FV</t>
  </si>
  <si>
    <t>Vacation per year</t>
  </si>
  <si>
    <t>House downpayment</t>
  </si>
  <si>
    <t>Wedding</t>
  </si>
  <si>
    <t>Cash Flow</t>
  </si>
  <si>
    <t>Bullet outflow</t>
  </si>
  <si>
    <t>Annual outflow</t>
  </si>
  <si>
    <t>Unplanned</t>
  </si>
  <si>
    <t>Total Outflow</t>
  </si>
  <si>
    <t>Funding Gap</t>
  </si>
  <si>
    <t>NPV of savings required tp balance</t>
  </si>
  <si>
    <t>Income</t>
  </si>
  <si>
    <t>cost/income</t>
  </si>
  <si>
    <t>possible saving</t>
  </si>
  <si>
    <t>NPV of saving</t>
  </si>
  <si>
    <t>GAP (NPV)</t>
  </si>
  <si>
    <t>Colour CODING</t>
  </si>
  <si>
    <t>Negative</t>
  </si>
  <si>
    <t>GAP %</t>
  </si>
  <si>
    <t>Value in the gauge</t>
  </si>
  <si>
    <t>between 0 to 10%</t>
  </si>
  <si>
    <t>greater than 10%</t>
  </si>
  <si>
    <t>formula is Value in gauge = 60+(Value - 10)/2</t>
  </si>
  <si>
    <t>Value in gauge = 40 + Actual Value *2</t>
  </si>
  <si>
    <t>Name</t>
  </si>
  <si>
    <t>Age</t>
  </si>
  <si>
    <t>Sex</t>
  </si>
  <si>
    <t>Married?</t>
  </si>
  <si>
    <t>Age Child 1</t>
  </si>
  <si>
    <t>Age Child 2</t>
  </si>
  <si>
    <t>Age Child 3</t>
  </si>
  <si>
    <t>Number of Children</t>
  </si>
  <si>
    <t>Total Debt</t>
  </si>
  <si>
    <t>CIBIL Score (if available)</t>
  </si>
  <si>
    <t>Total household Salary (Net)</t>
  </si>
  <si>
    <t>Spouse Name</t>
  </si>
  <si>
    <t>Cash</t>
  </si>
  <si>
    <t>Fixed Income</t>
  </si>
  <si>
    <t>Equities</t>
  </si>
  <si>
    <t>Real Estate</t>
  </si>
  <si>
    <t>EPF</t>
  </si>
  <si>
    <t>Other retirement funds</t>
  </si>
  <si>
    <t>Other</t>
  </si>
  <si>
    <t>TOTAL</t>
  </si>
  <si>
    <t>LT post tax return profile</t>
  </si>
  <si>
    <t>Post tax return profile</t>
  </si>
  <si>
    <t>Asset Allocation</t>
  </si>
  <si>
    <t>SAVING AND INVESTIMG</t>
  </si>
  <si>
    <t>GOAL 1</t>
  </si>
  <si>
    <t>EMI required</t>
  </si>
  <si>
    <t>GOAL 2</t>
  </si>
  <si>
    <t>GOAL 3</t>
  </si>
  <si>
    <t>5year</t>
  </si>
  <si>
    <t>10 year</t>
  </si>
  <si>
    <t>15 year</t>
  </si>
  <si>
    <t>20 year</t>
  </si>
  <si>
    <t>Bank FD</t>
  </si>
  <si>
    <t>CAGR in WPI Index</t>
  </si>
  <si>
    <t>Avg inflation for the period</t>
  </si>
  <si>
    <t>source :MS</t>
  </si>
  <si>
    <t>Pre-retirement income</t>
  </si>
  <si>
    <t>Retirement income required</t>
  </si>
  <si>
    <t>Investment yield</t>
  </si>
  <si>
    <t>Corpus required</t>
  </si>
  <si>
    <t>Asset Alloc</t>
  </si>
  <si>
    <t>100% debt</t>
  </si>
  <si>
    <t>70% debt/ 30% Equity</t>
  </si>
  <si>
    <t>50/50</t>
  </si>
  <si>
    <t>30/70</t>
  </si>
  <si>
    <t>GOAL 4</t>
  </si>
  <si>
    <t>Retirement income</t>
  </si>
  <si>
    <t>Total for all goals</t>
  </si>
  <si>
    <t>Total Salary</t>
  </si>
  <si>
    <t>Total fixed expenses</t>
  </si>
  <si>
    <t>Total savings</t>
  </si>
  <si>
    <t>Your goals are inconsistent with what you are earning</t>
  </si>
  <si>
    <t>Please prioritise</t>
  </si>
  <si>
    <t>eg</t>
  </si>
  <si>
    <t>Do you need to own your house or could you rent</t>
  </si>
  <si>
    <t>rent vs owning</t>
  </si>
  <si>
    <t>Retirement planning</t>
  </si>
  <si>
    <t>Can you work part time and reduce your retirement requirements</t>
  </si>
  <si>
    <t>Back calculate</t>
  </si>
  <si>
    <t>House</t>
  </si>
  <si>
    <t>10 yrs</t>
  </si>
  <si>
    <t>5 yrs</t>
  </si>
  <si>
    <t>19 yrs</t>
  </si>
  <si>
    <t>% Goal achieved</t>
  </si>
  <si>
    <t>Savings (per month)</t>
  </si>
  <si>
    <t>years required to achieve goal</t>
  </si>
  <si>
    <t>current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</si>
</sst>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£&quot;#,##0.00;[Red]\-&quot;£&quot;#,##0.00"/>
    <numFmt numFmtId="43" formatCode="_-* #,##0.00_-;\-* #,##0.00_-;_-* &quot;-&quot;??_-;_-@_-"/>
    <numFmt numFmtId="164" formatCode="_-* #,##0_-;\-* #,##0_-;_-* &quot;-&quot;?_-;_-@_-"/>
    <numFmt numFmtId="165" formatCode="_-* #,##0.0_-;\-* #,##0.0_-;_-* &quot;-&quot;?_-;_-@_-"/>
    <numFmt numFmtId="166" formatCode="_-* #,##0_-;\-* #,##0_-;_-* &quot;-&quot;??_-;_-@_-"/>
    <numFmt numFmtId="167" formatCode="[$₹-4009]\ #,##0.00;[Red][$₹-4009]\ \-#,##0.00"/>
    <numFmt numFmtId="168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9" fontId="0" fillId="0" borderId="0" xfId="0" applyNumberFormat="1"/>
    <xf numFmtId="9" fontId="0" fillId="0" borderId="0" xfId="2" applyFont="1"/>
    <xf numFmtId="17" fontId="0" fillId="0" borderId="0" xfId="0" applyNumberFormat="1"/>
    <xf numFmtId="9" fontId="3" fillId="0" borderId="0" xfId="2" applyFont="1"/>
    <xf numFmtId="9" fontId="3" fillId="0" borderId="0" xfId="0" applyNumberFormat="1" applyFont="1"/>
    <xf numFmtId="0" fontId="4" fillId="2" borderId="0" xfId="0" applyFont="1" applyFill="1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0" fontId="2" fillId="0" borderId="1" xfId="0" applyFont="1" applyBorder="1"/>
    <xf numFmtId="165" fontId="2" fillId="0" borderId="1" xfId="0" applyNumberFormat="1" applyFont="1" applyBorder="1"/>
    <xf numFmtId="164" fontId="2" fillId="0" borderId="1" xfId="0" applyNumberFormat="1" applyFont="1" applyBorder="1"/>
    <xf numFmtId="166" fontId="0" fillId="0" borderId="0" xfId="1" applyNumberFormat="1" applyFont="1"/>
    <xf numFmtId="0" fontId="2" fillId="3" borderId="0" xfId="0" applyFont="1" applyFill="1"/>
    <xf numFmtId="164" fontId="2" fillId="3" borderId="0" xfId="0" applyNumberFormat="1" applyFont="1" applyFill="1"/>
    <xf numFmtId="167" fontId="2" fillId="0" borderId="0" xfId="0" applyNumberFormat="1" applyFont="1"/>
    <xf numFmtId="168" fontId="0" fillId="0" borderId="0" xfId="2" applyNumberFormat="1" applyFont="1"/>
    <xf numFmtId="168" fontId="0" fillId="0" borderId="0" xfId="0" applyNumberFormat="1"/>
    <xf numFmtId="43" fontId="0" fillId="0" borderId="0" xfId="0" applyNumberFormat="1"/>
    <xf numFmtId="8" fontId="0" fillId="0" borderId="0" xfId="0" applyNumberFormat="1"/>
    <xf numFmtId="10" fontId="0" fillId="0" borderId="0" xfId="0" applyNumberFormat="1"/>
    <xf numFmtId="168" fontId="2" fillId="0" borderId="0" xfId="2" applyNumberFormat="1" applyFont="1"/>
    <xf numFmtId="9" fontId="2" fillId="0" borderId="0" xfId="0" applyNumberFormat="1" applyFont="1"/>
    <xf numFmtId="166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576262</xdr:colOff>
      <xdr:row>1</xdr:row>
      <xdr:rowOff>66674</xdr:rowOff>
    </xdr:from>
    <xdr:to>
      <xdr:col>10</xdr:col>
      <xdr:colOff>292893</xdr:colOff>
      <xdr:row>17</xdr:row>
      <xdr:rowOff>135729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 title="Gauge"/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 title="Gauge"/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42862</xdr:rowOff>
    </xdr:from>
    <xdr:to>
      <xdr:col>8</xdr:col>
      <xdr:colOff>633298</xdr:colOff>
      <xdr:row>29</xdr:row>
      <xdr:rowOff>152399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223837"/>
          <a:ext cx="5148148" cy="51768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481938981b4ac2d/Fintech/Business%20Plans/INTERNAL%20ONLY%20--%20Product%20Features%20and%20Spe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P Distribution platform"/>
      <sheetName val="Internal processes"/>
      <sheetName val="Charts"/>
      <sheetName val="Sheet2"/>
      <sheetName val="Planning tool"/>
      <sheetName val="Personal P&amp;L"/>
      <sheetName val="Inv Returns calc"/>
      <sheetName val="Personal BS"/>
    </sheetNames>
    <sheetDataSet>
      <sheetData sheetId="0"/>
      <sheetData sheetId="1"/>
      <sheetData sheetId="2"/>
      <sheetData sheetId="3"/>
      <sheetData sheetId="4"/>
      <sheetData sheetId="5"/>
      <sheetData sheetId="6">
        <row r="19">
          <cell r="S19">
            <v>0.04</v>
          </cell>
        </row>
        <row r="20">
          <cell r="S20">
            <v>7.8819362500000018E-2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webextension1.xml><?xml version="1.0" encoding="utf-8"?>
<we:webextension xmlns:we="http://schemas.microsoft.com/office/webextensions/webextension/2010/11" id="{C1757006-9FBF-421E-91BA-A9C3A62C464A}">
  <we:reference id="wa103524919" version="1.0.0.0" store="en-US" storeType="OMEX"/>
  <we:alternateReferences>
    <we:reference id="wa103524919" version="1.0.0.0" store="wa103524919" storeType="OMEX"/>
  </we:alternateReferences>
  <we:properties/>
  <we:bindings>
    <we:binding id="gauge_binding" type="matrix" appref="{ACA887AB-9260-4FA9-A722-718819945F13}"/>
  </we:bindings>
  <we:snapshot xmlns:r="http://schemas.openxmlformats.org/officeDocument/2006/relationships" r:embed="rId1"/>
</we:webextension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9"/>
  <sheetViews>
    <sheetView topLeftCell="A15" workbookViewId="0">
      <selection activeCell="A6" sqref="A6:XFD6"/>
    </sheetView>
  </sheetViews>
  <sheetFormatPr defaultRowHeight="14.25" x14ac:dyDescent="0.45"/>
  <sheetData>
    <row r="2" spans="1:10" x14ac:dyDescent="0.45">
      <c r="C2" t="s">
        <v>0</v>
      </c>
    </row>
    <row r="4" spans="1:10" x14ac:dyDescent="0.45">
      <c r="A4" t="s">
        <v>1</v>
      </c>
      <c r="E4" t="s">
        <v>2</v>
      </c>
      <c r="F4" t="s">
        <v>3</v>
      </c>
      <c r="G4" t="s">
        <v>4</v>
      </c>
      <c r="H4" t="s">
        <v>5</v>
      </c>
      <c r="J4" t="s">
        <v>6</v>
      </c>
    </row>
    <row r="6" spans="1:10" s="7" customFormat="1" x14ac:dyDescent="0.45">
      <c r="A6" s="7" t="s">
        <v>7</v>
      </c>
    </row>
    <row r="7" spans="1:10" x14ac:dyDescent="0.45">
      <c r="B7" t="s">
        <v>8</v>
      </c>
    </row>
    <row r="8" spans="1:10" x14ac:dyDescent="0.45">
      <c r="C8" t="s">
        <v>9</v>
      </c>
      <c r="E8">
        <v>10</v>
      </c>
    </row>
    <row r="9" spans="1:10" x14ac:dyDescent="0.45">
      <c r="D9" t="s">
        <v>10</v>
      </c>
      <c r="G9" s="1">
        <v>0.05</v>
      </c>
      <c r="H9" s="2">
        <f>G9*0.7</f>
        <v>3.4999999999999996E-2</v>
      </c>
      <c r="J9" t="s">
        <v>11</v>
      </c>
    </row>
    <row r="10" spans="1:10" x14ac:dyDescent="0.45">
      <c r="D10" t="s">
        <v>12</v>
      </c>
      <c r="G10" s="1">
        <v>0.08</v>
      </c>
      <c r="H10" s="2">
        <f t="shared" ref="H10:H19" si="0">G10*0.7</f>
        <v>5.5999999999999994E-2</v>
      </c>
      <c r="J10" t="s">
        <v>11</v>
      </c>
    </row>
    <row r="11" spans="1:10" x14ac:dyDescent="0.45">
      <c r="D11" t="s">
        <v>13</v>
      </c>
      <c r="G11" s="1">
        <v>0.09</v>
      </c>
      <c r="H11" s="2">
        <f t="shared" si="0"/>
        <v>6.3E-2</v>
      </c>
      <c r="J11" t="s">
        <v>14</v>
      </c>
    </row>
    <row r="12" spans="1:10" x14ac:dyDescent="0.45">
      <c r="C12" t="s">
        <v>15</v>
      </c>
      <c r="E12">
        <v>5</v>
      </c>
      <c r="H12" s="2"/>
    </row>
    <row r="13" spans="1:10" x14ac:dyDescent="0.45">
      <c r="D13" t="s">
        <v>10</v>
      </c>
      <c r="G13" s="1">
        <v>0.05</v>
      </c>
      <c r="H13" s="2">
        <f t="shared" si="0"/>
        <v>3.4999999999999996E-2</v>
      </c>
    </row>
    <row r="14" spans="1:10" x14ac:dyDescent="0.45">
      <c r="D14" t="s">
        <v>12</v>
      </c>
      <c r="G14" s="1">
        <v>0.08</v>
      </c>
      <c r="H14" s="2">
        <f t="shared" si="0"/>
        <v>5.5999999999999994E-2</v>
      </c>
    </row>
    <row r="15" spans="1:10" x14ac:dyDescent="0.45">
      <c r="D15" t="s">
        <v>13</v>
      </c>
      <c r="G15" s="1">
        <v>0.09</v>
      </c>
      <c r="H15" s="2">
        <f t="shared" si="0"/>
        <v>6.3E-2</v>
      </c>
    </row>
    <row r="16" spans="1:10" x14ac:dyDescent="0.45">
      <c r="C16" t="s">
        <v>16</v>
      </c>
      <c r="E16">
        <v>10</v>
      </c>
      <c r="H16" s="2"/>
    </row>
    <row r="17" spans="2:8" x14ac:dyDescent="0.45">
      <c r="D17" t="s">
        <v>10</v>
      </c>
      <c r="G17" s="1">
        <v>0.05</v>
      </c>
      <c r="H17" s="2">
        <f t="shared" si="0"/>
        <v>3.4999999999999996E-2</v>
      </c>
    </row>
    <row r="18" spans="2:8" x14ac:dyDescent="0.45">
      <c r="D18" t="s">
        <v>12</v>
      </c>
      <c r="G18" s="1">
        <v>0.08</v>
      </c>
      <c r="H18" s="2">
        <f t="shared" si="0"/>
        <v>5.5999999999999994E-2</v>
      </c>
    </row>
    <row r="19" spans="2:8" x14ac:dyDescent="0.45">
      <c r="D19" t="s">
        <v>13</v>
      </c>
      <c r="G19" s="1">
        <v>0.09</v>
      </c>
      <c r="H19" s="2">
        <f t="shared" si="0"/>
        <v>6.3E-2</v>
      </c>
    </row>
    <row r="22" spans="2:8" x14ac:dyDescent="0.45">
      <c r="B22" t="s">
        <v>17</v>
      </c>
    </row>
    <row r="24" spans="2:8" x14ac:dyDescent="0.45">
      <c r="C24" t="s">
        <v>18</v>
      </c>
      <c r="E24">
        <v>20</v>
      </c>
      <c r="G24" s="1">
        <v>0.08</v>
      </c>
      <c r="H24" s="1">
        <v>0.08</v>
      </c>
    </row>
    <row r="25" spans="2:8" x14ac:dyDescent="0.45">
      <c r="C25" t="s">
        <v>19</v>
      </c>
      <c r="E25">
        <v>10</v>
      </c>
      <c r="G25" s="1">
        <v>0.12</v>
      </c>
      <c r="H25" s="1">
        <v>0.09</v>
      </c>
    </row>
    <row r="27" spans="2:8" x14ac:dyDescent="0.45">
      <c r="B27" t="s">
        <v>20</v>
      </c>
    </row>
    <row r="28" spans="2:8" x14ac:dyDescent="0.45">
      <c r="C28" t="s">
        <v>21</v>
      </c>
      <c r="E28">
        <v>10</v>
      </c>
      <c r="G28" s="1">
        <v>-0.05</v>
      </c>
      <c r="H28" s="1">
        <v>-0.05</v>
      </c>
    </row>
    <row r="29" spans="2:8" x14ac:dyDescent="0.45">
      <c r="C29" t="s">
        <v>22</v>
      </c>
      <c r="E29">
        <v>5</v>
      </c>
      <c r="G29">
        <v>0</v>
      </c>
      <c r="H29" s="1">
        <v>0</v>
      </c>
    </row>
    <row r="31" spans="2:8" x14ac:dyDescent="0.45">
      <c r="B31" t="s">
        <v>23</v>
      </c>
    </row>
    <row r="32" spans="2:8" x14ac:dyDescent="0.45">
      <c r="C32" t="s">
        <v>24</v>
      </c>
      <c r="E32">
        <v>10</v>
      </c>
      <c r="G32" s="1">
        <v>0.05</v>
      </c>
      <c r="H32" s="1">
        <f>G32*0.7</f>
        <v>3.4999999999999996E-2</v>
      </c>
    </row>
    <row r="33" spans="1:17" x14ac:dyDescent="0.45">
      <c r="C33" t="s">
        <v>25</v>
      </c>
      <c r="G33" s="1">
        <v>0.04</v>
      </c>
      <c r="H33" s="1">
        <f>G33*0.7</f>
        <v>2.7999999999999997E-2</v>
      </c>
    </row>
    <row r="35" spans="1:17" x14ac:dyDescent="0.45">
      <c r="B35" t="s">
        <v>26</v>
      </c>
    </row>
    <row r="36" spans="1:17" x14ac:dyDescent="0.45">
      <c r="E36">
        <v>40</v>
      </c>
      <c r="G36" s="1">
        <v>0.08</v>
      </c>
      <c r="H36" s="1">
        <v>0.08</v>
      </c>
    </row>
    <row r="38" spans="1:17" x14ac:dyDescent="0.45">
      <c r="B38" t="s">
        <v>27</v>
      </c>
    </row>
    <row r="39" spans="1:17" x14ac:dyDescent="0.45">
      <c r="C39" t="s">
        <v>28</v>
      </c>
      <c r="E39">
        <v>200</v>
      </c>
      <c r="G39" s="1">
        <v>0.1</v>
      </c>
      <c r="H39" s="1">
        <f>G39*0.7</f>
        <v>6.9999999999999993E-2</v>
      </c>
      <c r="J39" t="s">
        <v>29</v>
      </c>
      <c r="L39" t="s">
        <v>30</v>
      </c>
      <c r="N39" t="s">
        <v>31</v>
      </c>
      <c r="Q39" t="s">
        <v>32</v>
      </c>
    </row>
    <row r="40" spans="1:17" x14ac:dyDescent="0.45">
      <c r="C40" t="s">
        <v>33</v>
      </c>
      <c r="E40">
        <v>100</v>
      </c>
      <c r="G40" s="1">
        <v>0.08</v>
      </c>
      <c r="H40" s="1">
        <f>G40*0.7</f>
        <v>5.5999999999999994E-2</v>
      </c>
      <c r="J40" t="s">
        <v>29</v>
      </c>
    </row>
    <row r="42" spans="1:17" x14ac:dyDescent="0.45">
      <c r="B42" t="s">
        <v>34</v>
      </c>
    </row>
    <row r="43" spans="1:17" x14ac:dyDescent="0.45">
      <c r="C43" t="s">
        <v>35</v>
      </c>
      <c r="E43">
        <v>20</v>
      </c>
      <c r="G43" s="1">
        <v>0.04</v>
      </c>
      <c r="H43" s="1">
        <v>0.04</v>
      </c>
    </row>
    <row r="45" spans="1:17" s="7" customFormat="1" x14ac:dyDescent="0.45">
      <c r="A45" s="7" t="s">
        <v>36</v>
      </c>
    </row>
    <row r="46" spans="1:17" x14ac:dyDescent="0.45">
      <c r="B46" t="s">
        <v>37</v>
      </c>
      <c r="E46">
        <v>150</v>
      </c>
    </row>
    <row r="48" spans="1:17" x14ac:dyDescent="0.45">
      <c r="B48" t="s">
        <v>38</v>
      </c>
      <c r="E48">
        <v>0</v>
      </c>
    </row>
    <row r="50" spans="1:9" x14ac:dyDescent="0.45">
      <c r="B50" t="s">
        <v>39</v>
      </c>
      <c r="E50">
        <v>20</v>
      </c>
    </row>
    <row r="52" spans="1:9" x14ac:dyDescent="0.45">
      <c r="B52" t="s">
        <v>40</v>
      </c>
    </row>
    <row r="54" spans="1:9" s="7" customFormat="1" x14ac:dyDescent="0.45">
      <c r="A54" s="7" t="s">
        <v>41</v>
      </c>
      <c r="E54" s="7">
        <f>SUM(E8:E43)-SUM(E46:E50)</f>
        <v>270</v>
      </c>
    </row>
    <row r="56" spans="1:9" x14ac:dyDescent="0.45">
      <c r="A56" t="s">
        <v>42</v>
      </c>
      <c r="E56" t="s">
        <v>43</v>
      </c>
      <c r="G56" t="s">
        <v>44</v>
      </c>
      <c r="I56" t="s">
        <v>45</v>
      </c>
    </row>
    <row r="57" spans="1:9" x14ac:dyDescent="0.45">
      <c r="B57" t="s">
        <v>46</v>
      </c>
      <c r="E57">
        <v>25</v>
      </c>
      <c r="G57">
        <v>2020</v>
      </c>
    </row>
    <row r="58" spans="1:9" x14ac:dyDescent="0.45">
      <c r="B58" t="s">
        <v>47</v>
      </c>
      <c r="E58">
        <v>5</v>
      </c>
      <c r="G58" s="3">
        <v>42705</v>
      </c>
    </row>
    <row r="59" spans="1:9" x14ac:dyDescent="0.45">
      <c r="B59" t="s">
        <v>48</v>
      </c>
      <c r="E59">
        <f>12*20</f>
        <v>240</v>
      </c>
      <c r="G59">
        <v>2035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5"/>
  <sheetViews>
    <sheetView topLeftCell="A15" zoomScaleNormal="145" workbookViewId="0">
      <selection activeCell="N23" sqref="N23"/>
    </sheetView>
  </sheetViews>
  <sheetFormatPr defaultRowHeight="14.25" x14ac:dyDescent="0.45"/>
  <cols>
    <col min="2" max="2" width="15.73046875" bestFit="1" customWidth="1"/>
    <col min="4" max="4" width="13.3984375" bestFit="1" customWidth="1"/>
    <col min="5" max="5" width="9.86328125" bestFit="1" customWidth="1"/>
    <col min="6" max="6" width="10.86328125" bestFit="1" customWidth="1"/>
    <col min="7" max="7" width="12.33203125" bestFit="1" customWidth="1"/>
    <col min="8" max="14" width="10.86328125" bestFit="1" customWidth="1"/>
  </cols>
  <sheetData>
    <row r="2" spans="1:4" x14ac:dyDescent="0.45">
      <c r="A2" t="s">
        <v>49</v>
      </c>
    </row>
    <row r="3" spans="1:4" x14ac:dyDescent="0.45">
      <c r="B3" t="s">
        <v>50</v>
      </c>
      <c r="D3" s="4">
        <v>0.1</v>
      </c>
    </row>
    <row r="4" spans="1:4" x14ac:dyDescent="0.45">
      <c r="D4" s="4"/>
    </row>
    <row r="5" spans="1:4" x14ac:dyDescent="0.45">
      <c r="B5" t="s">
        <v>51</v>
      </c>
      <c r="D5" s="4">
        <v>0.05</v>
      </c>
    </row>
    <row r="6" spans="1:4" x14ac:dyDescent="0.45">
      <c r="B6" t="s">
        <v>52</v>
      </c>
      <c r="D6" s="4">
        <v>0.05</v>
      </c>
    </row>
    <row r="7" spans="1:4" x14ac:dyDescent="0.45">
      <c r="B7" t="s">
        <v>53</v>
      </c>
      <c r="D7" s="4">
        <v>7.0000000000000007E-2</v>
      </c>
    </row>
    <row r="8" spans="1:4" x14ac:dyDescent="0.45">
      <c r="B8" t="s">
        <v>54</v>
      </c>
      <c r="D8" s="4">
        <v>0.1</v>
      </c>
    </row>
    <row r="9" spans="1:4" x14ac:dyDescent="0.45">
      <c r="B9" t="s">
        <v>55</v>
      </c>
      <c r="D9" s="4">
        <v>0.05</v>
      </c>
    </row>
    <row r="10" spans="1:4" x14ac:dyDescent="0.45">
      <c r="B10" t="s">
        <v>56</v>
      </c>
      <c r="D10" s="4">
        <v>0</v>
      </c>
    </row>
    <row r="11" spans="1:4" x14ac:dyDescent="0.45">
      <c r="B11" t="s">
        <v>57</v>
      </c>
      <c r="D11" s="4">
        <v>0.1</v>
      </c>
    </row>
    <row r="12" spans="1:4" x14ac:dyDescent="0.45">
      <c r="B12" t="s">
        <v>58</v>
      </c>
      <c r="D12" s="4">
        <v>0.1</v>
      </c>
    </row>
    <row r="13" spans="1:4" x14ac:dyDescent="0.45">
      <c r="B13" t="s">
        <v>59</v>
      </c>
      <c r="D13" s="4">
        <v>0.1</v>
      </c>
    </row>
    <row r="14" spans="1:4" x14ac:dyDescent="0.45">
      <c r="B14" t="s">
        <v>60</v>
      </c>
      <c r="D14" s="4">
        <v>0</v>
      </c>
    </row>
    <row r="16" spans="1:4" x14ac:dyDescent="0.45">
      <c r="B16" t="s">
        <v>61</v>
      </c>
      <c r="D16" s="1">
        <f>'[1]Inv Returns calc'!S20</f>
        <v>7.8819362500000018E-2</v>
      </c>
    </row>
    <row r="17" spans="2:14" x14ac:dyDescent="0.45">
      <c r="B17" t="s">
        <v>62</v>
      </c>
      <c r="D17" s="5">
        <v>0.06</v>
      </c>
    </row>
    <row r="22" spans="2:14" s="7" customFormat="1" x14ac:dyDescent="0.45">
      <c r="B22" s="6" t="s">
        <v>63</v>
      </c>
      <c r="C22" s="6"/>
      <c r="D22" s="6" t="s">
        <v>64</v>
      </c>
      <c r="E22" s="6" t="s">
        <v>65</v>
      </c>
      <c r="F22" s="6" t="s">
        <v>66</v>
      </c>
      <c r="G22" s="6" t="s">
        <v>67</v>
      </c>
      <c r="H22" s="6" t="s">
        <v>68</v>
      </c>
      <c r="I22" s="6" t="s">
        <v>69</v>
      </c>
      <c r="J22" s="6" t="s">
        <v>70</v>
      </c>
      <c r="K22" s="6" t="s">
        <v>71</v>
      </c>
      <c r="L22" s="6" t="s">
        <v>72</v>
      </c>
      <c r="M22" s="6" t="s">
        <v>73</v>
      </c>
      <c r="N22" s="6" t="s">
        <v>74</v>
      </c>
    </row>
    <row r="23" spans="2:14" x14ac:dyDescent="0.45">
      <c r="B23" t="s">
        <v>50</v>
      </c>
      <c r="D23" s="8">
        <v>90000</v>
      </c>
      <c r="E23" s="8">
        <f>D23*(1+$D3)</f>
        <v>99000.000000000015</v>
      </c>
      <c r="F23" s="8">
        <f t="shared" ref="F23:N23" si="0">E23*(1+$D3)</f>
        <v>108900.00000000003</v>
      </c>
      <c r="G23" s="8">
        <f t="shared" si="0"/>
        <v>119790.00000000004</v>
      </c>
      <c r="H23" s="8">
        <f t="shared" si="0"/>
        <v>131769.00000000006</v>
      </c>
      <c r="I23" s="8">
        <f t="shared" si="0"/>
        <v>144945.90000000008</v>
      </c>
      <c r="J23" s="8">
        <f t="shared" si="0"/>
        <v>159440.49000000011</v>
      </c>
      <c r="K23" s="8">
        <f t="shared" si="0"/>
        <v>175384.53900000014</v>
      </c>
      <c r="L23" s="8">
        <f t="shared" si="0"/>
        <v>192922.99290000016</v>
      </c>
      <c r="M23" s="8">
        <f t="shared" si="0"/>
        <v>212215.29219000018</v>
      </c>
      <c r="N23" s="8">
        <f t="shared" si="0"/>
        <v>233436.82140900023</v>
      </c>
    </row>
    <row r="24" spans="2:14" x14ac:dyDescent="0.45"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pans="2:14" x14ac:dyDescent="0.45">
      <c r="B25" t="s">
        <v>51</v>
      </c>
      <c r="D25" s="8">
        <v>20000</v>
      </c>
      <c r="E25" s="8">
        <f t="shared" ref="E25:N34" si="1">D25*(1+$D5)</f>
        <v>21000</v>
      </c>
      <c r="F25" s="8">
        <f t="shared" si="1"/>
        <v>22050</v>
      </c>
      <c r="G25" s="8">
        <f t="shared" si="1"/>
        <v>23152.5</v>
      </c>
      <c r="H25" s="8">
        <f t="shared" si="1"/>
        <v>24310.125</v>
      </c>
      <c r="I25" s="8">
        <f t="shared" si="1"/>
        <v>25525.631250000002</v>
      </c>
      <c r="J25" s="8">
        <f t="shared" si="1"/>
        <v>26801.912812500002</v>
      </c>
      <c r="K25" s="8">
        <f t="shared" si="1"/>
        <v>28142.008453125003</v>
      </c>
      <c r="L25" s="8">
        <f t="shared" si="1"/>
        <v>29549.108875781254</v>
      </c>
      <c r="M25" s="8">
        <f t="shared" si="1"/>
        <v>31026.56431957032</v>
      </c>
      <c r="N25" s="8">
        <f t="shared" si="1"/>
        <v>32577.892535548835</v>
      </c>
    </row>
    <row r="26" spans="2:14" x14ac:dyDescent="0.45">
      <c r="B26" t="s">
        <v>52</v>
      </c>
      <c r="D26" s="8">
        <v>10000</v>
      </c>
      <c r="E26" s="8">
        <f t="shared" si="1"/>
        <v>10500</v>
      </c>
      <c r="F26" s="8">
        <f t="shared" si="1"/>
        <v>11025</v>
      </c>
      <c r="G26" s="8">
        <f t="shared" si="1"/>
        <v>11576.25</v>
      </c>
      <c r="H26" s="8">
        <f t="shared" si="1"/>
        <v>12155.0625</v>
      </c>
      <c r="I26" s="8">
        <f t="shared" si="1"/>
        <v>12762.815625000001</v>
      </c>
      <c r="J26" s="8">
        <f t="shared" si="1"/>
        <v>13400.956406250001</v>
      </c>
      <c r="K26" s="8">
        <f t="shared" si="1"/>
        <v>14071.004226562502</v>
      </c>
      <c r="L26" s="8">
        <f t="shared" si="1"/>
        <v>14774.554437890627</v>
      </c>
      <c r="M26" s="8">
        <f t="shared" si="1"/>
        <v>15513.28215978516</v>
      </c>
      <c r="N26" s="8">
        <f t="shared" si="1"/>
        <v>16288.946267774418</v>
      </c>
    </row>
    <row r="27" spans="2:14" x14ac:dyDescent="0.45">
      <c r="B27" t="s">
        <v>53</v>
      </c>
      <c r="D27" s="8">
        <v>10000</v>
      </c>
      <c r="E27" s="8">
        <f t="shared" si="1"/>
        <v>10700</v>
      </c>
      <c r="F27" s="8">
        <f t="shared" si="1"/>
        <v>11449</v>
      </c>
      <c r="G27" s="8">
        <f t="shared" si="1"/>
        <v>12250.43</v>
      </c>
      <c r="H27" s="8">
        <f t="shared" si="1"/>
        <v>13107.9601</v>
      </c>
      <c r="I27" s="8">
        <f t="shared" si="1"/>
        <v>14025.517307000002</v>
      </c>
      <c r="J27" s="8">
        <f t="shared" si="1"/>
        <v>15007.303518490004</v>
      </c>
      <c r="K27" s="8">
        <f t="shared" si="1"/>
        <v>16057.814764784305</v>
      </c>
      <c r="L27" s="8">
        <f t="shared" si="1"/>
        <v>17181.861798319209</v>
      </c>
      <c r="M27" s="8">
        <f t="shared" si="1"/>
        <v>18384.592124201554</v>
      </c>
      <c r="N27" s="8">
        <f t="shared" si="1"/>
        <v>19671.513572895663</v>
      </c>
    </row>
    <row r="28" spans="2:14" x14ac:dyDescent="0.45">
      <c r="B28" t="s">
        <v>54</v>
      </c>
      <c r="D28" s="8">
        <v>10000</v>
      </c>
      <c r="E28" s="8">
        <f t="shared" si="1"/>
        <v>11000</v>
      </c>
      <c r="F28" s="8">
        <f t="shared" si="1"/>
        <v>12100.000000000002</v>
      </c>
      <c r="G28" s="8">
        <f t="shared" si="1"/>
        <v>13310.000000000004</v>
      </c>
      <c r="H28" s="8">
        <f t="shared" si="1"/>
        <v>14641.000000000005</v>
      </c>
      <c r="I28" s="8">
        <f t="shared" si="1"/>
        <v>16105.100000000008</v>
      </c>
      <c r="J28" s="8">
        <f t="shared" si="1"/>
        <v>17715.610000000011</v>
      </c>
      <c r="K28" s="8">
        <f t="shared" si="1"/>
        <v>19487.171000000013</v>
      </c>
      <c r="L28" s="8">
        <f t="shared" si="1"/>
        <v>21435.888100000015</v>
      </c>
      <c r="M28" s="8">
        <f t="shared" si="1"/>
        <v>23579.476910000019</v>
      </c>
      <c r="N28" s="8">
        <f t="shared" si="1"/>
        <v>25937.424601000024</v>
      </c>
    </row>
    <row r="29" spans="2:14" x14ac:dyDescent="0.45">
      <c r="B29" t="s">
        <v>55</v>
      </c>
      <c r="D29" s="8">
        <v>15000</v>
      </c>
      <c r="E29" s="8">
        <f t="shared" si="1"/>
        <v>15750</v>
      </c>
      <c r="F29" s="8">
        <f t="shared" si="1"/>
        <v>16537.5</v>
      </c>
      <c r="G29" s="8">
        <f t="shared" si="1"/>
        <v>17364.375</v>
      </c>
      <c r="H29" s="8">
        <f t="shared" si="1"/>
        <v>18232.59375</v>
      </c>
      <c r="I29" s="8">
        <f t="shared" si="1"/>
        <v>19144.223437500001</v>
      </c>
      <c r="J29" s="8">
        <f t="shared" si="1"/>
        <v>20101.434609375003</v>
      </c>
      <c r="K29" s="8">
        <f t="shared" si="1"/>
        <v>21106.506339843752</v>
      </c>
      <c r="L29" s="8">
        <f t="shared" si="1"/>
        <v>22161.831656835941</v>
      </c>
      <c r="M29" s="8">
        <f t="shared" si="1"/>
        <v>23269.923239677737</v>
      </c>
      <c r="N29" s="8">
        <f t="shared" si="1"/>
        <v>24433.419401661624</v>
      </c>
    </row>
    <row r="30" spans="2:14" x14ac:dyDescent="0.45">
      <c r="B30" t="s">
        <v>56</v>
      </c>
      <c r="D30" s="8">
        <v>6000</v>
      </c>
      <c r="E30" s="8">
        <f t="shared" si="1"/>
        <v>6000</v>
      </c>
      <c r="F30" s="8">
        <f t="shared" si="1"/>
        <v>6000</v>
      </c>
      <c r="G30" s="8">
        <f t="shared" si="1"/>
        <v>6000</v>
      </c>
      <c r="H30" s="8">
        <f t="shared" si="1"/>
        <v>6000</v>
      </c>
      <c r="I30" s="8">
        <f t="shared" si="1"/>
        <v>6000</v>
      </c>
      <c r="J30" s="8">
        <f t="shared" si="1"/>
        <v>6000</v>
      </c>
      <c r="K30" s="8">
        <f t="shared" si="1"/>
        <v>6000</v>
      </c>
      <c r="L30" s="8">
        <f t="shared" si="1"/>
        <v>6000</v>
      </c>
      <c r="M30" s="8">
        <f t="shared" si="1"/>
        <v>6000</v>
      </c>
      <c r="N30" s="8">
        <f t="shared" si="1"/>
        <v>6000</v>
      </c>
    </row>
    <row r="31" spans="2:14" x14ac:dyDescent="0.45">
      <c r="B31" t="s">
        <v>57</v>
      </c>
      <c r="D31" s="8">
        <v>10000</v>
      </c>
      <c r="E31" s="8">
        <f t="shared" si="1"/>
        <v>11000</v>
      </c>
      <c r="F31" s="8">
        <f t="shared" si="1"/>
        <v>12100.000000000002</v>
      </c>
      <c r="G31" s="8">
        <f t="shared" si="1"/>
        <v>13310.000000000004</v>
      </c>
      <c r="H31" s="8">
        <f t="shared" si="1"/>
        <v>14641.000000000005</v>
      </c>
      <c r="I31" s="8">
        <f t="shared" si="1"/>
        <v>16105.100000000008</v>
      </c>
      <c r="J31" s="8">
        <f t="shared" si="1"/>
        <v>17715.610000000011</v>
      </c>
      <c r="K31" s="8">
        <f t="shared" si="1"/>
        <v>19487.171000000013</v>
      </c>
      <c r="L31" s="8">
        <f t="shared" si="1"/>
        <v>21435.888100000015</v>
      </c>
      <c r="M31" s="8">
        <f t="shared" si="1"/>
        <v>23579.476910000019</v>
      </c>
      <c r="N31" s="8">
        <f t="shared" si="1"/>
        <v>25937.424601000024</v>
      </c>
    </row>
    <row r="32" spans="2:14" x14ac:dyDescent="0.45">
      <c r="B32" t="s">
        <v>58</v>
      </c>
      <c r="D32" s="8">
        <v>5000</v>
      </c>
      <c r="E32" s="8">
        <f t="shared" si="1"/>
        <v>5500</v>
      </c>
      <c r="F32" s="8">
        <f t="shared" si="1"/>
        <v>6050.0000000000009</v>
      </c>
      <c r="G32" s="8">
        <f t="shared" si="1"/>
        <v>6655.0000000000018</v>
      </c>
      <c r="H32" s="8">
        <f t="shared" si="1"/>
        <v>7320.5000000000027</v>
      </c>
      <c r="I32" s="8">
        <f t="shared" si="1"/>
        <v>8052.5500000000038</v>
      </c>
      <c r="J32" s="8">
        <f t="shared" si="1"/>
        <v>8857.8050000000057</v>
      </c>
      <c r="K32" s="8">
        <f t="shared" si="1"/>
        <v>9743.5855000000065</v>
      </c>
      <c r="L32" s="8">
        <f t="shared" si="1"/>
        <v>10717.944050000007</v>
      </c>
      <c r="M32" s="8">
        <f t="shared" si="1"/>
        <v>11789.73845500001</v>
      </c>
      <c r="N32" s="8">
        <f t="shared" si="1"/>
        <v>12968.712300500012</v>
      </c>
    </row>
    <row r="33" spans="1:14" x14ac:dyDescent="0.45">
      <c r="B33" t="s">
        <v>59</v>
      </c>
      <c r="D33" s="8">
        <v>2000</v>
      </c>
      <c r="E33" s="8">
        <f t="shared" si="1"/>
        <v>2200</v>
      </c>
      <c r="F33" s="8">
        <f t="shared" si="1"/>
        <v>2420</v>
      </c>
      <c r="G33" s="8">
        <f t="shared" si="1"/>
        <v>2662</v>
      </c>
      <c r="H33" s="8">
        <f t="shared" si="1"/>
        <v>2928.2000000000003</v>
      </c>
      <c r="I33" s="8">
        <f t="shared" si="1"/>
        <v>3221.0200000000004</v>
      </c>
      <c r="J33" s="8">
        <f t="shared" si="1"/>
        <v>3543.1220000000008</v>
      </c>
      <c r="K33" s="8">
        <f t="shared" si="1"/>
        <v>3897.4342000000011</v>
      </c>
      <c r="L33" s="8">
        <f t="shared" si="1"/>
        <v>4287.1776200000013</v>
      </c>
      <c r="M33" s="8">
        <f t="shared" si="1"/>
        <v>4715.8953820000015</v>
      </c>
      <c r="N33" s="8">
        <f t="shared" si="1"/>
        <v>5187.4849202000023</v>
      </c>
    </row>
    <row r="34" spans="1:14" x14ac:dyDescent="0.45">
      <c r="B34" t="s">
        <v>60</v>
      </c>
      <c r="D34" s="8">
        <v>2000</v>
      </c>
      <c r="E34" s="8">
        <f t="shared" si="1"/>
        <v>2000</v>
      </c>
      <c r="F34" s="8">
        <f t="shared" si="1"/>
        <v>2000</v>
      </c>
      <c r="G34" s="8">
        <f t="shared" si="1"/>
        <v>2000</v>
      </c>
      <c r="H34" s="8">
        <f t="shared" si="1"/>
        <v>2000</v>
      </c>
      <c r="I34" s="8">
        <f t="shared" si="1"/>
        <v>2000</v>
      </c>
      <c r="J34" s="8">
        <f t="shared" si="1"/>
        <v>2000</v>
      </c>
      <c r="K34" s="8">
        <f>J34*(1+$D14)</f>
        <v>2000</v>
      </c>
      <c r="L34" s="8">
        <f t="shared" si="1"/>
        <v>2000</v>
      </c>
      <c r="M34" s="8">
        <f t="shared" si="1"/>
        <v>2000</v>
      </c>
      <c r="N34" s="8">
        <f t="shared" si="1"/>
        <v>2000</v>
      </c>
    </row>
    <row r="35" spans="1:14" x14ac:dyDescent="0.45">
      <c r="D35" s="9"/>
    </row>
    <row r="36" spans="1:14" ht="14.65" thickBot="1" x14ac:dyDescent="0.5">
      <c r="B36" s="10" t="s">
        <v>75</v>
      </c>
      <c r="C36" s="10"/>
      <c r="D36" s="11">
        <f>D23-SUM(D25:D34)</f>
        <v>0</v>
      </c>
      <c r="E36" s="11">
        <f t="shared" ref="E36:N36" si="2">E23-SUM(E25:E34)</f>
        <v>3350.0000000000146</v>
      </c>
      <c r="F36" s="11">
        <f t="shared" si="2"/>
        <v>7168.5000000000291</v>
      </c>
      <c r="G36" s="11">
        <f t="shared" si="2"/>
        <v>11509.445000000036</v>
      </c>
      <c r="H36" s="11">
        <f t="shared" si="2"/>
        <v>16432.558650000065</v>
      </c>
      <c r="I36" s="11">
        <f t="shared" si="2"/>
        <v>22003.942380500055</v>
      </c>
      <c r="J36" s="11">
        <f t="shared" si="2"/>
        <v>28296.735653385054</v>
      </c>
      <c r="K36" s="11">
        <f t="shared" si="2"/>
        <v>35391.843515684537</v>
      </c>
      <c r="L36" s="11">
        <f t="shared" si="2"/>
        <v>43378.738261173072</v>
      </c>
      <c r="M36" s="11">
        <f t="shared" si="2"/>
        <v>52356.342689765355</v>
      </c>
      <c r="N36" s="11">
        <f t="shared" si="2"/>
        <v>62434.003208419628</v>
      </c>
    </row>
    <row r="38" spans="1:14" s="7" customFormat="1" x14ac:dyDescent="0.45">
      <c r="B38" s="6" t="s">
        <v>76</v>
      </c>
      <c r="C38" s="6"/>
      <c r="D38" s="6" t="s">
        <v>64</v>
      </c>
      <c r="E38" s="6" t="s">
        <v>65</v>
      </c>
      <c r="F38" s="6" t="s">
        <v>66</v>
      </c>
      <c r="G38" s="6" t="s">
        <v>67</v>
      </c>
      <c r="H38" s="6" t="s">
        <v>68</v>
      </c>
      <c r="I38" s="6" t="s">
        <v>69</v>
      </c>
      <c r="J38" s="6" t="s">
        <v>70</v>
      </c>
      <c r="K38" s="6" t="s">
        <v>71</v>
      </c>
      <c r="L38" s="6" t="s">
        <v>72</v>
      </c>
      <c r="M38" s="6" t="s">
        <v>73</v>
      </c>
      <c r="N38" s="6" t="s">
        <v>74</v>
      </c>
    </row>
    <row r="39" spans="1:14" x14ac:dyDescent="0.45">
      <c r="B39" t="s">
        <v>77</v>
      </c>
      <c r="D39" s="8">
        <v>200000</v>
      </c>
      <c r="E39" s="8">
        <f>D42</f>
        <v>215763.8725</v>
      </c>
      <c r="F39" s="8">
        <f t="shared" ref="F39:N39" si="3">E42</f>
        <v>272970.24338098144</v>
      </c>
      <c r="G39" s="8">
        <f t="shared" si="3"/>
        <v>380507.5839457406</v>
      </c>
      <c r="H39" s="8">
        <f t="shared" si="3"/>
        <v>548612.28913875949</v>
      </c>
      <c r="I39" s="8">
        <f t="shared" si="3"/>
        <v>789044.2638283429</v>
      </c>
      <c r="J39" s="8">
        <f t="shared" si="3"/>
        <v>1115283.5382535753</v>
      </c>
      <c r="K39" s="8">
        <f t="shared" si="3"/>
        <v>1542750.3035860872</v>
      </c>
      <c r="L39" s="8">
        <f t="shared" si="3"/>
        <v>2089051.0211996385</v>
      </c>
      <c r="M39" s="8">
        <f t="shared" si="3"/>
        <v>2774253.5500546447</v>
      </c>
      <c r="N39" s="8">
        <f t="shared" si="3"/>
        <v>3621194.5585604981</v>
      </c>
    </row>
    <row r="40" spans="1:14" x14ac:dyDescent="0.45">
      <c r="B40" t="s">
        <v>78</v>
      </c>
      <c r="D40" s="8">
        <f>D36*12</f>
        <v>0</v>
      </c>
      <c r="E40" s="8">
        <f t="shared" ref="E40:N40" si="4">E36*12</f>
        <v>40200.000000000175</v>
      </c>
      <c r="F40" s="8">
        <f t="shared" si="4"/>
        <v>86022.000000000349</v>
      </c>
      <c r="G40" s="8">
        <f t="shared" si="4"/>
        <v>138113.34000000043</v>
      </c>
      <c r="H40" s="8">
        <f t="shared" si="4"/>
        <v>197190.70380000077</v>
      </c>
      <c r="I40" s="8">
        <f t="shared" si="4"/>
        <v>264047.30856600066</v>
      </c>
      <c r="J40" s="8">
        <f t="shared" si="4"/>
        <v>339560.82784062065</v>
      </c>
      <c r="K40" s="8">
        <f t="shared" si="4"/>
        <v>424702.12218821445</v>
      </c>
      <c r="L40" s="8">
        <f t="shared" si="4"/>
        <v>520544.85913407686</v>
      </c>
      <c r="M40" s="8">
        <f t="shared" si="4"/>
        <v>628276.11227718426</v>
      </c>
      <c r="N40" s="8">
        <f t="shared" si="4"/>
        <v>749208.03850103554</v>
      </c>
    </row>
    <row r="41" spans="1:14" x14ac:dyDescent="0.45">
      <c r="B41" t="s">
        <v>79</v>
      </c>
      <c r="D41" s="19">
        <f>D39*$D$16</f>
        <v>15763.872500000003</v>
      </c>
      <c r="E41" s="8">
        <f t="shared" ref="E41:N41" si="5">E39*$D$16</f>
        <v>17006.370880981285</v>
      </c>
      <c r="F41" s="8">
        <f t="shared" si="5"/>
        <v>21515.340564758808</v>
      </c>
      <c r="G41" s="8">
        <f t="shared" si="5"/>
        <v>29991.365193018515</v>
      </c>
      <c r="H41" s="8">
        <f t="shared" si="5"/>
        <v>43241.270889582709</v>
      </c>
      <c r="I41" s="8">
        <f t="shared" si="5"/>
        <v>62191.965859231808</v>
      </c>
      <c r="J41" s="8">
        <f t="shared" si="5"/>
        <v>87905.937491891193</v>
      </c>
      <c r="K41" s="8">
        <f t="shared" si="5"/>
        <v>121598.59542533688</v>
      </c>
      <c r="L41" s="8">
        <f t="shared" si="5"/>
        <v>164657.66972092952</v>
      </c>
      <c r="M41" s="8">
        <f t="shared" si="5"/>
        <v>218664.89622866898</v>
      </c>
      <c r="N41" s="8">
        <f t="shared" si="5"/>
        <v>285420.24659420742</v>
      </c>
    </row>
    <row r="42" spans="1:14" ht="14.65" thickBot="1" x14ac:dyDescent="0.5">
      <c r="B42" s="10" t="s">
        <v>80</v>
      </c>
      <c r="C42" s="10"/>
      <c r="D42" s="12">
        <f>SUM(D39:D41)</f>
        <v>215763.8725</v>
      </c>
      <c r="E42" s="12">
        <f t="shared" ref="E42:N42" si="6">SUM(E39:E41)</f>
        <v>272970.24338098144</v>
      </c>
      <c r="F42" s="12">
        <f t="shared" si="6"/>
        <v>380507.5839457406</v>
      </c>
      <c r="G42" s="12">
        <f t="shared" si="6"/>
        <v>548612.28913875949</v>
      </c>
      <c r="H42" s="12">
        <f t="shared" si="6"/>
        <v>789044.2638283429</v>
      </c>
      <c r="I42" s="12">
        <f t="shared" si="6"/>
        <v>1115283.5382535753</v>
      </c>
      <c r="J42" s="12">
        <f t="shared" si="6"/>
        <v>1542750.3035860872</v>
      </c>
      <c r="K42" s="12">
        <f t="shared" si="6"/>
        <v>2089051.0211996385</v>
      </c>
      <c r="L42" s="12">
        <f t="shared" si="6"/>
        <v>2774253.5500546447</v>
      </c>
      <c r="M42" s="12">
        <f t="shared" si="6"/>
        <v>3621194.5585604981</v>
      </c>
      <c r="N42" s="12">
        <f t="shared" si="6"/>
        <v>4655822.8436557408</v>
      </c>
    </row>
    <row r="45" spans="1:14" x14ac:dyDescent="0.45">
      <c r="B45" t="s">
        <v>42</v>
      </c>
      <c r="D45" t="s">
        <v>81</v>
      </c>
      <c r="F45" t="s">
        <v>82</v>
      </c>
      <c r="G45" t="s">
        <v>83</v>
      </c>
    </row>
    <row r="47" spans="1:14" x14ac:dyDescent="0.45">
      <c r="A47">
        <v>1</v>
      </c>
      <c r="B47" t="s">
        <v>46</v>
      </c>
      <c r="D47" s="13">
        <v>2500000</v>
      </c>
      <c r="F47">
        <v>10</v>
      </c>
      <c r="G47" s="13">
        <f>D47*(1+D17)^10</f>
        <v>4477119.2413571365</v>
      </c>
    </row>
    <row r="48" spans="1:14" x14ac:dyDescent="0.45">
      <c r="A48">
        <v>2</v>
      </c>
      <c r="B48" t="s">
        <v>84</v>
      </c>
      <c r="D48" s="13">
        <v>50000</v>
      </c>
    </row>
    <row r="49" spans="1:14" x14ac:dyDescent="0.45">
      <c r="A49">
        <v>3</v>
      </c>
      <c r="B49" t="s">
        <v>85</v>
      </c>
      <c r="D49" s="13">
        <v>3000000</v>
      </c>
      <c r="F49">
        <v>5</v>
      </c>
      <c r="G49" s="13">
        <f>D49*(1+D5)^10</f>
        <v>4886683.8803323247</v>
      </c>
    </row>
    <row r="50" spans="1:14" x14ac:dyDescent="0.45">
      <c r="A50">
        <v>4</v>
      </c>
      <c r="B50" t="s">
        <v>86</v>
      </c>
      <c r="D50" s="13">
        <v>1000000</v>
      </c>
      <c r="G50" s="13"/>
    </row>
    <row r="52" spans="1:14" s="7" customFormat="1" x14ac:dyDescent="0.45">
      <c r="B52" s="6" t="s">
        <v>87</v>
      </c>
      <c r="C52" s="6"/>
      <c r="D52" s="6" t="s">
        <v>64</v>
      </c>
      <c r="E52" s="6" t="s">
        <v>65</v>
      </c>
      <c r="F52" s="6" t="s">
        <v>66</v>
      </c>
      <c r="G52" s="6" t="s">
        <v>67</v>
      </c>
      <c r="H52" s="6" t="s">
        <v>68</v>
      </c>
      <c r="I52" s="6" t="s">
        <v>69</v>
      </c>
      <c r="J52" s="6" t="s">
        <v>70</v>
      </c>
      <c r="K52" s="6" t="s">
        <v>71</v>
      </c>
      <c r="L52" s="6" t="s">
        <v>72</v>
      </c>
      <c r="M52" s="6" t="s">
        <v>73</v>
      </c>
      <c r="N52" s="6" t="s">
        <v>74</v>
      </c>
    </row>
    <row r="53" spans="1:14" x14ac:dyDescent="0.45">
      <c r="B53" t="s">
        <v>88</v>
      </c>
      <c r="D53" s="8"/>
      <c r="E53" s="8"/>
      <c r="F53" s="8"/>
      <c r="G53" s="8"/>
      <c r="H53" s="8"/>
      <c r="I53" s="8">
        <f>-G49</f>
        <v>-4886683.8803323247</v>
      </c>
      <c r="J53" s="8"/>
      <c r="K53" s="8"/>
      <c r="L53" s="8"/>
      <c r="M53" s="8"/>
      <c r="N53" s="8">
        <f>-G47</f>
        <v>-4477119.2413571365</v>
      </c>
    </row>
    <row r="54" spans="1:14" x14ac:dyDescent="0.45">
      <c r="B54" t="s">
        <v>89</v>
      </c>
      <c r="D54">
        <f t="shared" ref="D54:N54" si="7">-$D$48</f>
        <v>-50000</v>
      </c>
      <c r="E54">
        <f t="shared" si="7"/>
        <v>-50000</v>
      </c>
      <c r="F54">
        <f t="shared" si="7"/>
        <v>-50000</v>
      </c>
      <c r="G54">
        <f t="shared" si="7"/>
        <v>-50000</v>
      </c>
      <c r="H54">
        <f t="shared" si="7"/>
        <v>-50000</v>
      </c>
      <c r="I54">
        <f t="shared" si="7"/>
        <v>-50000</v>
      </c>
      <c r="J54">
        <f t="shared" si="7"/>
        <v>-50000</v>
      </c>
      <c r="K54">
        <f t="shared" si="7"/>
        <v>-50000</v>
      </c>
      <c r="L54">
        <f t="shared" si="7"/>
        <v>-50000</v>
      </c>
      <c r="M54">
        <f t="shared" si="7"/>
        <v>-50000</v>
      </c>
      <c r="N54">
        <f t="shared" si="7"/>
        <v>-50000</v>
      </c>
    </row>
    <row r="55" spans="1:14" x14ac:dyDescent="0.45">
      <c r="B55" t="s">
        <v>90</v>
      </c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</row>
    <row r="56" spans="1:14" ht="14.65" thickBot="1" x14ac:dyDescent="0.5">
      <c r="B56" s="10" t="s">
        <v>91</v>
      </c>
      <c r="C56" s="10"/>
      <c r="D56" s="12">
        <f>SUM(D53:D55)</f>
        <v>-50000</v>
      </c>
      <c r="E56" s="12">
        <f t="shared" ref="E56:N56" si="8">SUM(E53:E55)</f>
        <v>-50000</v>
      </c>
      <c r="F56" s="12">
        <f t="shared" si="8"/>
        <v>-50000</v>
      </c>
      <c r="G56" s="12">
        <f t="shared" si="8"/>
        <v>-50000</v>
      </c>
      <c r="H56" s="12">
        <f t="shared" si="8"/>
        <v>-50000</v>
      </c>
      <c r="I56" s="12">
        <f t="shared" si="8"/>
        <v>-4936683.8803323247</v>
      </c>
      <c r="J56" s="12">
        <f t="shared" si="8"/>
        <v>-50000</v>
      </c>
      <c r="K56" s="12">
        <f t="shared" si="8"/>
        <v>-50000</v>
      </c>
      <c r="L56" s="12">
        <f t="shared" si="8"/>
        <v>-50000</v>
      </c>
      <c r="M56" s="12">
        <f t="shared" si="8"/>
        <v>-50000</v>
      </c>
      <c r="N56" s="12">
        <f t="shared" si="8"/>
        <v>-4527119.2413571365</v>
      </c>
    </row>
    <row r="59" spans="1:14" x14ac:dyDescent="0.45">
      <c r="B59" s="14" t="s">
        <v>92</v>
      </c>
      <c r="C59" s="14"/>
      <c r="D59" s="15">
        <f>D36*12+D56</f>
        <v>-50000</v>
      </c>
      <c r="E59" s="15">
        <f t="shared" ref="E59:N59" si="9">E36*12+E56</f>
        <v>-9799.9999999998254</v>
      </c>
      <c r="F59" s="15">
        <f t="shared" si="9"/>
        <v>36022.000000000349</v>
      </c>
      <c r="G59" s="15">
        <f t="shared" si="9"/>
        <v>88113.340000000433</v>
      </c>
      <c r="H59" s="15">
        <f t="shared" si="9"/>
        <v>147190.70380000077</v>
      </c>
      <c r="I59" s="15">
        <f t="shared" si="9"/>
        <v>-4672636.5717663243</v>
      </c>
      <c r="J59" s="15">
        <f t="shared" si="9"/>
        <v>289560.82784062065</v>
      </c>
      <c r="K59" s="15">
        <f t="shared" si="9"/>
        <v>374702.12218821445</v>
      </c>
      <c r="L59" s="15">
        <f t="shared" si="9"/>
        <v>470544.85913407686</v>
      </c>
      <c r="M59" s="15">
        <f t="shared" si="9"/>
        <v>578276.11227718426</v>
      </c>
      <c r="N59" s="15">
        <f t="shared" si="9"/>
        <v>-3777911.2028561011</v>
      </c>
    </row>
    <row r="61" spans="1:14" x14ac:dyDescent="0.45">
      <c r="B61" s="7" t="s">
        <v>93</v>
      </c>
      <c r="C61" s="7"/>
      <c r="D61" s="16">
        <f>NPV(10%, D56:N56)</f>
        <v>-4652361.6864673672</v>
      </c>
    </row>
    <row r="63" spans="1:14" x14ac:dyDescent="0.45">
      <c r="B63" t="s">
        <v>94</v>
      </c>
      <c r="D63" s="8">
        <f>D23*12</f>
        <v>1080000</v>
      </c>
    </row>
    <row r="64" spans="1:14" x14ac:dyDescent="0.45">
      <c r="B64" t="s">
        <v>95</v>
      </c>
      <c r="D64" s="1">
        <v>0.5</v>
      </c>
    </row>
    <row r="65" spans="2:14" x14ac:dyDescent="0.45">
      <c r="B65" t="s">
        <v>96</v>
      </c>
      <c r="D65">
        <f>D63*(1-D64)</f>
        <v>540000</v>
      </c>
      <c r="E65">
        <f>D65</f>
        <v>540000</v>
      </c>
      <c r="F65">
        <f t="shared" ref="F65:N65" si="10">E65</f>
        <v>540000</v>
      </c>
      <c r="G65">
        <f t="shared" si="10"/>
        <v>540000</v>
      </c>
      <c r="H65">
        <f t="shared" si="10"/>
        <v>540000</v>
      </c>
      <c r="I65">
        <f t="shared" si="10"/>
        <v>540000</v>
      </c>
      <c r="J65">
        <f t="shared" si="10"/>
        <v>540000</v>
      </c>
      <c r="K65">
        <f t="shared" si="10"/>
        <v>540000</v>
      </c>
      <c r="L65">
        <f t="shared" si="10"/>
        <v>540000</v>
      </c>
      <c r="M65">
        <f t="shared" si="10"/>
        <v>540000</v>
      </c>
      <c r="N65">
        <f t="shared" si="10"/>
        <v>540000</v>
      </c>
    </row>
    <row r="67" spans="2:14" x14ac:dyDescent="0.45">
      <c r="B67" s="7" t="s">
        <v>97</v>
      </c>
      <c r="C67" s="7"/>
      <c r="D67" s="16">
        <f>N42/(1+10%)^10</f>
        <v>1795021.2541441896</v>
      </c>
    </row>
    <row r="69" spans="2:14" x14ac:dyDescent="0.45">
      <c r="B69" s="7" t="s">
        <v>98</v>
      </c>
      <c r="C69" s="7"/>
      <c r="D69" s="16">
        <f>D67+D61</f>
        <v>-2857340.4323231773</v>
      </c>
    </row>
    <row r="71" spans="2:14" x14ac:dyDescent="0.45">
      <c r="B71" t="s">
        <v>101</v>
      </c>
      <c r="D71" s="2">
        <f>D69/D67</f>
        <v>-1.5918142616564552</v>
      </c>
    </row>
    <row r="72" spans="2:14" x14ac:dyDescent="0.45">
      <c r="E72" t="s">
        <v>102</v>
      </c>
    </row>
    <row r="73" spans="2:14" x14ac:dyDescent="0.45">
      <c r="B73" t="s">
        <v>99</v>
      </c>
      <c r="D73" t="s">
        <v>100</v>
      </c>
      <c r="E73">
        <v>0</v>
      </c>
    </row>
    <row r="74" spans="2:14" x14ac:dyDescent="0.45">
      <c r="D74" t="s">
        <v>103</v>
      </c>
      <c r="E74" t="s">
        <v>106</v>
      </c>
    </row>
    <row r="75" spans="2:14" x14ac:dyDescent="0.45">
      <c r="D75" t="s">
        <v>104</v>
      </c>
      <c r="E75" t="s">
        <v>105</v>
      </c>
    </row>
  </sheetData>
  <pageMargins left="0.7" right="0.7" top="0.75" bottom="0.75" header="0.3" footer="0.3"/>
  <pageSetup paperSize="9" orientation="portrait" r:id="rId1"/>
  <drawing r:id="rId2"/>
  <extLst>
    <ext xmlns:x15="http://schemas.microsoft.com/office/spreadsheetml/2010/11/main" uri="{F7C9EE02-42E1-4005-9D12-6889AFFD525C}">
      <x15:webExtensions xmlns:xm="http://schemas.microsoft.com/office/excel/2006/main">
        <x15:webExtension appRef="{ACA887AB-9260-4FA9-A722-718819945F13}">
          <xm:f>'Personal P&amp;L'!$G$7</xm:f>
        </x15:webExtension>
      </x15:webExtens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6"/>
  <sheetViews>
    <sheetView showGridLines="0" workbookViewId="0">
      <selection activeCell="C31" sqref="C31:C32"/>
    </sheetView>
  </sheetViews>
  <sheetFormatPr defaultRowHeight="14.25" x14ac:dyDescent="0.45"/>
  <sheetData>
    <row r="2" spans="2:4" x14ac:dyDescent="0.45">
      <c r="B2" t="s">
        <v>50</v>
      </c>
      <c r="D2" s="4">
        <v>0.1</v>
      </c>
    </row>
    <row r="3" spans="2:4" x14ac:dyDescent="0.45">
      <c r="D3" s="4"/>
    </row>
    <row r="4" spans="2:4" x14ac:dyDescent="0.45">
      <c r="B4" t="s">
        <v>51</v>
      </c>
      <c r="D4" s="4">
        <v>0.05</v>
      </c>
    </row>
    <row r="5" spans="2:4" x14ac:dyDescent="0.45">
      <c r="B5" t="s">
        <v>52</v>
      </c>
      <c r="D5" s="4">
        <v>0.05</v>
      </c>
    </row>
    <row r="6" spans="2:4" x14ac:dyDescent="0.45">
      <c r="B6" t="s">
        <v>53</v>
      </c>
      <c r="D6" s="4">
        <v>7.0000000000000007E-2</v>
      </c>
    </row>
    <row r="7" spans="2:4" x14ac:dyDescent="0.45">
      <c r="B7" t="s">
        <v>54</v>
      </c>
      <c r="D7" s="4">
        <v>0.1</v>
      </c>
    </row>
    <row r="8" spans="2:4" x14ac:dyDescent="0.45">
      <c r="B8" t="s">
        <v>55</v>
      </c>
      <c r="D8" s="4">
        <v>0.05</v>
      </c>
    </row>
    <row r="9" spans="2:4" x14ac:dyDescent="0.45">
      <c r="B9" t="s">
        <v>56</v>
      </c>
      <c r="D9" s="4">
        <v>0</v>
      </c>
    </row>
    <row r="10" spans="2:4" x14ac:dyDescent="0.45">
      <c r="B10" t="s">
        <v>57</v>
      </c>
      <c r="D10" s="4">
        <v>0.1</v>
      </c>
    </row>
    <row r="11" spans="2:4" x14ac:dyDescent="0.45">
      <c r="B11" t="s">
        <v>58</v>
      </c>
      <c r="D11" s="4">
        <v>0.1</v>
      </c>
    </row>
    <row r="12" spans="2:4" x14ac:dyDescent="0.45">
      <c r="B12" t="s">
        <v>59</v>
      </c>
      <c r="D12" s="4">
        <v>0.1</v>
      </c>
    </row>
    <row r="13" spans="2:4" x14ac:dyDescent="0.45">
      <c r="B13" t="s">
        <v>60</v>
      </c>
      <c r="D13" s="4">
        <v>0</v>
      </c>
    </row>
    <row r="15" spans="2:4" x14ac:dyDescent="0.45">
      <c r="B15" t="s">
        <v>61</v>
      </c>
      <c r="D15" s="1">
        <f>'[1]Inv Returns calc'!S19</f>
        <v>0.04</v>
      </c>
    </row>
    <row r="16" spans="2:4" x14ac:dyDescent="0.45">
      <c r="B16" t="s">
        <v>62</v>
      </c>
      <c r="D16" s="5">
        <v>0.06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6"/>
  <sheetViews>
    <sheetView workbookViewId="0">
      <selection activeCell="B17" sqref="B17"/>
    </sheetView>
  </sheetViews>
  <sheetFormatPr defaultRowHeight="14.25" x14ac:dyDescent="0.45"/>
  <cols>
    <col min="4" max="4" width="23.3984375" bestFit="1" customWidth="1"/>
  </cols>
  <sheetData>
    <row r="2" spans="2:4" x14ac:dyDescent="0.45">
      <c r="B2" t="s">
        <v>107</v>
      </c>
    </row>
    <row r="3" spans="2:4" x14ac:dyDescent="0.45">
      <c r="B3" t="s">
        <v>118</v>
      </c>
    </row>
    <row r="4" spans="2:4" x14ac:dyDescent="0.45">
      <c r="B4" t="s">
        <v>108</v>
      </c>
    </row>
    <row r="5" spans="2:4" x14ac:dyDescent="0.45">
      <c r="B5" t="s">
        <v>109</v>
      </c>
    </row>
    <row r="6" spans="2:4" x14ac:dyDescent="0.45">
      <c r="B6" t="s">
        <v>110</v>
      </c>
    </row>
    <row r="7" spans="2:4" x14ac:dyDescent="0.45">
      <c r="B7" t="s">
        <v>114</v>
      </c>
    </row>
    <row r="8" spans="2:4" x14ac:dyDescent="0.45">
      <c r="D8" t="s">
        <v>111</v>
      </c>
    </row>
    <row r="9" spans="2:4" x14ac:dyDescent="0.45">
      <c r="D9" t="s">
        <v>112</v>
      </c>
    </row>
    <row r="10" spans="2:4" x14ac:dyDescent="0.45">
      <c r="D10" t="s">
        <v>113</v>
      </c>
    </row>
    <row r="12" spans="2:4" x14ac:dyDescent="0.45">
      <c r="B12" t="s">
        <v>116</v>
      </c>
    </row>
    <row r="15" spans="2:4" x14ac:dyDescent="0.45">
      <c r="B15" t="s">
        <v>117</v>
      </c>
    </row>
    <row r="17" spans="2:2" x14ac:dyDescent="0.45">
      <c r="B17" t="s">
        <v>51</v>
      </c>
    </row>
    <row r="18" spans="2:2" x14ac:dyDescent="0.45">
      <c r="B18" t="s">
        <v>52</v>
      </c>
    </row>
    <row r="19" spans="2:2" x14ac:dyDescent="0.45">
      <c r="B19" t="s">
        <v>53</v>
      </c>
    </row>
    <row r="20" spans="2:2" x14ac:dyDescent="0.45">
      <c r="B20" t="s">
        <v>54</v>
      </c>
    </row>
    <row r="21" spans="2:2" x14ac:dyDescent="0.45">
      <c r="B21" t="s">
        <v>55</v>
      </c>
    </row>
    <row r="22" spans="2:2" x14ac:dyDescent="0.45">
      <c r="B22" t="s">
        <v>56</v>
      </c>
    </row>
    <row r="23" spans="2:2" x14ac:dyDescent="0.45">
      <c r="B23" t="s">
        <v>57</v>
      </c>
    </row>
    <row r="24" spans="2:2" x14ac:dyDescent="0.45">
      <c r="B24" t="s">
        <v>58</v>
      </c>
    </row>
    <row r="25" spans="2:2" x14ac:dyDescent="0.45">
      <c r="B25" t="s">
        <v>59</v>
      </c>
    </row>
    <row r="26" spans="2:2" x14ac:dyDescent="0.45">
      <c r="B26" t="s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3"/>
  <sheetViews>
    <sheetView tabSelected="1" topLeftCell="A74" workbookViewId="0">
      <selection activeCell="H95" sqref="H95"/>
    </sheetView>
  </sheetViews>
  <sheetFormatPr defaultRowHeight="14.25" x14ac:dyDescent="0.45"/>
  <cols>
    <col min="2" max="2" width="23.9296875" customWidth="1"/>
    <col min="3" max="3" width="19.86328125" bestFit="1" customWidth="1"/>
    <col min="4" max="4" width="18.19921875" bestFit="1" customWidth="1"/>
    <col min="5" max="5" width="12.53125" customWidth="1"/>
    <col min="6" max="6" width="26.3984375" customWidth="1"/>
    <col min="7" max="7" width="20.06640625" customWidth="1"/>
    <col min="8" max="12" width="11.86328125" bestFit="1" customWidth="1"/>
  </cols>
  <sheetData>
    <row r="1" spans="1:14" x14ac:dyDescent="0.45">
      <c r="D1" t="s">
        <v>128</v>
      </c>
      <c r="G1" t="s">
        <v>127</v>
      </c>
    </row>
    <row r="2" spans="1:14" x14ac:dyDescent="0.45">
      <c r="D2" s="18">
        <v>0.04</v>
      </c>
      <c r="G2" s="1">
        <v>0.04</v>
      </c>
    </row>
    <row r="3" spans="1:14" x14ac:dyDescent="0.45">
      <c r="D3" s="17">
        <f>SUMPRODUCT('Full Asset tool'!E24:E25,'Full Asset tool'!H24:H25)/SUM('Full Asset tool'!E24:E25)</f>
        <v>8.3333333333333329E-2</v>
      </c>
      <c r="G3" s="1">
        <v>7.0000000000000007E-2</v>
      </c>
    </row>
    <row r="4" spans="1:14" x14ac:dyDescent="0.45">
      <c r="D4" s="2">
        <f>SUMPRODUCT('Full Asset tool'!E28:E33,'Full Asset tool'!H28:H33)/SUM('Full Asset tool'!E28:E33)</f>
        <v>-6.000000000000001E-3</v>
      </c>
      <c r="G4" s="1">
        <v>0.1</v>
      </c>
    </row>
    <row r="5" spans="1:14" x14ac:dyDescent="0.45">
      <c r="D5" s="1">
        <f>'Full Asset tool'!H36</f>
        <v>0.08</v>
      </c>
      <c r="G5" s="1">
        <v>0.08</v>
      </c>
    </row>
    <row r="6" spans="1:14" x14ac:dyDescent="0.45">
      <c r="D6" s="1">
        <f>'Full Asset tool'!H36</f>
        <v>0.08</v>
      </c>
      <c r="G6" s="1">
        <v>0.08</v>
      </c>
    </row>
    <row r="7" spans="1:14" x14ac:dyDescent="0.45">
      <c r="D7" s="17">
        <f>SUMPRODUCT('Full Asset tool'!E39:E40,'Full Asset tool'!H39:H40)/SUM('Full Asset tool'!E39:E40)</f>
        <v>6.5333333333333327E-2</v>
      </c>
      <c r="G7" s="1">
        <v>0.09</v>
      </c>
    </row>
    <row r="8" spans="1:14" x14ac:dyDescent="0.45">
      <c r="D8" s="1">
        <f>'Full Asset tool'!H43</f>
        <v>0.04</v>
      </c>
      <c r="G8" s="1">
        <v>0</v>
      </c>
    </row>
    <row r="9" spans="1:14" x14ac:dyDescent="0.45">
      <c r="G9" s="1">
        <v>0</v>
      </c>
    </row>
    <row r="13" spans="1:14" s="7" customFormat="1" x14ac:dyDescent="0.45">
      <c r="A13" s="7" t="s">
        <v>129</v>
      </c>
      <c r="D13" s="7" t="s">
        <v>64</v>
      </c>
      <c r="E13" s="7" t="s">
        <v>65</v>
      </c>
      <c r="F13" s="7" t="s">
        <v>66</v>
      </c>
      <c r="G13" s="7" t="s">
        <v>67</v>
      </c>
      <c r="H13" s="7" t="s">
        <v>68</v>
      </c>
      <c r="I13" s="7" t="s">
        <v>69</v>
      </c>
      <c r="J13" s="7" t="s">
        <v>70</v>
      </c>
      <c r="K13" s="7" t="s">
        <v>71</v>
      </c>
      <c r="L13" s="7" t="s">
        <v>72</v>
      </c>
      <c r="M13" s="7" t="s">
        <v>73</v>
      </c>
      <c r="N13" s="7" t="s">
        <v>74</v>
      </c>
    </row>
    <row r="15" spans="1:14" x14ac:dyDescent="0.45">
      <c r="B15" t="s">
        <v>119</v>
      </c>
      <c r="D15">
        <f>SUM('Full Asset tool'!E8:E19)</f>
        <v>25</v>
      </c>
      <c r="E15">
        <f>SUM('Full Asset tool'!F8:F19)</f>
        <v>0</v>
      </c>
      <c r="F15">
        <f>SUM('Full Asset tool'!G8:G19)</f>
        <v>0.66</v>
      </c>
      <c r="G15">
        <f>SUM('Full Asset tool'!H8:H19)</f>
        <v>0.46199999999999997</v>
      </c>
      <c r="H15">
        <f>SUM('Full Asset tool'!I8:I19)</f>
        <v>0</v>
      </c>
      <c r="I15">
        <f>SUM('Full Asset tool'!J8:J19)</f>
        <v>0</v>
      </c>
      <c r="J15">
        <f>SUM('Full Asset tool'!K8:K19)</f>
        <v>0</v>
      </c>
      <c r="K15">
        <f>SUM('Full Asset tool'!L8:L19)</f>
        <v>0</v>
      </c>
      <c r="L15">
        <f>SUM('Full Asset tool'!M8:M19)</f>
        <v>0</v>
      </c>
      <c r="M15">
        <f>SUM('Full Asset tool'!N8:N19)</f>
        <v>0</v>
      </c>
      <c r="N15">
        <f>SUM('Full Asset tool'!O8:O19)</f>
        <v>0</v>
      </c>
    </row>
    <row r="16" spans="1:14" x14ac:dyDescent="0.45">
      <c r="B16" t="s">
        <v>120</v>
      </c>
      <c r="D16">
        <f>SUM('Full Asset tool'!E24:E25)</f>
        <v>30</v>
      </c>
      <c r="E16">
        <f>SUM('Full Asset tool'!F24:F25)</f>
        <v>0</v>
      </c>
      <c r="F16">
        <f>SUM('Full Asset tool'!G24:G25)</f>
        <v>0.2</v>
      </c>
      <c r="G16">
        <f>SUM('Full Asset tool'!H24:H25)</f>
        <v>0.16999999999999998</v>
      </c>
      <c r="H16">
        <f>SUM('Full Asset tool'!I24:I25)</f>
        <v>0</v>
      </c>
      <c r="I16">
        <f>SUM('Full Asset tool'!J24:J25)</f>
        <v>0</v>
      </c>
      <c r="J16">
        <f>SUM('Full Asset tool'!K24:K25)</f>
        <v>0</v>
      </c>
      <c r="K16">
        <f>SUM('Full Asset tool'!L24:L25)</f>
        <v>0</v>
      </c>
      <c r="L16">
        <f>SUM('Full Asset tool'!M24:M25)</f>
        <v>0</v>
      </c>
      <c r="M16">
        <f>SUM('Full Asset tool'!N24:N25)</f>
        <v>0</v>
      </c>
      <c r="N16">
        <f>SUM('Full Asset tool'!O24:O25)</f>
        <v>0</v>
      </c>
    </row>
    <row r="17" spans="2:14" x14ac:dyDescent="0.45">
      <c r="B17" t="s">
        <v>121</v>
      </c>
      <c r="D17">
        <f>SUM('Full Asset tool'!E28:E29)+SUM('Full Asset tool'!E32:E33)</f>
        <v>25</v>
      </c>
      <c r="E17">
        <f>SUM('Full Asset tool'!F28:F29)+SUM('Full Asset tool'!F32:F33)</f>
        <v>0</v>
      </c>
      <c r="F17">
        <f>SUM('Full Asset tool'!G28:G29)+SUM('Full Asset tool'!G32:G33)</f>
        <v>3.9999999999999994E-2</v>
      </c>
      <c r="G17">
        <f>SUM('Full Asset tool'!H28:H29)+SUM('Full Asset tool'!H32:H33)</f>
        <v>1.2999999999999998E-2</v>
      </c>
      <c r="H17">
        <f>SUM('Full Asset tool'!I28:I29)+SUM('Full Asset tool'!I32:I33)</f>
        <v>0</v>
      </c>
      <c r="I17">
        <f>SUM('Full Asset tool'!J28:J29)+SUM('Full Asset tool'!J32:J33)</f>
        <v>0</v>
      </c>
      <c r="J17">
        <f>SUM('Full Asset tool'!K28:K29)+SUM('Full Asset tool'!K32:K33)</f>
        <v>0</v>
      </c>
      <c r="K17">
        <f>SUM('Full Asset tool'!L28:L29)+SUM('Full Asset tool'!L32:L33)</f>
        <v>0</v>
      </c>
      <c r="L17">
        <f>SUM('Full Asset tool'!M28:M29)+SUM('Full Asset tool'!M32:M33)</f>
        <v>0</v>
      </c>
      <c r="M17">
        <f>SUM('Full Asset tool'!N28:N29)+SUM('Full Asset tool'!N32:N33)</f>
        <v>0</v>
      </c>
      <c r="N17">
        <f>SUM('Full Asset tool'!O28:O29)+SUM('Full Asset tool'!O32:O33)</f>
        <v>0</v>
      </c>
    </row>
    <row r="18" spans="2:14" x14ac:dyDescent="0.45">
      <c r="B18" t="s">
        <v>123</v>
      </c>
      <c r="D18">
        <f>'Full Asset tool'!E36</f>
        <v>40</v>
      </c>
      <c r="E18">
        <f>'Full Asset tool'!F36</f>
        <v>0</v>
      </c>
      <c r="F18">
        <f>'Full Asset tool'!G36</f>
        <v>0.08</v>
      </c>
      <c r="G18">
        <f>'Full Asset tool'!H36</f>
        <v>0.08</v>
      </c>
      <c r="H18">
        <f>'Full Asset tool'!I36</f>
        <v>0</v>
      </c>
      <c r="I18">
        <f>'Full Asset tool'!J36</f>
        <v>0</v>
      </c>
      <c r="J18">
        <f>'Full Asset tool'!K36</f>
        <v>0</v>
      </c>
      <c r="K18">
        <f>'Full Asset tool'!L36</f>
        <v>0</v>
      </c>
      <c r="L18">
        <f>'Full Asset tool'!M36</f>
        <v>0</v>
      </c>
      <c r="M18">
        <f>'Full Asset tool'!N36</f>
        <v>0</v>
      </c>
      <c r="N18">
        <f>'Full Asset tool'!O36</f>
        <v>0</v>
      </c>
    </row>
    <row r="19" spans="2:14" x14ac:dyDescent="0.45">
      <c r="B19" t="s">
        <v>124</v>
      </c>
      <c r="D19">
        <f>'Full Asset tool'!E37</f>
        <v>0</v>
      </c>
      <c r="E19">
        <f>'Full Asset tool'!F37</f>
        <v>0</v>
      </c>
      <c r="F19">
        <f>'Full Asset tool'!G37</f>
        <v>0</v>
      </c>
      <c r="G19">
        <f>'Full Asset tool'!H37</f>
        <v>0</v>
      </c>
      <c r="H19">
        <f>'Full Asset tool'!I37</f>
        <v>0</v>
      </c>
      <c r="I19">
        <f>'Full Asset tool'!J37</f>
        <v>0</v>
      </c>
      <c r="J19">
        <f>'Full Asset tool'!K37</f>
        <v>0</v>
      </c>
      <c r="K19">
        <f>'Full Asset tool'!L37</f>
        <v>0</v>
      </c>
      <c r="L19">
        <f>'Full Asset tool'!M37</f>
        <v>0</v>
      </c>
      <c r="M19">
        <f>'Full Asset tool'!N37</f>
        <v>0</v>
      </c>
      <c r="N19">
        <f>'Full Asset tool'!O37</f>
        <v>0</v>
      </c>
    </row>
    <row r="20" spans="2:14" x14ac:dyDescent="0.45">
      <c r="B20" t="s">
        <v>122</v>
      </c>
      <c r="D20">
        <f>SUM('Full Asset tool'!E39:E40)-'Full Asset tool'!E46</f>
        <v>150</v>
      </c>
      <c r="E20">
        <f>SUM('Full Asset tool'!F39:F40)-'Full Asset tool'!F46</f>
        <v>0</v>
      </c>
      <c r="F20">
        <f>SUM('Full Asset tool'!G39:G40)-'Full Asset tool'!G46</f>
        <v>0.18</v>
      </c>
      <c r="G20">
        <f>SUM('Full Asset tool'!H39:H40)-'Full Asset tool'!H46</f>
        <v>0.126</v>
      </c>
      <c r="H20">
        <f>SUM('Full Asset tool'!I39:I40)-'Full Asset tool'!I46</f>
        <v>0</v>
      </c>
      <c r="I20">
        <f>SUM('Full Asset tool'!J39:J40)-'Full Asset tool'!J46</f>
        <v>0</v>
      </c>
      <c r="J20">
        <f>SUM('Full Asset tool'!K39:K40)-'Full Asset tool'!K46</f>
        <v>0</v>
      </c>
      <c r="K20">
        <f>SUM('Full Asset tool'!L39:L40)-'Full Asset tool'!L46</f>
        <v>0</v>
      </c>
      <c r="L20">
        <f>SUM('Full Asset tool'!M39:M40)-'Full Asset tool'!M46</f>
        <v>0</v>
      </c>
      <c r="M20">
        <f>SUM('Full Asset tool'!N39:N40)-'Full Asset tool'!N46</f>
        <v>0</v>
      </c>
      <c r="N20">
        <f>SUM('Full Asset tool'!O39:O40)-'Full Asset tool'!O46</f>
        <v>0</v>
      </c>
    </row>
    <row r="21" spans="2:14" x14ac:dyDescent="0.45">
      <c r="B21" t="s">
        <v>34</v>
      </c>
      <c r="D21">
        <f>'Full Asset tool'!E43</f>
        <v>20</v>
      </c>
      <c r="E21">
        <f>'Full Asset tool'!F43</f>
        <v>0</v>
      </c>
      <c r="F21">
        <f>'Full Asset tool'!G43</f>
        <v>0.04</v>
      </c>
      <c r="G21">
        <f>'Full Asset tool'!H43</f>
        <v>0.04</v>
      </c>
      <c r="H21">
        <f>'Full Asset tool'!I43</f>
        <v>0</v>
      </c>
      <c r="I21">
        <f>'Full Asset tool'!J43</f>
        <v>0</v>
      </c>
      <c r="J21">
        <f>'Full Asset tool'!K43</f>
        <v>0</v>
      </c>
      <c r="K21">
        <f>'Full Asset tool'!L43</f>
        <v>0</v>
      </c>
      <c r="L21">
        <f>'Full Asset tool'!M43</f>
        <v>0</v>
      </c>
      <c r="M21">
        <f>'Full Asset tool'!N43</f>
        <v>0</v>
      </c>
      <c r="N21">
        <f>'Full Asset tool'!O43</f>
        <v>0</v>
      </c>
    </row>
    <row r="22" spans="2:14" x14ac:dyDescent="0.45">
      <c r="B22" t="s">
        <v>125</v>
      </c>
      <c r="D22">
        <f>-SUM('Full Asset tool'!E48:E50)</f>
        <v>-20</v>
      </c>
      <c r="E22">
        <f>-SUM('Full Asset tool'!F48:F50)</f>
        <v>0</v>
      </c>
      <c r="F22">
        <f>-SUM('Full Asset tool'!G48:G50)</f>
        <v>0</v>
      </c>
      <c r="G22">
        <f>-SUM('Full Asset tool'!H48:H50)</f>
        <v>0</v>
      </c>
      <c r="H22">
        <f>-SUM('Full Asset tool'!I48:I50)</f>
        <v>0</v>
      </c>
      <c r="I22">
        <f>-SUM('Full Asset tool'!J48:J50)</f>
        <v>0</v>
      </c>
      <c r="J22">
        <f>-SUM('Full Asset tool'!K48:K50)</f>
        <v>0</v>
      </c>
      <c r="K22">
        <f>-SUM('Full Asset tool'!L48:L50)</f>
        <v>0</v>
      </c>
      <c r="L22">
        <f>-SUM('Full Asset tool'!M48:M50)</f>
        <v>0</v>
      </c>
      <c r="M22">
        <f>-SUM('Full Asset tool'!N48:N50)</f>
        <v>0</v>
      </c>
      <c r="N22">
        <f>-SUM('Full Asset tool'!O48:O50)</f>
        <v>0</v>
      </c>
    </row>
    <row r="24" spans="2:14" s="7" customFormat="1" x14ac:dyDescent="0.45">
      <c r="B24" s="7" t="s">
        <v>126</v>
      </c>
      <c r="D24" s="7">
        <f>SUM(D15:D22)</f>
        <v>270</v>
      </c>
    </row>
    <row r="27" spans="2:14" s="7" customFormat="1" x14ac:dyDescent="0.45">
      <c r="B27" s="6" t="s">
        <v>76</v>
      </c>
      <c r="C27" s="6"/>
      <c r="D27" s="6" t="s">
        <v>64</v>
      </c>
      <c r="E27" s="6" t="s">
        <v>65</v>
      </c>
      <c r="F27" s="6" t="s">
        <v>66</v>
      </c>
      <c r="G27" s="6" t="s">
        <v>67</v>
      </c>
      <c r="H27" s="6" t="s">
        <v>68</v>
      </c>
      <c r="I27" s="6" t="s">
        <v>69</v>
      </c>
      <c r="J27" s="6" t="s">
        <v>70</v>
      </c>
      <c r="K27" s="6" t="s">
        <v>71</v>
      </c>
      <c r="L27" s="6" t="s">
        <v>72</v>
      </c>
      <c r="M27" s="6" t="s">
        <v>73</v>
      </c>
      <c r="N27" s="6" t="s">
        <v>74</v>
      </c>
    </row>
    <row r="28" spans="2:14" x14ac:dyDescent="0.45">
      <c r="B28" t="s">
        <v>77</v>
      </c>
      <c r="D28" s="8">
        <f>D24</f>
        <v>270</v>
      </c>
      <c r="E28" s="8" t="e">
        <f>D31</f>
        <v>#VALUE!</v>
      </c>
      <c r="F28" s="8" t="e">
        <f t="shared" ref="F28:N28" si="0">E31</f>
        <v>#VALUE!</v>
      </c>
      <c r="G28" s="8" t="e">
        <f t="shared" si="0"/>
        <v>#VALUE!</v>
      </c>
      <c r="H28" s="8" t="e">
        <f t="shared" si="0"/>
        <v>#VALUE!</v>
      </c>
      <c r="I28" s="8" t="e">
        <f t="shared" si="0"/>
        <v>#VALUE!</v>
      </c>
      <c r="J28" s="8" t="e">
        <f t="shared" si="0"/>
        <v>#VALUE!</v>
      </c>
      <c r="K28" s="8" t="e">
        <f t="shared" si="0"/>
        <v>#VALUE!</v>
      </c>
      <c r="L28" s="8" t="e">
        <f t="shared" si="0"/>
        <v>#VALUE!</v>
      </c>
      <c r="M28" s="8" t="e">
        <f t="shared" si="0"/>
        <v>#VALUE!</v>
      </c>
      <c r="N28" s="8" t="e">
        <f t="shared" si="0"/>
        <v>#VALUE!</v>
      </c>
    </row>
    <row r="29" spans="2:14" x14ac:dyDescent="0.45">
      <c r="B29" t="s">
        <v>78</v>
      </c>
      <c r="D29" s="8">
        <f>'Personal P&amp;L'!D40</f>
        <v>0</v>
      </c>
      <c r="E29" s="8">
        <f>'Personal P&amp;L'!E40</f>
        <v>40200.000000000175</v>
      </c>
      <c r="F29" s="8">
        <f>'Personal P&amp;L'!F40</f>
        <v>86022.000000000349</v>
      </c>
      <c r="G29" s="8">
        <f>'Personal P&amp;L'!G40</f>
        <v>138113.34000000043</v>
      </c>
      <c r="H29" s="8">
        <f>'Personal P&amp;L'!H40</f>
        <v>197190.70380000077</v>
      </c>
      <c r="I29" s="8">
        <f>'Personal P&amp;L'!I40</f>
        <v>264047.30856600066</v>
      </c>
      <c r="J29" s="8">
        <f>'Personal P&amp;L'!J40</f>
        <v>339560.82784062065</v>
      </c>
      <c r="K29" s="8">
        <f>'Personal P&amp;L'!K40</f>
        <v>424702.12218821445</v>
      </c>
      <c r="L29" s="8">
        <f>'Personal P&amp;L'!L40</f>
        <v>520544.85913407686</v>
      </c>
      <c r="M29" s="8">
        <f>'Personal P&amp;L'!M40</f>
        <v>628276.11227718426</v>
      </c>
      <c r="N29" s="8">
        <f>'Personal P&amp;L'!N40</f>
        <v>749208.03850103554</v>
      </c>
    </row>
    <row r="30" spans="2:14" x14ac:dyDescent="0.45">
      <c r="B30" t="s">
        <v>79</v>
      </c>
      <c r="D30" s="19" t="e">
        <f>SUMPRODUCT(D15:D22,D9:D9)</f>
        <v>#VALUE!</v>
      </c>
      <c r="E30" s="8" t="e">
        <f t="shared" ref="E30:N30" si="1">E28*$D$27</f>
        <v>#VALUE!</v>
      </c>
      <c r="F30" s="8" t="e">
        <f t="shared" si="1"/>
        <v>#VALUE!</v>
      </c>
      <c r="G30" s="8" t="e">
        <f t="shared" si="1"/>
        <v>#VALUE!</v>
      </c>
      <c r="H30" s="8" t="e">
        <f t="shared" si="1"/>
        <v>#VALUE!</v>
      </c>
      <c r="I30" s="8" t="e">
        <f t="shared" si="1"/>
        <v>#VALUE!</v>
      </c>
      <c r="J30" s="8" t="e">
        <f t="shared" si="1"/>
        <v>#VALUE!</v>
      </c>
      <c r="K30" s="8" t="e">
        <f t="shared" si="1"/>
        <v>#VALUE!</v>
      </c>
      <c r="L30" s="8" t="e">
        <f t="shared" si="1"/>
        <v>#VALUE!</v>
      </c>
      <c r="M30" s="8" t="e">
        <f t="shared" si="1"/>
        <v>#VALUE!</v>
      </c>
      <c r="N30" s="8" t="e">
        <f t="shared" si="1"/>
        <v>#VALUE!</v>
      </c>
    </row>
    <row r="31" spans="2:14" ht="14.65" thickBot="1" x14ac:dyDescent="0.5">
      <c r="B31" s="10" t="s">
        <v>80</v>
      </c>
      <c r="C31" s="10"/>
      <c r="D31" s="12" t="e">
        <f>SUM(D28:D30)</f>
        <v>#VALUE!</v>
      </c>
      <c r="E31" s="12" t="e">
        <f t="shared" ref="E31:N31" si="2">SUM(E28:E30)</f>
        <v>#VALUE!</v>
      </c>
      <c r="F31" s="12" t="e">
        <f t="shared" si="2"/>
        <v>#VALUE!</v>
      </c>
      <c r="G31" s="12" t="e">
        <f t="shared" si="2"/>
        <v>#VALUE!</v>
      </c>
      <c r="H31" s="12" t="e">
        <f t="shared" si="2"/>
        <v>#VALUE!</v>
      </c>
      <c r="I31" s="12" t="e">
        <f t="shared" si="2"/>
        <v>#VALUE!</v>
      </c>
      <c r="J31" s="12" t="e">
        <f t="shared" si="2"/>
        <v>#VALUE!</v>
      </c>
      <c r="K31" s="12" t="e">
        <f t="shared" si="2"/>
        <v>#VALUE!</v>
      </c>
      <c r="L31" s="12" t="e">
        <f t="shared" si="2"/>
        <v>#VALUE!</v>
      </c>
      <c r="M31" s="12" t="e">
        <f t="shared" si="2"/>
        <v>#VALUE!</v>
      </c>
      <c r="N31" s="12" t="e">
        <f t="shared" si="2"/>
        <v>#VALUE!</v>
      </c>
    </row>
    <row r="34" spans="1:14" x14ac:dyDescent="0.45">
      <c r="B34" t="s">
        <v>42</v>
      </c>
      <c r="D34" t="s">
        <v>81</v>
      </c>
      <c r="F34" t="s">
        <v>82</v>
      </c>
      <c r="G34" t="s">
        <v>83</v>
      </c>
    </row>
    <row r="36" spans="1:14" x14ac:dyDescent="0.45">
      <c r="A36">
        <v>1</v>
      </c>
      <c r="B36" t="s">
        <v>46</v>
      </c>
      <c r="D36" s="13">
        <v>2500000</v>
      </c>
      <c r="F36">
        <v>10</v>
      </c>
      <c r="G36" s="13">
        <f>D36*(1+10%)^10</f>
        <v>6484356.1502500046</v>
      </c>
    </row>
    <row r="37" spans="1:14" x14ac:dyDescent="0.45">
      <c r="A37">
        <v>2</v>
      </c>
      <c r="B37" t="s">
        <v>84</v>
      </c>
      <c r="D37" s="13">
        <v>50000</v>
      </c>
    </row>
    <row r="38" spans="1:14" x14ac:dyDescent="0.45">
      <c r="A38">
        <v>3</v>
      </c>
      <c r="B38" t="s">
        <v>85</v>
      </c>
      <c r="D38" s="13">
        <v>3000000</v>
      </c>
      <c r="F38">
        <v>10</v>
      </c>
      <c r="G38" s="13">
        <f>D38*(1+8%)^10</f>
        <v>6476774.9918183628</v>
      </c>
    </row>
    <row r="39" spans="1:14" x14ac:dyDescent="0.45">
      <c r="A39">
        <v>4</v>
      </c>
      <c r="B39" t="s">
        <v>86</v>
      </c>
      <c r="D39" s="13">
        <v>1000000</v>
      </c>
      <c r="F39">
        <v>10</v>
      </c>
      <c r="G39" s="13">
        <f>D39*(1+12%)^10</f>
        <v>3105848.2083442113</v>
      </c>
    </row>
    <row r="40" spans="1:14" x14ac:dyDescent="0.45">
      <c r="A40">
        <v>5</v>
      </c>
      <c r="B40" t="s">
        <v>48</v>
      </c>
      <c r="D40" s="13"/>
      <c r="F40">
        <v>19</v>
      </c>
      <c r="G40" s="13">
        <f>Retirement!E10</f>
        <v>28012418.569080025</v>
      </c>
    </row>
    <row r="42" spans="1:14" s="7" customFormat="1" x14ac:dyDescent="0.45">
      <c r="B42" s="6" t="s">
        <v>87</v>
      </c>
      <c r="C42" s="6"/>
      <c r="D42" s="6" t="s">
        <v>64</v>
      </c>
      <c r="E42" s="6" t="s">
        <v>65</v>
      </c>
      <c r="F42" s="6" t="s">
        <v>66</v>
      </c>
      <c r="G42" s="6" t="s">
        <v>67</v>
      </c>
      <c r="H42" s="6" t="s">
        <v>68</v>
      </c>
      <c r="I42" s="6" t="s">
        <v>69</v>
      </c>
      <c r="J42" s="6" t="s">
        <v>70</v>
      </c>
      <c r="K42" s="6" t="s">
        <v>71</v>
      </c>
      <c r="L42" s="6" t="s">
        <v>72</v>
      </c>
      <c r="M42" s="6" t="s">
        <v>73</v>
      </c>
      <c r="N42" s="6" t="s">
        <v>74</v>
      </c>
    </row>
    <row r="43" spans="1:14" x14ac:dyDescent="0.45">
      <c r="B43" t="s">
        <v>88</v>
      </c>
      <c r="D43" s="8"/>
      <c r="E43" s="8"/>
      <c r="F43" s="8"/>
      <c r="G43" s="8"/>
      <c r="H43" s="8"/>
      <c r="I43" s="8">
        <f>-G38</f>
        <v>-6476774.9918183628</v>
      </c>
      <c r="J43" s="8"/>
      <c r="K43" s="8"/>
      <c r="L43" s="8"/>
      <c r="M43" s="8"/>
      <c r="N43" s="8">
        <f>-G36</f>
        <v>-6484356.1502500046</v>
      </c>
    </row>
    <row r="44" spans="1:14" x14ac:dyDescent="0.45">
      <c r="B44" t="s">
        <v>89</v>
      </c>
      <c r="D44">
        <f t="shared" ref="D44:N44" si="3">-$D$60</f>
        <v>0</v>
      </c>
      <c r="E44">
        <f t="shared" si="3"/>
        <v>0</v>
      </c>
      <c r="F44">
        <f t="shared" si="3"/>
        <v>0</v>
      </c>
      <c r="G44">
        <f t="shared" si="3"/>
        <v>0</v>
      </c>
      <c r="H44">
        <f t="shared" si="3"/>
        <v>0</v>
      </c>
      <c r="I44">
        <f t="shared" si="3"/>
        <v>0</v>
      </c>
      <c r="J44">
        <f t="shared" si="3"/>
        <v>0</v>
      </c>
      <c r="K44">
        <f t="shared" si="3"/>
        <v>0</v>
      </c>
      <c r="L44">
        <f t="shared" si="3"/>
        <v>0</v>
      </c>
      <c r="M44">
        <f t="shared" si="3"/>
        <v>0</v>
      </c>
      <c r="N44">
        <f t="shared" si="3"/>
        <v>0</v>
      </c>
    </row>
    <row r="45" spans="1:14" x14ac:dyDescent="0.45">
      <c r="B45" t="s">
        <v>90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1:14" ht="14.65" thickBot="1" x14ac:dyDescent="0.5">
      <c r="B46" s="10" t="s">
        <v>91</v>
      </c>
      <c r="C46" s="10"/>
      <c r="D46" s="12">
        <f>SUM(D43:D45)</f>
        <v>0</v>
      </c>
      <c r="E46" s="12">
        <f t="shared" ref="E46:N46" si="4">SUM(E43:E45)</f>
        <v>0</v>
      </c>
      <c r="F46" s="12">
        <f t="shared" si="4"/>
        <v>0</v>
      </c>
      <c r="G46" s="12">
        <f t="shared" si="4"/>
        <v>0</v>
      </c>
      <c r="H46" s="12">
        <f t="shared" si="4"/>
        <v>0</v>
      </c>
      <c r="I46" s="12">
        <f t="shared" si="4"/>
        <v>-6476774.9918183628</v>
      </c>
      <c r="J46" s="12">
        <f t="shared" si="4"/>
        <v>0</v>
      </c>
      <c r="K46" s="12">
        <f t="shared" si="4"/>
        <v>0</v>
      </c>
      <c r="L46" s="12">
        <f t="shared" si="4"/>
        <v>0</v>
      </c>
      <c r="M46" s="12">
        <f t="shared" si="4"/>
        <v>0</v>
      </c>
      <c r="N46" s="12">
        <f t="shared" si="4"/>
        <v>-6484356.1502500046</v>
      </c>
    </row>
    <row r="49" spans="2:22" x14ac:dyDescent="0.45">
      <c r="B49" s="14" t="s">
        <v>92</v>
      </c>
      <c r="C49" s="14"/>
      <c r="D49" s="15">
        <f>D25*12+D46</f>
        <v>0</v>
      </c>
      <c r="E49" s="15">
        <f t="shared" ref="E49:N49" si="5">E25*12+E46</f>
        <v>0</v>
      </c>
      <c r="F49" s="15">
        <f t="shared" si="5"/>
        <v>0</v>
      </c>
      <c r="G49" s="15">
        <f t="shared" si="5"/>
        <v>0</v>
      </c>
      <c r="H49" s="15">
        <f t="shared" si="5"/>
        <v>0</v>
      </c>
      <c r="I49" s="15">
        <f t="shared" si="5"/>
        <v>-6476774.9918183628</v>
      </c>
      <c r="J49" s="15">
        <f t="shared" si="5"/>
        <v>0</v>
      </c>
      <c r="K49" s="15">
        <f t="shared" si="5"/>
        <v>0</v>
      </c>
      <c r="L49" s="15">
        <f t="shared" si="5"/>
        <v>0</v>
      </c>
      <c r="M49" s="15">
        <f t="shared" si="5"/>
        <v>0</v>
      </c>
      <c r="N49" s="15">
        <f t="shared" si="5"/>
        <v>-6484356.1502500046</v>
      </c>
    </row>
    <row r="51" spans="2:22" x14ac:dyDescent="0.45">
      <c r="B51" s="7" t="s">
        <v>93</v>
      </c>
      <c r="C51" s="7"/>
      <c r="D51" s="16">
        <f>NPV(10%, D46:N46)</f>
        <v>-5928697.906433003</v>
      </c>
    </row>
    <row r="53" spans="2:22" x14ac:dyDescent="0.45">
      <c r="B53" t="s">
        <v>94</v>
      </c>
      <c r="D53" s="8" t="e">
        <f>D1*12</f>
        <v>#VALUE!</v>
      </c>
    </row>
    <row r="54" spans="2:22" x14ac:dyDescent="0.45">
      <c r="B54" t="s">
        <v>95</v>
      </c>
      <c r="D54" s="1">
        <v>0.5</v>
      </c>
    </row>
    <row r="55" spans="2:22" x14ac:dyDescent="0.45">
      <c r="B55" t="s">
        <v>96</v>
      </c>
      <c r="D55" t="e">
        <f>D53*(1-D54)</f>
        <v>#VALUE!</v>
      </c>
      <c r="E55" t="e">
        <f>D55</f>
        <v>#VALUE!</v>
      </c>
      <c r="F55" t="e">
        <f t="shared" ref="F55:N55" si="6">E55</f>
        <v>#VALUE!</v>
      </c>
      <c r="G55" t="e">
        <f t="shared" si="6"/>
        <v>#VALUE!</v>
      </c>
      <c r="H55" t="e">
        <f t="shared" si="6"/>
        <v>#VALUE!</v>
      </c>
      <c r="I55" t="e">
        <f t="shared" si="6"/>
        <v>#VALUE!</v>
      </c>
      <c r="J55" t="e">
        <f t="shared" si="6"/>
        <v>#VALUE!</v>
      </c>
      <c r="K55" t="e">
        <f t="shared" si="6"/>
        <v>#VALUE!</v>
      </c>
      <c r="L55" t="e">
        <f t="shared" si="6"/>
        <v>#VALUE!</v>
      </c>
      <c r="M55" t="e">
        <f t="shared" si="6"/>
        <v>#VALUE!</v>
      </c>
      <c r="N55" t="e">
        <f t="shared" si="6"/>
        <v>#VALUE!</v>
      </c>
    </row>
    <row r="57" spans="2:22" x14ac:dyDescent="0.45">
      <c r="B57" s="7" t="s">
        <v>97</v>
      </c>
      <c r="C57" s="7"/>
      <c r="D57" s="16" t="e">
        <f>N31/(1+10%)^10</f>
        <v>#VALUE!</v>
      </c>
    </row>
    <row r="59" spans="2:22" x14ac:dyDescent="0.45">
      <c r="B59" s="7" t="s">
        <v>98</v>
      </c>
      <c r="C59" s="7"/>
      <c r="D59" s="16" t="e">
        <f>D57+D51</f>
        <v>#VALUE!</v>
      </c>
    </row>
    <row r="61" spans="2:22" x14ac:dyDescent="0.45">
      <c r="H61" t="s">
        <v>147</v>
      </c>
      <c r="O61" t="s">
        <v>135</v>
      </c>
      <c r="P61" t="s">
        <v>136</v>
      </c>
      <c r="Q61" t="s">
        <v>137</v>
      </c>
      <c r="R61" t="s">
        <v>138</v>
      </c>
    </row>
    <row r="62" spans="2:22" x14ac:dyDescent="0.45">
      <c r="H62" s="1">
        <v>1</v>
      </c>
      <c r="I62" s="1">
        <v>0.7</v>
      </c>
      <c r="J62" s="1">
        <v>0.5</v>
      </c>
      <c r="K62" s="1">
        <v>0.3</v>
      </c>
      <c r="L62" s="1">
        <v>0</v>
      </c>
    </row>
    <row r="63" spans="2:22" s="7" customFormat="1" x14ac:dyDescent="0.45">
      <c r="B63" s="7" t="s">
        <v>42</v>
      </c>
      <c r="D63" s="7" t="s">
        <v>81</v>
      </c>
      <c r="F63" s="7" t="s">
        <v>82</v>
      </c>
      <c r="G63" s="7" t="s">
        <v>83</v>
      </c>
      <c r="H63" s="7" t="s">
        <v>148</v>
      </c>
      <c r="I63" s="7" t="s">
        <v>149</v>
      </c>
      <c r="J63" s="7" t="s">
        <v>150</v>
      </c>
      <c r="K63" s="7" t="s">
        <v>151</v>
      </c>
      <c r="L63" s="23">
        <v>1</v>
      </c>
      <c r="N63" s="7" t="s">
        <v>121</v>
      </c>
      <c r="O63" s="22">
        <v>0.11</v>
      </c>
      <c r="P63" s="22">
        <v>0.17</v>
      </c>
      <c r="Q63" s="22">
        <v>0.13600000000000001</v>
      </c>
      <c r="R63" s="22">
        <v>0.129</v>
      </c>
    </row>
    <row r="64" spans="2:22" x14ac:dyDescent="0.45">
      <c r="H64" s="18">
        <f>P65</f>
        <v>5.1999999999999998E-2</v>
      </c>
      <c r="I64">
        <f>0.7*P65+0.3*P63</f>
        <v>8.7400000000000005E-2</v>
      </c>
      <c r="J64">
        <f>0.5*P65+0.5*P63</f>
        <v>0.111</v>
      </c>
      <c r="K64">
        <f>0.3*P65+0.7*P63</f>
        <v>0.1346</v>
      </c>
      <c r="L64" s="18">
        <f>P63</f>
        <v>0.17</v>
      </c>
      <c r="N64" t="s">
        <v>34</v>
      </c>
      <c r="O64" s="17">
        <v>0.09</v>
      </c>
      <c r="P64" s="17">
        <v>0.129</v>
      </c>
      <c r="Q64" s="17">
        <v>0.11</v>
      </c>
      <c r="R64" s="17">
        <v>8.4000000000000005E-2</v>
      </c>
      <c r="U64" s="1"/>
      <c r="V64" s="1"/>
    </row>
    <row r="65" spans="1:22" x14ac:dyDescent="0.45">
      <c r="A65" t="s">
        <v>131</v>
      </c>
      <c r="B65" t="s">
        <v>46</v>
      </c>
      <c r="D65" s="13">
        <v>2500000</v>
      </c>
      <c r="F65">
        <v>2026</v>
      </c>
      <c r="G65" s="13">
        <f>D65*(1+10%)^10</f>
        <v>6484356.1502500046</v>
      </c>
      <c r="N65" t="s">
        <v>139</v>
      </c>
      <c r="O65" s="17">
        <v>5.7000000000000002E-2</v>
      </c>
      <c r="P65" s="17">
        <v>5.1999999999999998E-2</v>
      </c>
      <c r="Q65" s="17">
        <v>5.0999999999999997E-2</v>
      </c>
      <c r="R65" s="17">
        <v>5.5E-2</v>
      </c>
      <c r="U65" s="1"/>
      <c r="V65" s="21"/>
    </row>
    <row r="66" spans="1:22" x14ac:dyDescent="0.45">
      <c r="N66" t="s">
        <v>27</v>
      </c>
      <c r="O66" s="17">
        <v>0.08</v>
      </c>
      <c r="P66" s="17">
        <v>0.13400000000000001</v>
      </c>
      <c r="Q66" s="17">
        <v>0.108</v>
      </c>
      <c r="R66" s="17">
        <v>6.2E-2</v>
      </c>
    </row>
    <row r="67" spans="1:22" x14ac:dyDescent="0.45">
      <c r="B67" t="s">
        <v>132</v>
      </c>
      <c r="D67" s="20">
        <f>PMT(10%/12,(F65-2016)*12,,G65)</f>
        <v>-31654.943093848757</v>
      </c>
      <c r="G67" s="20"/>
      <c r="H67" s="13">
        <f>PMT(H$64/12,($F65-2016)*12,,$G65)</f>
        <v>-41313.427422737921</v>
      </c>
      <c r="I67" s="13">
        <f t="shared" ref="I67:L67" si="7">PMT(I$64/12,($F65-2016)*12,,$G65)</f>
        <v>-34003.718245484364</v>
      </c>
      <c r="J67" s="13">
        <f t="shared" si="7"/>
        <v>-29709.164040267551</v>
      </c>
      <c r="K67" s="13">
        <f t="shared" si="7"/>
        <v>-25852.791471882509</v>
      </c>
      <c r="L67" s="13">
        <f t="shared" si="7"/>
        <v>-20834.87518095359</v>
      </c>
      <c r="N67" t="s">
        <v>140</v>
      </c>
      <c r="O67" s="17">
        <v>6.2E-2</v>
      </c>
      <c r="P67" s="17">
        <v>5.8999999999999997E-2</v>
      </c>
      <c r="Q67" s="17">
        <v>5.7000000000000002E-2</v>
      </c>
      <c r="R67" s="17">
        <v>5.5E-2</v>
      </c>
      <c r="T67" s="20"/>
      <c r="U67" s="17"/>
    </row>
    <row r="68" spans="1:22" x14ac:dyDescent="0.45">
      <c r="N68" t="s">
        <v>141</v>
      </c>
      <c r="O68" s="17">
        <v>7.3999999999999996E-2</v>
      </c>
      <c r="P68" s="17">
        <v>6.3E-2</v>
      </c>
      <c r="Q68" s="17">
        <v>5.8999999999999997E-2</v>
      </c>
      <c r="R68" s="17">
        <v>5.7000000000000002E-2</v>
      </c>
    </row>
    <row r="69" spans="1:22" x14ac:dyDescent="0.45">
      <c r="F69" s="20"/>
      <c r="Q69" t="s">
        <v>142</v>
      </c>
    </row>
    <row r="70" spans="1:22" x14ac:dyDescent="0.45">
      <c r="A70" t="s">
        <v>133</v>
      </c>
      <c r="B70" t="s">
        <v>85</v>
      </c>
      <c r="D70" s="13">
        <v>3000000</v>
      </c>
      <c r="F70">
        <v>2021</v>
      </c>
      <c r="G70" s="13">
        <f>D70*(1+8%)^5</f>
        <v>4407984.2304000007</v>
      </c>
    </row>
    <row r="72" spans="1:22" x14ac:dyDescent="0.45">
      <c r="B72" t="s">
        <v>132</v>
      </c>
      <c r="D72" s="20">
        <f>PMT(10%/12,(F70-2016)*12,,G70)</f>
        <v>-56923.436109874296</v>
      </c>
      <c r="H72" s="13">
        <f>PMT(H$64/12,($F70-2016)*12,,$G70)</f>
        <v>-64487.337935295247</v>
      </c>
      <c r="I72" s="13">
        <f t="shared" ref="I72:L72" si="8">PMT(I$64/12,($F70-2016)*12,,$G70)</f>
        <v>-58842.460202491835</v>
      </c>
      <c r="J72" s="13">
        <f t="shared" si="8"/>
        <v>-55286.380426780073</v>
      </c>
      <c r="K72" s="13">
        <f t="shared" si="8"/>
        <v>-51893.335422428951</v>
      </c>
      <c r="L72" s="13">
        <f t="shared" si="8"/>
        <v>-47103.318802333612</v>
      </c>
      <c r="T72" s="20"/>
      <c r="U72" s="17"/>
    </row>
    <row r="75" spans="1:22" x14ac:dyDescent="0.45">
      <c r="A75" t="s">
        <v>134</v>
      </c>
      <c r="B75" t="s">
        <v>86</v>
      </c>
      <c r="D75" s="13">
        <v>1000000</v>
      </c>
      <c r="F75">
        <v>2026</v>
      </c>
      <c r="G75" s="13">
        <f>D75*(1+12%)^10</f>
        <v>3105848.2083442113</v>
      </c>
    </row>
    <row r="77" spans="1:22" x14ac:dyDescent="0.45">
      <c r="B77" t="s">
        <v>132</v>
      </c>
      <c r="D77" s="20">
        <f>PMT(10%/12,(F75-2016)*12,,G75)</f>
        <v>-15161.944534690247</v>
      </c>
      <c r="H77" s="13">
        <f>PMT(H$64/12,($F75-2016)*12,,$G75)</f>
        <v>-19788.122608984402</v>
      </c>
      <c r="I77" s="13">
        <f t="shared" ref="I77:L77" si="9">PMT(I$64/12,($F75-2016)*12,,$G75)</f>
        <v>-16286.950460873006</v>
      </c>
      <c r="J77" s="13">
        <f t="shared" si="9"/>
        <v>-14229.963895846731</v>
      </c>
      <c r="K77" s="13">
        <f t="shared" si="9"/>
        <v>-12382.855631788065</v>
      </c>
      <c r="L77" s="13">
        <f t="shared" si="9"/>
        <v>-9979.3962966307936</v>
      </c>
      <c r="T77" s="20"/>
      <c r="U77" s="17"/>
    </row>
    <row r="79" spans="1:22" x14ac:dyDescent="0.45">
      <c r="A79" t="s">
        <v>152</v>
      </c>
      <c r="B79" t="s">
        <v>153</v>
      </c>
      <c r="D79" s="13">
        <v>1000000</v>
      </c>
      <c r="F79">
        <v>2035</v>
      </c>
      <c r="G79" s="13">
        <f>Retirement!E10</f>
        <v>28012418.569080025</v>
      </c>
    </row>
    <row r="81" spans="1:21" x14ac:dyDescent="0.45">
      <c r="B81" t="s">
        <v>132</v>
      </c>
      <c r="D81" s="20">
        <f>PMT(10%/12,(F79-2016)*12,,G79)</f>
        <v>-41437.532713321692</v>
      </c>
      <c r="H81" s="13">
        <f>PMT(H$64/12,($F79-2016)*12,,$G79)</f>
        <v>-72248.64091200089</v>
      </c>
      <c r="I81" s="13">
        <f t="shared" ref="I81:L81" si="10">PMT(I$64/12,($F79-2016)*12,,$G79)</f>
        <v>-48222.401638322212</v>
      </c>
      <c r="J81" s="13">
        <f t="shared" si="10"/>
        <v>-36186.693901399602</v>
      </c>
      <c r="K81" s="13">
        <f t="shared" si="10"/>
        <v>-26809.730155955902</v>
      </c>
      <c r="L81" s="13">
        <f t="shared" si="10"/>
        <v>-16735.142587836785</v>
      </c>
      <c r="T81" s="20"/>
      <c r="U81" s="17"/>
    </row>
    <row r="84" spans="1:21" x14ac:dyDescent="0.45">
      <c r="A84" t="s">
        <v>154</v>
      </c>
      <c r="D84" s="20">
        <f>D67+D72+D77+D81</f>
        <v>-145177.85645173499</v>
      </c>
    </row>
    <row r="85" spans="1:21" x14ac:dyDescent="0.45">
      <c r="A85" t="s">
        <v>155</v>
      </c>
      <c r="D85">
        <f>'Personal P&amp;L'!D23</f>
        <v>90000</v>
      </c>
      <c r="F85" t="s">
        <v>158</v>
      </c>
    </row>
    <row r="86" spans="1:21" x14ac:dyDescent="0.45">
      <c r="A86" t="s">
        <v>156</v>
      </c>
      <c r="D86">
        <f>('Personal P&amp;L'!D25+'Personal P&amp;L'!D26+'Personal P&amp;L'!D27+'Personal P&amp;L'!D28+'Personal P&amp;L'!D29)</f>
        <v>65000</v>
      </c>
    </row>
    <row r="87" spans="1:21" x14ac:dyDescent="0.45">
      <c r="A87" t="s">
        <v>157</v>
      </c>
      <c r="D87">
        <f>D85-D86</f>
        <v>25000</v>
      </c>
    </row>
    <row r="88" spans="1:21" x14ac:dyDescent="0.45">
      <c r="F88" t="s">
        <v>159</v>
      </c>
    </row>
    <row r="89" spans="1:21" x14ac:dyDescent="0.45">
      <c r="F89" t="s">
        <v>160</v>
      </c>
    </row>
    <row r="90" spans="1:21" x14ac:dyDescent="0.45">
      <c r="F90" t="s">
        <v>161</v>
      </c>
    </row>
    <row r="91" spans="1:21" x14ac:dyDescent="0.45">
      <c r="G91" t="s">
        <v>162</v>
      </c>
    </row>
    <row r="93" spans="1:21" x14ac:dyDescent="0.45">
      <c r="F93" t="s">
        <v>163</v>
      </c>
    </row>
    <row r="94" spans="1:21" x14ac:dyDescent="0.45">
      <c r="F94" t="s">
        <v>160</v>
      </c>
    </row>
    <row r="95" spans="1:21" x14ac:dyDescent="0.45">
      <c r="F95" t="s">
        <v>164</v>
      </c>
    </row>
    <row r="97" spans="1:9" x14ac:dyDescent="0.45">
      <c r="A97" t="s">
        <v>171</v>
      </c>
      <c r="D97">
        <f>D87</f>
        <v>25000</v>
      </c>
    </row>
    <row r="99" spans="1:9" x14ac:dyDescent="0.45">
      <c r="A99" t="s">
        <v>165</v>
      </c>
      <c r="C99" t="s">
        <v>173</v>
      </c>
      <c r="F99" t="s">
        <v>43</v>
      </c>
      <c r="G99" t="s">
        <v>170</v>
      </c>
      <c r="H99" t="s">
        <v>172</v>
      </c>
    </row>
    <row r="100" spans="1:9" x14ac:dyDescent="0.45">
      <c r="B100" t="s">
        <v>54</v>
      </c>
      <c r="C100" s="24">
        <f>D36</f>
        <v>2500000</v>
      </c>
      <c r="D100">
        <f>D97/4</f>
        <v>6250</v>
      </c>
      <c r="E100" t="s">
        <v>167</v>
      </c>
      <c r="F100" s="24">
        <f>G36</f>
        <v>6484356.1502500046</v>
      </c>
      <c r="G100" s="2">
        <f>-FV(I100/12,120,D100)/F100</f>
        <v>0.21037279916489118</v>
      </c>
      <c r="H100" s="13">
        <f>-NPER(I100/12,D100,C100)/12</f>
        <v>14.006387401918976</v>
      </c>
      <c r="I100">
        <v>0.111</v>
      </c>
    </row>
    <row r="101" spans="1:9" x14ac:dyDescent="0.45">
      <c r="B101" t="s">
        <v>86</v>
      </c>
      <c r="C101" s="24">
        <f>D39</f>
        <v>1000000</v>
      </c>
      <c r="D101">
        <f>D100</f>
        <v>6250</v>
      </c>
      <c r="E101" t="s">
        <v>167</v>
      </c>
      <c r="F101" s="24">
        <f>G39</f>
        <v>3105848.2083442113</v>
      </c>
      <c r="G101" s="2">
        <f>-FV(I101/12,120,D101)/F101</f>
        <v>0.43921404479628989</v>
      </c>
      <c r="H101" s="13">
        <f>-NPER(I101/12,D101,C101)/12</f>
        <v>8.220295583085317</v>
      </c>
      <c r="I101">
        <v>0.111</v>
      </c>
    </row>
    <row r="102" spans="1:9" x14ac:dyDescent="0.45">
      <c r="B102" t="s">
        <v>48</v>
      </c>
      <c r="C102" s="24">
        <f>D40</f>
        <v>0</v>
      </c>
      <c r="D102">
        <f t="shared" ref="D102:D103" si="11">D101</f>
        <v>6250</v>
      </c>
      <c r="E102" t="s">
        <v>169</v>
      </c>
      <c r="F102" s="24">
        <f>G40</f>
        <v>28012418.569080025</v>
      </c>
      <c r="G102" s="2">
        <f>-FV(I102/12,120,D102)/F102</f>
        <v>4.869740721409517E-2</v>
      </c>
      <c r="H102" s="13">
        <f>-NPER(I102/12,D102,C102)/12</f>
        <v>0</v>
      </c>
      <c r="I102">
        <v>0.111</v>
      </c>
    </row>
    <row r="103" spans="1:9" x14ac:dyDescent="0.45">
      <c r="B103" t="s">
        <v>166</v>
      </c>
      <c r="C103" s="24">
        <f>D38</f>
        <v>3000000</v>
      </c>
      <c r="D103">
        <f t="shared" si="11"/>
        <v>6250</v>
      </c>
      <c r="E103" t="s">
        <v>168</v>
      </c>
      <c r="F103" s="24">
        <f>G38</f>
        <v>6476774.9918183628</v>
      </c>
      <c r="G103" s="2">
        <f>-FV(I103/12,120,D103)/F103</f>
        <v>0.21061904355692143</v>
      </c>
      <c r="H103" s="13">
        <f>-NPER(I103/12,D103,C103)/12</f>
        <v>15.32973664466504</v>
      </c>
      <c r="I103">
        <v>0.111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workbookViewId="0">
      <selection activeCell="E10" sqref="E10"/>
    </sheetView>
  </sheetViews>
  <sheetFormatPr defaultRowHeight="14.25" x14ac:dyDescent="0.45"/>
  <cols>
    <col min="5" max="5" width="13.3984375" bestFit="1" customWidth="1"/>
  </cols>
  <sheetData>
    <row r="2" spans="2:5" x14ac:dyDescent="0.45">
      <c r="B2" t="s">
        <v>48</v>
      </c>
    </row>
    <row r="4" spans="2:5" x14ac:dyDescent="0.45">
      <c r="B4" t="s">
        <v>143</v>
      </c>
      <c r="E4" s="13">
        <f>'Personal P&amp;L'!N23*12</f>
        <v>2801241.8569080029</v>
      </c>
    </row>
    <row r="6" spans="2:5" x14ac:dyDescent="0.45">
      <c r="B6" t="s">
        <v>144</v>
      </c>
      <c r="E6" s="19">
        <f>E4*0.7</f>
        <v>1960869.2998356018</v>
      </c>
    </row>
    <row r="8" spans="2:5" x14ac:dyDescent="0.45">
      <c r="B8" t="s">
        <v>145</v>
      </c>
      <c r="E8" s="1">
        <v>7.0000000000000007E-2</v>
      </c>
    </row>
    <row r="10" spans="2:5" x14ac:dyDescent="0.45">
      <c r="B10" t="s">
        <v>146</v>
      </c>
      <c r="E10" s="19">
        <f>E6/E8</f>
        <v>28012418.569080025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6"/>
  <sheetViews>
    <sheetView showGridLines="0" workbookViewId="0">
      <selection activeCell="L6" sqref="L6"/>
    </sheetView>
  </sheetViews>
  <sheetFormatPr defaultRowHeight="14.25" x14ac:dyDescent="0.45"/>
  <sheetData>
    <row r="6" spans="12:12" x14ac:dyDescent="0.45">
      <c r="L6" t="s">
        <v>130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I31" sqref="I31"/>
    </sheetView>
  </sheetViews>
  <sheetFormatPr defaultRowHeight="14.25" x14ac:dyDescent="0.45"/>
  <sheetData>
    <row r="2" spans="1:2" x14ac:dyDescent="0.45">
      <c r="A2" t="s">
        <v>115</v>
      </c>
    </row>
    <row r="3" spans="1:2" x14ac:dyDescent="0.45">
      <c r="B3" t="s">
        <v>37</v>
      </c>
    </row>
    <row r="5" spans="1:2" x14ac:dyDescent="0.45">
      <c r="B5" t="s">
        <v>38</v>
      </c>
    </row>
    <row r="7" spans="1:2" x14ac:dyDescent="0.45">
      <c r="B7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Full Asset tool</vt:lpstr>
      <vt:lpstr>Personal P&amp;L</vt:lpstr>
      <vt:lpstr>YFInAdvisor data</vt:lpstr>
      <vt:lpstr>Personal Detail Sh</vt:lpstr>
      <vt:lpstr>Asst alloc</vt:lpstr>
      <vt:lpstr>Retirement</vt:lpstr>
      <vt:lpstr>Sheet2</vt:lpstr>
      <vt:lpstr>Debt 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Sharma</dc:creator>
  <cp:lastModifiedBy>Amit Sharma</cp:lastModifiedBy>
  <dcterms:created xsi:type="dcterms:W3CDTF">2016-02-06T09:32:51Z</dcterms:created>
  <dcterms:modified xsi:type="dcterms:W3CDTF">2016-03-04T13:10:35Z</dcterms:modified>
</cp:coreProperties>
</file>