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20100" windowHeight="6900"/>
  </bookViews>
  <sheets>
    <sheet name="Input Sheet" sheetId="1" r:id="rId1"/>
    <sheet name="Output Sheet" sheetId="3" r:id="rId2"/>
    <sheet name="Valuation" sheetId="4" r:id="rId3"/>
    <sheet name="Assumptions" sheetId="2" r:id="rId4"/>
  </sheets>
  <calcPr calcId="124519"/>
</workbook>
</file>

<file path=xl/calcChain.xml><?xml version="1.0" encoding="utf-8"?>
<calcChain xmlns="http://schemas.openxmlformats.org/spreadsheetml/2006/main">
  <c r="F77" i="3"/>
  <c r="F76"/>
  <c r="F73"/>
  <c r="F72"/>
  <c r="F71"/>
  <c r="F70"/>
  <c r="F61"/>
  <c r="I60"/>
  <c r="H60"/>
  <c r="G60"/>
  <c r="I59"/>
  <c r="H59"/>
  <c r="G59"/>
  <c r="F51"/>
  <c r="F50"/>
  <c r="F47"/>
  <c r="F46"/>
  <c r="F45"/>
  <c r="F44"/>
  <c r="H41"/>
  <c r="F35"/>
  <c r="I34"/>
  <c r="H34"/>
  <c r="G34"/>
  <c r="I33"/>
  <c r="H33"/>
  <c r="G33"/>
  <c r="G197" i="1"/>
  <c r="F197"/>
  <c r="E197"/>
  <c r="F191"/>
  <c r="G191"/>
  <c r="E191"/>
  <c r="D187"/>
  <c r="D202" s="1"/>
  <c r="E187"/>
  <c r="G67" i="3" s="1"/>
  <c r="F187" i="1"/>
  <c r="H67" i="3" s="1"/>
  <c r="G187" i="1"/>
  <c r="I67" i="3" s="1"/>
  <c r="C187" i="1"/>
  <c r="C231" s="1"/>
  <c r="G107"/>
  <c r="F107"/>
  <c r="F106" s="1"/>
  <c r="H44" i="3" s="1"/>
  <c r="E107" i="1"/>
  <c r="F101"/>
  <c r="G101"/>
  <c r="E101"/>
  <c r="D97"/>
  <c r="D107" s="1"/>
  <c r="F34" i="3" s="1"/>
  <c r="E97" i="1"/>
  <c r="G41" i="3" s="1"/>
  <c r="F97" i="1"/>
  <c r="G97"/>
  <c r="I41" i="3" s="1"/>
  <c r="C97" i="1"/>
  <c r="C141" s="1"/>
  <c r="G266"/>
  <c r="F266"/>
  <c r="E266"/>
  <c r="D266"/>
  <c r="D263"/>
  <c r="G262"/>
  <c r="F262"/>
  <c r="E262"/>
  <c r="D262"/>
  <c r="D260"/>
  <c r="D255"/>
  <c r="E251"/>
  <c r="E255" s="1"/>
  <c r="D251"/>
  <c r="C251"/>
  <c r="C255" s="1"/>
  <c r="F247"/>
  <c r="F251" s="1"/>
  <c r="F255" s="1"/>
  <c r="E247"/>
  <c r="G241"/>
  <c r="F241"/>
  <c r="E241"/>
  <c r="D241"/>
  <c r="C235"/>
  <c r="D233"/>
  <c r="D234" s="1"/>
  <c r="C233"/>
  <c r="G231"/>
  <c r="G229" s="1"/>
  <c r="F231"/>
  <c r="E231"/>
  <c r="E229" s="1"/>
  <c r="E230" s="1"/>
  <c r="D230"/>
  <c r="D226"/>
  <c r="D222"/>
  <c r="C207"/>
  <c r="C209" s="1"/>
  <c r="D203"/>
  <c r="D207" s="1"/>
  <c r="C203"/>
  <c r="F203"/>
  <c r="E203"/>
  <c r="D193"/>
  <c r="D194" s="1"/>
  <c r="C193"/>
  <c r="F190"/>
  <c r="G225"/>
  <c r="F229"/>
  <c r="E221"/>
  <c r="G176"/>
  <c r="F176"/>
  <c r="E176"/>
  <c r="D176"/>
  <c r="D173"/>
  <c r="G172"/>
  <c r="F172"/>
  <c r="E172"/>
  <c r="D172"/>
  <c r="D170"/>
  <c r="D165"/>
  <c r="E161"/>
  <c r="E165" s="1"/>
  <c r="D161"/>
  <c r="C161"/>
  <c r="C165" s="1"/>
  <c r="F157"/>
  <c r="F161" s="1"/>
  <c r="F165" s="1"/>
  <c r="E157"/>
  <c r="G151"/>
  <c r="F151"/>
  <c r="E151"/>
  <c r="D151"/>
  <c r="D143"/>
  <c r="D144" s="1"/>
  <c r="C143"/>
  <c r="G141"/>
  <c r="G139" s="1"/>
  <c r="F141"/>
  <c r="E141"/>
  <c r="E139" s="1"/>
  <c r="E140" s="1"/>
  <c r="D140"/>
  <c r="C137"/>
  <c r="D136"/>
  <c r="D133"/>
  <c r="C133"/>
  <c r="D132"/>
  <c r="C117"/>
  <c r="C119" s="1"/>
  <c r="D113"/>
  <c r="D117" s="1"/>
  <c r="C113"/>
  <c r="C112"/>
  <c r="F113"/>
  <c r="E113"/>
  <c r="C110"/>
  <c r="C107"/>
  <c r="D103"/>
  <c r="D104" s="1"/>
  <c r="C103"/>
  <c r="D101"/>
  <c r="F33" i="3" s="1"/>
  <c r="C101" i="1"/>
  <c r="F100"/>
  <c r="G135"/>
  <c r="F139"/>
  <c r="E131"/>
  <c r="F26" i="2"/>
  <c r="G26"/>
  <c r="E26"/>
  <c r="E25" s="1"/>
  <c r="F24"/>
  <c r="G24"/>
  <c r="E24"/>
  <c r="E23" s="1"/>
  <c r="F17"/>
  <c r="G17"/>
  <c r="E17"/>
  <c r="F15"/>
  <c r="G15"/>
  <c r="E15"/>
  <c r="D27"/>
  <c r="D28" s="1"/>
  <c r="C27"/>
  <c r="D26"/>
  <c r="D24"/>
  <c r="D18"/>
  <c r="D19" s="1"/>
  <c r="C18"/>
  <c r="D17"/>
  <c r="E16"/>
  <c r="F16" s="1"/>
  <c r="G16" s="1"/>
  <c r="D15"/>
  <c r="E14"/>
  <c r="F25" i="3"/>
  <c r="F24"/>
  <c r="F15"/>
  <c r="F14"/>
  <c r="G8"/>
  <c r="H8"/>
  <c r="I8"/>
  <c r="F8"/>
  <c r="G7"/>
  <c r="H7"/>
  <c r="I7"/>
  <c r="F7"/>
  <c r="F6"/>
  <c r="F196" i="1" l="1"/>
  <c r="H70" i="3" s="1"/>
  <c r="D227" i="1"/>
  <c r="C145"/>
  <c r="F140"/>
  <c r="F40" i="3"/>
  <c r="F41"/>
  <c r="F66"/>
  <c r="F67"/>
  <c r="F193" i="1"/>
  <c r="D188"/>
  <c r="F58" i="3" s="1"/>
  <c r="D200" i="1"/>
  <c r="D223"/>
  <c r="D231"/>
  <c r="F230"/>
  <c r="D191"/>
  <c r="F59" i="3" s="1"/>
  <c r="D197" i="1"/>
  <c r="F60" i="3" s="1"/>
  <c r="C197" i="1"/>
  <c r="C223"/>
  <c r="C191"/>
  <c r="C227"/>
  <c r="C200"/>
  <c r="C202"/>
  <c r="D110"/>
  <c r="D112"/>
  <c r="D137"/>
  <c r="F103"/>
  <c r="D141"/>
  <c r="D98"/>
  <c r="F32" i="3" s="1"/>
  <c r="G140" i="1"/>
  <c r="F207"/>
  <c r="E222"/>
  <c r="D211"/>
  <c r="D215" s="1"/>
  <c r="D216" s="1"/>
  <c r="D209"/>
  <c r="G230"/>
  <c r="F188"/>
  <c r="H58" i="3" s="1"/>
  <c r="G190" i="1"/>
  <c r="E196"/>
  <c r="F200"/>
  <c r="F202"/>
  <c r="C211"/>
  <c r="C215" s="1"/>
  <c r="G221"/>
  <c r="F225"/>
  <c r="F226" s="1"/>
  <c r="E188"/>
  <c r="G58" i="3" s="1"/>
  <c r="E200" i="1"/>
  <c r="E202"/>
  <c r="F221"/>
  <c r="E225"/>
  <c r="E226" s="1"/>
  <c r="F260"/>
  <c r="E190"/>
  <c r="G196"/>
  <c r="I70" i="3" s="1"/>
  <c r="D235" i="1"/>
  <c r="D237"/>
  <c r="G247"/>
  <c r="G251" s="1"/>
  <c r="G255" s="1"/>
  <c r="G188"/>
  <c r="I58" i="3" s="1"/>
  <c r="G200" i="1"/>
  <c r="F117"/>
  <c r="E132"/>
  <c r="D121"/>
  <c r="D125" s="1"/>
  <c r="D126" s="1"/>
  <c r="D119"/>
  <c r="F98"/>
  <c r="H32" i="3" s="1"/>
  <c r="G100" i="1"/>
  <c r="E106"/>
  <c r="F110"/>
  <c r="F112"/>
  <c r="C121"/>
  <c r="C125" s="1"/>
  <c r="G131"/>
  <c r="F135"/>
  <c r="G136" s="1"/>
  <c r="E98"/>
  <c r="G32" i="3" s="1"/>
  <c r="E110" i="1"/>
  <c r="E112"/>
  <c r="F131"/>
  <c r="E135"/>
  <c r="E136" s="1"/>
  <c r="F170"/>
  <c r="E100"/>
  <c r="G106"/>
  <c r="I44" i="3" s="1"/>
  <c r="D145" i="1"/>
  <c r="D147"/>
  <c r="G157"/>
  <c r="G161" s="1"/>
  <c r="G165" s="1"/>
  <c r="G98"/>
  <c r="I32" i="3" s="1"/>
  <c r="G110" i="1"/>
  <c r="F25" i="2"/>
  <c r="G25" s="1"/>
  <c r="E27"/>
  <c r="E28" s="1"/>
  <c r="F23"/>
  <c r="G23" s="1"/>
  <c r="G27" s="1"/>
  <c r="E18"/>
  <c r="E19" s="1"/>
  <c r="F14"/>
  <c r="G14" s="1"/>
  <c r="G18" s="1"/>
  <c r="E207" i="1" l="1"/>
  <c r="G70" i="3"/>
  <c r="E117" i="1"/>
  <c r="G44" i="3"/>
  <c r="G193" i="1"/>
  <c r="G194" s="1"/>
  <c r="G260"/>
  <c r="E233"/>
  <c r="G66" i="3" s="1"/>
  <c r="G226" i="1"/>
  <c r="D261"/>
  <c r="D264" s="1"/>
  <c r="D268" s="1"/>
  <c r="D243"/>
  <c r="E193"/>
  <c r="E260"/>
  <c r="G233"/>
  <c r="I66" i="3" s="1"/>
  <c r="G222" i="1"/>
  <c r="F233"/>
  <c r="H66" i="3" s="1"/>
  <c r="F222" i="1"/>
  <c r="G202"/>
  <c r="G203"/>
  <c r="G207" s="1"/>
  <c r="D171"/>
  <c r="D174" s="1"/>
  <c r="D178" s="1"/>
  <c r="D153"/>
  <c r="E143"/>
  <c r="G40" i="3" s="1"/>
  <c r="E103" i="1"/>
  <c r="E170"/>
  <c r="G143"/>
  <c r="I40" i="3" s="1"/>
  <c r="G132" i="1"/>
  <c r="F143"/>
  <c r="H40" i="3" s="1"/>
  <c r="F132" i="1"/>
  <c r="G112"/>
  <c r="G113"/>
  <c r="G117" s="1"/>
  <c r="F136"/>
  <c r="G103"/>
  <c r="G104" s="1"/>
  <c r="G170"/>
  <c r="F27" i="2"/>
  <c r="F28" s="1"/>
  <c r="F18"/>
  <c r="F19" s="1"/>
  <c r="G237" i="1" l="1"/>
  <c r="G235"/>
  <c r="G234"/>
  <c r="F234"/>
  <c r="F237"/>
  <c r="F235"/>
  <c r="E194"/>
  <c r="F194"/>
  <c r="E234"/>
  <c r="E237"/>
  <c r="E235"/>
  <c r="E144"/>
  <c r="E147"/>
  <c r="E145"/>
  <c r="E104"/>
  <c r="F104"/>
  <c r="F144"/>
  <c r="F147"/>
  <c r="F145"/>
  <c r="G147"/>
  <c r="G145"/>
  <c r="G144"/>
  <c r="G28" i="2"/>
  <c r="G19"/>
  <c r="E261" i="1" l="1"/>
  <c r="E243"/>
  <c r="E244" s="1"/>
  <c r="E238"/>
  <c r="G261"/>
  <c r="G243"/>
  <c r="G244" s="1"/>
  <c r="G238"/>
  <c r="F261"/>
  <c r="F243"/>
  <c r="F238"/>
  <c r="G171"/>
  <c r="G153"/>
  <c r="G148"/>
  <c r="E171"/>
  <c r="E153"/>
  <c r="E154" s="1"/>
  <c r="E148"/>
  <c r="F171"/>
  <c r="F153"/>
  <c r="F148"/>
  <c r="F154" l="1"/>
  <c r="F244"/>
  <c r="G154"/>
  <c r="E86" l="1"/>
  <c r="F86"/>
  <c r="G86"/>
  <c r="D86"/>
  <c r="D80"/>
  <c r="D82"/>
  <c r="E82"/>
  <c r="F82"/>
  <c r="G82"/>
  <c r="D83"/>
  <c r="D71"/>
  <c r="D75" s="1"/>
  <c r="C71"/>
  <c r="C75" s="1"/>
  <c r="E67"/>
  <c r="E71" s="1"/>
  <c r="E75" s="1"/>
  <c r="E61"/>
  <c r="F61"/>
  <c r="G61"/>
  <c r="D61"/>
  <c r="D53"/>
  <c r="D55" s="1"/>
  <c r="C53"/>
  <c r="C55" s="1"/>
  <c r="D51"/>
  <c r="F51" s="1"/>
  <c r="C51"/>
  <c r="D50"/>
  <c r="D47"/>
  <c r="C47"/>
  <c r="D46"/>
  <c r="D43"/>
  <c r="C43"/>
  <c r="D42"/>
  <c r="E23"/>
  <c r="D23"/>
  <c r="D27" s="1"/>
  <c r="C23"/>
  <c r="C27" s="1"/>
  <c r="D22"/>
  <c r="C22"/>
  <c r="D20"/>
  <c r="C20"/>
  <c r="D13"/>
  <c r="C13"/>
  <c r="D17"/>
  <c r="C17"/>
  <c r="D11"/>
  <c r="C11"/>
  <c r="F7"/>
  <c r="G7"/>
  <c r="E7"/>
  <c r="E10" i="2"/>
  <c r="F10"/>
  <c r="G10"/>
  <c r="D10"/>
  <c r="D9"/>
  <c r="C9"/>
  <c r="E7"/>
  <c r="E9" s="1"/>
  <c r="D8"/>
  <c r="F5"/>
  <c r="G5" s="1"/>
  <c r="E5"/>
  <c r="D6"/>
  <c r="D8" i="1"/>
  <c r="F45" l="1"/>
  <c r="H15" i="3"/>
  <c r="G20" i="1"/>
  <c r="I15" i="3"/>
  <c r="E8" i="1"/>
  <c r="G6" i="3" s="1"/>
  <c r="G15"/>
  <c r="D14" i="1"/>
  <c r="F67"/>
  <c r="F49"/>
  <c r="G41"/>
  <c r="G45"/>
  <c r="G46" s="1"/>
  <c r="G51"/>
  <c r="G49" s="1"/>
  <c r="E41"/>
  <c r="E45"/>
  <c r="E46" s="1"/>
  <c r="E51"/>
  <c r="E49" s="1"/>
  <c r="E50" s="1"/>
  <c r="D57"/>
  <c r="D54"/>
  <c r="F41"/>
  <c r="D29"/>
  <c r="D31"/>
  <c r="C29"/>
  <c r="C31"/>
  <c r="C35" s="1"/>
  <c r="F22"/>
  <c r="F8"/>
  <c r="H6" i="3" s="1"/>
  <c r="G8" i="1"/>
  <c r="I6" i="3" s="1"/>
  <c r="F20" i="1"/>
  <c r="E22"/>
  <c r="E20"/>
  <c r="F10"/>
  <c r="F80" s="1"/>
  <c r="F16"/>
  <c r="G10"/>
  <c r="G80" s="1"/>
  <c r="G16"/>
  <c r="E10"/>
  <c r="E80" s="1"/>
  <c r="E16"/>
  <c r="F7" i="2"/>
  <c r="E209" i="1" l="1"/>
  <c r="E208" s="1"/>
  <c r="F119"/>
  <c r="F118" s="1"/>
  <c r="F209"/>
  <c r="F208" s="1"/>
  <c r="G119"/>
  <c r="G118" s="1"/>
  <c r="G209"/>
  <c r="G208" s="1"/>
  <c r="E119"/>
  <c r="E118" s="1"/>
  <c r="F18" i="3"/>
  <c r="D35" i="1"/>
  <c r="F19" i="3"/>
  <c r="F20"/>
  <c r="F21"/>
  <c r="E27" i="1"/>
  <c r="F46"/>
  <c r="D63"/>
  <c r="D81"/>
  <c r="D84" s="1"/>
  <c r="D88" s="1"/>
  <c r="G50"/>
  <c r="F71"/>
  <c r="F75" s="1"/>
  <c r="G67"/>
  <c r="G71" s="1"/>
  <c r="G75" s="1"/>
  <c r="E53"/>
  <c r="G14" i="3" s="1"/>
  <c r="E42" i="1"/>
  <c r="D36"/>
  <c r="F9" i="3" s="1"/>
  <c r="F50" i="1"/>
  <c r="F42"/>
  <c r="F53"/>
  <c r="H14" i="3" s="1"/>
  <c r="G42" i="1"/>
  <c r="G53"/>
  <c r="I14" i="3" s="1"/>
  <c r="F23" i="1"/>
  <c r="F27" s="1"/>
  <c r="G29"/>
  <c r="I18" i="3" s="1"/>
  <c r="F29" i="1"/>
  <c r="H18" i="3" s="1"/>
  <c r="E29" i="1"/>
  <c r="G13"/>
  <c r="E13"/>
  <c r="E14" s="1"/>
  <c r="F13"/>
  <c r="G7" i="2"/>
  <c r="G9" s="1"/>
  <c r="F9"/>
  <c r="E28" i="1" l="1"/>
  <c r="E83" s="1"/>
  <c r="E173"/>
  <c r="E174" s="1"/>
  <c r="E121"/>
  <c r="G173"/>
  <c r="G174" s="1"/>
  <c r="G121"/>
  <c r="G18" i="3"/>
  <c r="F263" i="1"/>
  <c r="F264" s="1"/>
  <c r="F211"/>
  <c r="G263"/>
  <c r="G264" s="1"/>
  <c r="G211"/>
  <c r="E263"/>
  <c r="E264" s="1"/>
  <c r="E211"/>
  <c r="F173"/>
  <c r="F174" s="1"/>
  <c r="F121"/>
  <c r="E55"/>
  <c r="E54"/>
  <c r="E57"/>
  <c r="E81" s="1"/>
  <c r="F57"/>
  <c r="F81" s="1"/>
  <c r="F55"/>
  <c r="F54"/>
  <c r="G55"/>
  <c r="G54"/>
  <c r="G57"/>
  <c r="G81" s="1"/>
  <c r="F28"/>
  <c r="F14"/>
  <c r="G23"/>
  <c r="G27" s="1"/>
  <c r="G28" s="1"/>
  <c r="G83" s="1"/>
  <c r="G22"/>
  <c r="G14"/>
  <c r="F178" l="1"/>
  <c r="H51" i="3" s="1"/>
  <c r="H50"/>
  <c r="G268" i="1"/>
  <c r="I77" i="3" s="1"/>
  <c r="I76"/>
  <c r="G125" i="1"/>
  <c r="I47" i="3"/>
  <c r="I46"/>
  <c r="I45"/>
  <c r="E178" i="1"/>
  <c r="G51" i="3" s="1"/>
  <c r="G50"/>
  <c r="F125" i="1"/>
  <c r="G126" s="1"/>
  <c r="I35" i="3" s="1"/>
  <c r="H47"/>
  <c r="H46"/>
  <c r="H45"/>
  <c r="E268" i="1"/>
  <c r="G77" i="3" s="1"/>
  <c r="G76"/>
  <c r="F268" i="1"/>
  <c r="H77" i="3" s="1"/>
  <c r="H76"/>
  <c r="E125" i="1"/>
  <c r="E126" s="1"/>
  <c r="G35" i="3" s="1"/>
  <c r="G47"/>
  <c r="G46"/>
  <c r="G45"/>
  <c r="G215" i="1"/>
  <c r="G216" s="1"/>
  <c r="I61" i="3" s="1"/>
  <c r="I73"/>
  <c r="I72"/>
  <c r="I71"/>
  <c r="E215" i="1"/>
  <c r="E216" s="1"/>
  <c r="G61" i="3" s="1"/>
  <c r="G73"/>
  <c r="G72"/>
  <c r="G71"/>
  <c r="F215" i="1"/>
  <c r="F216" s="1"/>
  <c r="H61" i="3" s="1"/>
  <c r="H73"/>
  <c r="H72"/>
  <c r="H71"/>
  <c r="G178" i="1"/>
  <c r="I51" i="3" s="1"/>
  <c r="I50"/>
  <c r="E31" i="1"/>
  <c r="E35" s="1"/>
  <c r="E36" s="1"/>
  <c r="G9" i="3" s="1"/>
  <c r="F126" i="1"/>
  <c r="H35" i="3" s="1"/>
  <c r="E84" i="1"/>
  <c r="G84"/>
  <c r="F31"/>
  <c r="F83"/>
  <c r="F84" s="1"/>
  <c r="G63"/>
  <c r="G58"/>
  <c r="E63"/>
  <c r="E64" s="1"/>
  <c r="E58"/>
  <c r="F58"/>
  <c r="F63"/>
  <c r="G31"/>
  <c r="G21" i="3" l="1"/>
  <c r="G20"/>
  <c r="G19"/>
  <c r="F88" i="1"/>
  <c r="H25" i="3" s="1"/>
  <c r="H24"/>
  <c r="E88" i="1"/>
  <c r="G25" i="3" s="1"/>
  <c r="G24"/>
  <c r="G88" i="1"/>
  <c r="I25" i="3" s="1"/>
  <c r="I24"/>
  <c r="G35" i="1"/>
  <c r="I21" i="3"/>
  <c r="I20"/>
  <c r="I19"/>
  <c r="F35" i="1"/>
  <c r="F36" s="1"/>
  <c r="H9" i="3" s="1"/>
  <c r="H21"/>
  <c r="H20"/>
  <c r="H19"/>
  <c r="F64" i="1"/>
  <c r="G64"/>
  <c r="G36" l="1"/>
  <c r="I9" i="3" s="1"/>
</calcChain>
</file>

<file path=xl/comments1.xml><?xml version="1.0" encoding="utf-8"?>
<comments xmlns="http://schemas.openxmlformats.org/spreadsheetml/2006/main">
  <authors>
    <author>admin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5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20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24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24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  <comment ref="E25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Source:CLSA</t>
        </r>
      </text>
    </comment>
  </commentList>
</comments>
</file>

<file path=xl/sharedStrings.xml><?xml version="1.0" encoding="utf-8"?>
<sst xmlns="http://schemas.openxmlformats.org/spreadsheetml/2006/main" count="307" uniqueCount="75">
  <si>
    <t>Coal India</t>
  </si>
  <si>
    <t>(INR ₹, mn)</t>
  </si>
  <si>
    <t>BASE CASE</t>
  </si>
  <si>
    <t>Income statement metrics, mn</t>
  </si>
  <si>
    <t>yoy growth (%)</t>
  </si>
  <si>
    <t>as % of total sales</t>
  </si>
  <si>
    <t>Co EBIT</t>
  </si>
  <si>
    <t>EBIT margins (%)</t>
  </si>
  <si>
    <t>Depreciation and Amortisation</t>
  </si>
  <si>
    <t>Co EBITDA</t>
  </si>
  <si>
    <t>EBITDA margins (%)</t>
  </si>
  <si>
    <t>Interest expense</t>
  </si>
  <si>
    <t>as a % of sales</t>
  </si>
  <si>
    <t>Interest income</t>
  </si>
  <si>
    <t>as % of sales</t>
  </si>
  <si>
    <t>Net Interest expense</t>
  </si>
  <si>
    <t>Other income</t>
  </si>
  <si>
    <t>PBT</t>
  </si>
  <si>
    <t>Tax expense</t>
  </si>
  <si>
    <t>Effective tax rate (%)</t>
  </si>
  <si>
    <t>PAT</t>
  </si>
  <si>
    <t>Numbers of shares o/s</t>
  </si>
  <si>
    <t>EPS Growth (%)</t>
  </si>
  <si>
    <t>Balance sheet metrics, mn</t>
  </si>
  <si>
    <t>Working capital</t>
  </si>
  <si>
    <t>Inventories</t>
  </si>
  <si>
    <t>Accounts receivable</t>
  </si>
  <si>
    <t>Accounts payable</t>
  </si>
  <si>
    <t>Change in Working capital</t>
  </si>
  <si>
    <t>Capex</t>
  </si>
  <si>
    <t>Incremental gross investment</t>
  </si>
  <si>
    <t>Leverage</t>
  </si>
  <si>
    <t>Debt</t>
  </si>
  <si>
    <t>Cash</t>
  </si>
  <si>
    <t>Net Debt</t>
  </si>
  <si>
    <t>Equity</t>
  </si>
  <si>
    <t>Capital employed (Equity+Net Debt)</t>
  </si>
  <si>
    <t>Operating cash flow</t>
  </si>
  <si>
    <t>Change in WC</t>
  </si>
  <si>
    <t>OCF</t>
  </si>
  <si>
    <t>FCF after capex</t>
  </si>
  <si>
    <t>FY15</t>
  </si>
  <si>
    <t>FY16</t>
  </si>
  <si>
    <t>FY17 E</t>
  </si>
  <si>
    <t>FY18 E</t>
  </si>
  <si>
    <t>FY19 E</t>
  </si>
  <si>
    <t>Revenues</t>
  </si>
  <si>
    <t>Volumes (mn tons)</t>
  </si>
  <si>
    <t>growth (%)</t>
  </si>
  <si>
    <t>Realizations</t>
  </si>
  <si>
    <t>Revenues (INR mn)</t>
  </si>
  <si>
    <t>EPS (INR)</t>
  </si>
  <si>
    <t>EBITDA</t>
  </si>
  <si>
    <t>Cash Flow metrics, mn</t>
  </si>
  <si>
    <t>Optical measures (%)</t>
  </si>
  <si>
    <t>Revenue growth (%yoy)</t>
  </si>
  <si>
    <t>EBITDA mgns (%)</t>
  </si>
  <si>
    <t>EBIT mgns (%)</t>
  </si>
  <si>
    <t>EPS growth (%yoy)</t>
  </si>
  <si>
    <t>FCF growth (% yoy)</t>
  </si>
  <si>
    <t>Real measures</t>
  </si>
  <si>
    <t>Operational ratios (%)</t>
  </si>
  <si>
    <t>Working capital intensity (Working cap/Sales)</t>
  </si>
  <si>
    <t>Capex intensity (Capex/sales)</t>
  </si>
  <si>
    <t>Return ratios (%)</t>
  </si>
  <si>
    <t xml:space="preserve">ROCE </t>
  </si>
  <si>
    <t>ROE (Net income/ Equity)</t>
  </si>
  <si>
    <t>Incremental Return on incremental equity</t>
  </si>
  <si>
    <t>Incremental return on incremental capital</t>
  </si>
  <si>
    <t>Cash generation</t>
  </si>
  <si>
    <t>WORST CASE</t>
  </si>
  <si>
    <t>BEST CASE</t>
  </si>
  <si>
    <t>Coal India : Key output sheet</t>
  </si>
  <si>
    <t>N/A</t>
  </si>
  <si>
    <t>COAL INDIA: KEY ASSUMPTIONS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</si>
</sst>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_);\(#,##0\);0_);@_)"/>
    <numFmt numFmtId="165" formatCode="0.0%"/>
    <numFmt numFmtId="166" formatCode="#,##0.0"/>
    <numFmt numFmtId="167" formatCode="#,##0.0_);\(#,##0.0\);0.0_);@_)"/>
    <numFmt numFmtId="168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DBEEF3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/>
  </cellStyleXfs>
  <cellXfs count="147">
    <xf numFmtId="0" fontId="0" fillId="0" borderId="0" xfId="0"/>
    <xf numFmtId="0" fontId="4" fillId="0" borderId="21" xfId="0" applyFont="1" applyBorder="1" applyAlignment="1">
      <alignment horizontal="right"/>
    </xf>
    <xf numFmtId="164" fontId="0" fillId="0" borderId="0" xfId="0" applyNumberFormat="1" applyFont="1" applyFill="1" applyBorder="1" applyAlignment="1">
      <alignment wrapText="1"/>
    </xf>
    <xf numFmtId="164" fontId="9" fillId="2" borderId="0" xfId="0" applyNumberFormat="1" applyFont="1" applyFill="1" applyBorder="1"/>
    <xf numFmtId="164" fontId="10" fillId="2" borderId="0" xfId="0" applyNumberFormat="1" applyFont="1" applyFill="1" applyBorder="1" applyAlignment="1">
      <alignment wrapText="1"/>
    </xf>
    <xf numFmtId="164" fontId="10" fillId="3" borderId="0" xfId="0" applyNumberFormat="1" applyFont="1" applyFill="1" applyBorder="1" applyAlignment="1">
      <alignment wrapText="1"/>
    </xf>
    <xf numFmtId="164" fontId="11" fillId="2" borderId="0" xfId="0" applyNumberFormat="1" applyFont="1" applyFill="1" applyBorder="1"/>
    <xf numFmtId="164" fontId="10" fillId="0" borderId="1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164" fontId="10" fillId="0" borderId="0" xfId="0" applyNumberFormat="1" applyFont="1" applyBorder="1" applyAlignment="1">
      <alignment wrapText="1"/>
    </xf>
    <xf numFmtId="164" fontId="12" fillId="0" borderId="2" xfId="0" applyNumberFormat="1" applyFont="1" applyFill="1" applyBorder="1" applyAlignment="1"/>
    <xf numFmtId="164" fontId="10" fillId="0" borderId="3" xfId="0" applyNumberFormat="1" applyFont="1" applyFill="1" applyBorder="1" applyAlignment="1">
      <alignment wrapText="1"/>
    </xf>
    <xf numFmtId="164" fontId="10" fillId="0" borderId="22" xfId="0" applyNumberFormat="1" applyFont="1" applyFill="1" applyBorder="1" applyAlignment="1">
      <alignment wrapText="1"/>
    </xf>
    <xf numFmtId="164" fontId="10" fillId="0" borderId="5" xfId="0" applyNumberFormat="1" applyFont="1" applyFill="1" applyBorder="1" applyAlignment="1">
      <alignment wrapText="1"/>
    </xf>
    <xf numFmtId="164" fontId="2" fillId="6" borderId="6" xfId="0" applyNumberFormat="1" applyFont="1" applyFill="1" applyBorder="1"/>
    <xf numFmtId="164" fontId="2" fillId="6" borderId="7" xfId="0" applyNumberFormat="1" applyFont="1" applyFill="1" applyBorder="1" applyAlignment="1">
      <alignment horizontal="right"/>
    </xf>
    <xf numFmtId="164" fontId="2" fillId="6" borderId="8" xfId="0" applyNumberFormat="1" applyFont="1" applyFill="1" applyBorder="1" applyAlignment="1">
      <alignment horizontal="right"/>
    </xf>
    <xf numFmtId="164" fontId="10" fillId="0" borderId="5" xfId="0" applyNumberFormat="1" applyFont="1" applyBorder="1" applyAlignment="1">
      <alignment wrapText="1"/>
    </xf>
    <xf numFmtId="164" fontId="10" fillId="0" borderId="10" xfId="0" applyNumberFormat="1" applyFont="1" applyFill="1" applyBorder="1" applyAlignment="1">
      <alignment wrapText="1"/>
    </xf>
    <xf numFmtId="164" fontId="10" fillId="0" borderId="11" xfId="0" applyNumberFormat="1" applyFont="1" applyFill="1" applyBorder="1" applyAlignment="1">
      <alignment wrapText="1"/>
    </xf>
    <xf numFmtId="164" fontId="13" fillId="0" borderId="11" xfId="0" applyNumberFormat="1" applyFont="1" applyFill="1" applyBorder="1"/>
    <xf numFmtId="164" fontId="13" fillId="0" borderId="12" xfId="0" applyNumberFormat="1" applyFont="1" applyFill="1" applyBorder="1"/>
    <xf numFmtId="164" fontId="13" fillId="0" borderId="5" xfId="0" applyNumberFormat="1" applyFont="1" applyFill="1" applyBorder="1"/>
    <xf numFmtId="3" fontId="13" fillId="0" borderId="0" xfId="0" applyNumberFormat="1" applyFont="1" applyFill="1" applyBorder="1"/>
    <xf numFmtId="3" fontId="13" fillId="0" borderId="9" xfId="0" applyNumberFormat="1" applyFont="1" applyFill="1" applyBorder="1"/>
    <xf numFmtId="164" fontId="11" fillId="0" borderId="5" xfId="0" applyNumberFormat="1" applyFont="1" applyFill="1" applyBorder="1"/>
    <xf numFmtId="165" fontId="14" fillId="0" borderId="0" xfId="0" applyNumberFormat="1" applyFont="1" applyFill="1" applyBorder="1" applyAlignment="1">
      <alignment wrapText="1"/>
    </xf>
    <xf numFmtId="165" fontId="14" fillId="0" borderId="9" xfId="0" applyNumberFormat="1" applyFont="1" applyFill="1" applyBorder="1" applyAlignment="1">
      <alignment wrapText="1"/>
    </xf>
    <xf numFmtId="38" fontId="10" fillId="0" borderId="0" xfId="3" applyNumberFormat="1" applyFont="1" applyFill="1" applyBorder="1"/>
    <xf numFmtId="38" fontId="10" fillId="0" borderId="9" xfId="3" applyNumberFormat="1" applyFont="1" applyFill="1" applyBorder="1"/>
    <xf numFmtId="165" fontId="11" fillId="0" borderId="0" xfId="0" applyNumberFormat="1" applyFont="1" applyFill="1" applyBorder="1"/>
    <xf numFmtId="165" fontId="11" fillId="0" borderId="9" xfId="0" applyNumberFormat="1" applyFont="1" applyFill="1" applyBorder="1"/>
    <xf numFmtId="164" fontId="10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Border="1" applyAlignment="1">
      <alignment wrapText="1"/>
    </xf>
    <xf numFmtId="164" fontId="13" fillId="5" borderId="0" xfId="0" applyNumberFormat="1" applyFont="1" applyFill="1" applyBorder="1"/>
    <xf numFmtId="3" fontId="13" fillId="5" borderId="0" xfId="0" applyNumberFormat="1" applyFont="1" applyFill="1" applyBorder="1"/>
    <xf numFmtId="164" fontId="11" fillId="5" borderId="0" xfId="0" applyNumberFormat="1" applyFont="1" applyFill="1" applyBorder="1"/>
    <xf numFmtId="165" fontId="11" fillId="5" borderId="0" xfId="0" applyNumberFormat="1" applyFont="1" applyFill="1" applyBorder="1"/>
    <xf numFmtId="164" fontId="10" fillId="4" borderId="0" xfId="0" applyNumberFormat="1" applyFont="1" applyFill="1" applyBorder="1" applyAlignment="1">
      <alignment wrapText="1"/>
    </xf>
    <xf numFmtId="9" fontId="15" fillId="5" borderId="0" xfId="2" applyFont="1" applyFill="1" applyBorder="1"/>
    <xf numFmtId="165" fontId="10" fillId="5" borderId="0" xfId="0" applyNumberFormat="1" applyFont="1" applyFill="1" applyBorder="1" applyAlignment="1">
      <alignment wrapText="1"/>
    </xf>
    <xf numFmtId="164" fontId="16" fillId="0" borderId="5" xfId="0" applyNumberFormat="1" applyFont="1" applyFill="1" applyBorder="1"/>
    <xf numFmtId="165" fontId="10" fillId="0" borderId="0" xfId="0" applyNumberFormat="1" applyFont="1" applyFill="1" applyBorder="1" applyAlignment="1">
      <alignment wrapText="1"/>
    </xf>
    <xf numFmtId="165" fontId="10" fillId="0" borderId="9" xfId="0" applyNumberFormat="1" applyFont="1" applyFill="1" applyBorder="1" applyAlignment="1">
      <alignment wrapText="1"/>
    </xf>
    <xf numFmtId="164" fontId="17" fillId="0" borderId="0" xfId="0" applyNumberFormat="1" applyFont="1" applyFill="1" applyBorder="1" applyAlignment="1">
      <alignment wrapText="1"/>
    </xf>
    <xf numFmtId="9" fontId="17" fillId="0" borderId="0" xfId="2" applyFont="1" applyFill="1" applyBorder="1" applyAlignment="1">
      <alignment wrapText="1"/>
    </xf>
    <xf numFmtId="10" fontId="17" fillId="0" borderId="0" xfId="2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>
      <alignment wrapText="1"/>
    </xf>
    <xf numFmtId="3" fontId="17" fillId="0" borderId="9" xfId="0" applyNumberFormat="1" applyFont="1" applyFill="1" applyBorder="1" applyAlignment="1">
      <alignment wrapText="1"/>
    </xf>
    <xf numFmtId="164" fontId="17" fillId="0" borderId="5" xfId="0" applyNumberFormat="1" applyFont="1" applyFill="1" applyBorder="1" applyAlignment="1"/>
    <xf numFmtId="3" fontId="10" fillId="0" borderId="0" xfId="0" applyNumberFormat="1" applyFont="1" applyFill="1" applyBorder="1" applyAlignment="1">
      <alignment wrapText="1"/>
    </xf>
    <xf numFmtId="3" fontId="10" fillId="0" borderId="9" xfId="0" applyNumberFormat="1" applyFont="1" applyFill="1" applyBorder="1" applyAlignment="1">
      <alignment wrapText="1"/>
    </xf>
    <xf numFmtId="164" fontId="10" fillId="0" borderId="5" xfId="0" applyNumberFormat="1" applyFont="1" applyFill="1" applyBorder="1" applyAlignment="1"/>
    <xf numFmtId="166" fontId="10" fillId="0" borderId="0" xfId="0" applyNumberFormat="1" applyFont="1" applyFill="1" applyBorder="1" applyAlignment="1">
      <alignment wrapText="1"/>
    </xf>
    <xf numFmtId="166" fontId="10" fillId="0" borderId="9" xfId="0" applyNumberFormat="1" applyFont="1" applyFill="1" applyBorder="1" applyAlignment="1">
      <alignment wrapText="1"/>
    </xf>
    <xf numFmtId="4" fontId="13" fillId="0" borderId="0" xfId="0" applyNumberFormat="1" applyFont="1" applyFill="1" applyBorder="1"/>
    <xf numFmtId="4" fontId="13" fillId="0" borderId="9" xfId="0" applyNumberFormat="1" applyFont="1" applyFill="1" applyBorder="1"/>
    <xf numFmtId="164" fontId="14" fillId="0" borderId="14" xfId="0" applyNumberFormat="1" applyFont="1" applyFill="1" applyBorder="1" applyAlignment="1"/>
    <xf numFmtId="164" fontId="14" fillId="0" borderId="15" xfId="0" applyNumberFormat="1" applyFont="1" applyFill="1" applyBorder="1" applyAlignment="1">
      <alignment wrapText="1"/>
    </xf>
    <xf numFmtId="165" fontId="14" fillId="0" borderId="15" xfId="0" applyNumberFormat="1" applyFont="1" applyFill="1" applyBorder="1" applyAlignment="1">
      <alignment wrapText="1"/>
    </xf>
    <xf numFmtId="165" fontId="14" fillId="0" borderId="16" xfId="0" applyNumberFormat="1" applyFont="1" applyFill="1" applyBorder="1" applyAlignment="1">
      <alignment wrapText="1"/>
    </xf>
    <xf numFmtId="167" fontId="10" fillId="0" borderId="0" xfId="0" applyNumberFormat="1" applyFont="1" applyBorder="1" applyAlignment="1">
      <alignment wrapText="1"/>
    </xf>
    <xf numFmtId="164" fontId="10" fillId="0" borderId="18" xfId="0" applyNumberFormat="1" applyFont="1" applyFill="1" applyBorder="1" applyAlignment="1">
      <alignment wrapText="1"/>
    </xf>
    <xf numFmtId="164" fontId="10" fillId="0" borderId="19" xfId="0" applyNumberFormat="1" applyFont="1" applyFill="1" applyBorder="1" applyAlignment="1">
      <alignment wrapText="1"/>
    </xf>
    <xf numFmtId="164" fontId="10" fillId="0" borderId="20" xfId="0" applyNumberFormat="1" applyFont="1" applyFill="1" applyBorder="1" applyAlignment="1">
      <alignment wrapText="1"/>
    </xf>
    <xf numFmtId="164" fontId="17" fillId="0" borderId="6" xfId="0" applyNumberFormat="1" applyFont="1" applyFill="1" applyBorder="1"/>
    <xf numFmtId="164" fontId="17" fillId="0" borderId="7" xfId="0" applyNumberFormat="1" applyFont="1" applyFill="1" applyBorder="1" applyAlignment="1">
      <alignment horizontal="right"/>
    </xf>
    <xf numFmtId="164" fontId="17" fillId="0" borderId="8" xfId="0" applyNumberFormat="1" applyFont="1" applyFill="1" applyBorder="1" applyAlignment="1">
      <alignment horizontal="right"/>
    </xf>
    <xf numFmtId="164" fontId="13" fillId="0" borderId="13" xfId="0" applyNumberFormat="1" applyFont="1" applyFill="1" applyBorder="1"/>
    <xf numFmtId="164" fontId="13" fillId="0" borderId="17" xfId="0" applyNumberFormat="1" applyFont="1" applyFill="1" applyBorder="1"/>
    <xf numFmtId="164" fontId="13" fillId="0" borderId="4" xfId="0" applyNumberFormat="1" applyFont="1" applyFill="1" applyBorder="1"/>
    <xf numFmtId="164" fontId="13" fillId="0" borderId="0" xfId="0" applyNumberFormat="1" applyFont="1" applyFill="1" applyBorder="1"/>
    <xf numFmtId="164" fontId="13" fillId="0" borderId="9" xfId="0" applyNumberFormat="1" applyFont="1" applyFill="1" applyBorder="1"/>
    <xf numFmtId="164" fontId="11" fillId="0" borderId="0" xfId="0" applyNumberFormat="1" applyFont="1" applyFill="1" applyBorder="1"/>
    <xf numFmtId="164" fontId="11" fillId="0" borderId="9" xfId="0" applyNumberFormat="1" applyFont="1" applyFill="1" applyBorder="1"/>
    <xf numFmtId="166" fontId="13" fillId="0" borderId="0" xfId="0" applyNumberFormat="1" applyFont="1" applyFill="1" applyBorder="1"/>
    <xf numFmtId="166" fontId="13" fillId="0" borderId="9" xfId="0" applyNumberFormat="1" applyFont="1" applyFill="1" applyBorder="1"/>
    <xf numFmtId="164" fontId="10" fillId="0" borderId="0" xfId="0" applyNumberFormat="1" applyFont="1" applyBorder="1" applyAlignment="1"/>
    <xf numFmtId="164" fontId="14" fillId="0" borderId="14" xfId="0" applyNumberFormat="1" applyFont="1" applyFill="1" applyBorder="1" applyAlignment="1">
      <alignment wrapText="1"/>
    </xf>
    <xf numFmtId="9" fontId="14" fillId="0" borderId="15" xfId="0" applyNumberFormat="1" applyFont="1" applyFill="1" applyBorder="1" applyAlignment="1">
      <alignment wrapText="1"/>
    </xf>
    <xf numFmtId="9" fontId="14" fillId="0" borderId="16" xfId="0" applyNumberFormat="1" applyFont="1" applyFill="1" applyBorder="1" applyAlignment="1">
      <alignment wrapText="1"/>
    </xf>
    <xf numFmtId="164" fontId="12" fillId="0" borderId="0" xfId="0" applyNumberFormat="1" applyFont="1" applyFill="1" applyBorder="1" applyAlignment="1"/>
    <xf numFmtId="164" fontId="18" fillId="0" borderId="0" xfId="0" applyNumberFormat="1" applyFont="1" applyFill="1" applyBorder="1"/>
    <xf numFmtId="164" fontId="18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164" fontId="16" fillId="0" borderId="0" xfId="0" applyNumberFormat="1" applyFont="1" applyFill="1" applyBorder="1"/>
    <xf numFmtId="164" fontId="3" fillId="0" borderId="0" xfId="0" applyNumberFormat="1" applyFont="1" applyFill="1" applyBorder="1"/>
    <xf numFmtId="164" fontId="14" fillId="0" borderId="0" xfId="0" applyNumberFormat="1" applyFont="1" applyFill="1" applyBorder="1" applyAlignment="1"/>
    <xf numFmtId="164" fontId="14" fillId="0" borderId="0" xfId="0" applyNumberFormat="1" applyFont="1" applyFill="1" applyBorder="1" applyAlignment="1">
      <alignment wrapText="1"/>
    </xf>
    <xf numFmtId="9" fontId="14" fillId="0" borderId="0" xfId="0" applyNumberFormat="1" applyFont="1" applyFill="1" applyBorder="1" applyAlignment="1">
      <alignment wrapText="1"/>
    </xf>
    <xf numFmtId="164" fontId="12" fillId="0" borderId="0" xfId="0" applyNumberFormat="1" applyFont="1" applyFill="1" applyBorder="1"/>
    <xf numFmtId="164" fontId="17" fillId="0" borderId="23" xfId="0" applyNumberFormat="1" applyFont="1" applyFill="1" applyBorder="1"/>
    <xf numFmtId="164" fontId="17" fillId="0" borderId="21" xfId="0" applyNumberFormat="1" applyFont="1" applyFill="1" applyBorder="1" applyAlignment="1">
      <alignment horizontal="right"/>
    </xf>
    <xf numFmtId="164" fontId="17" fillId="0" borderId="24" xfId="0" applyNumberFormat="1" applyFont="1" applyFill="1" applyBorder="1" applyAlignment="1">
      <alignment horizontal="right"/>
    </xf>
    <xf numFmtId="164" fontId="19" fillId="7" borderId="0" xfId="0" applyNumberFormat="1" applyFont="1" applyFill="1" applyBorder="1"/>
    <xf numFmtId="164" fontId="20" fillId="7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wrapText="1"/>
    </xf>
    <xf numFmtId="164" fontId="21" fillId="7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23" xfId="0" applyNumberFormat="1" applyFont="1" applyFill="1" applyBorder="1"/>
    <xf numFmtId="164" fontId="22" fillId="0" borderId="21" xfId="0" applyNumberFormat="1" applyFont="1" applyFill="1" applyBorder="1"/>
    <xf numFmtId="164" fontId="23" fillId="0" borderId="21" xfId="0" applyNumberFormat="1" applyFont="1" applyFill="1" applyBorder="1" applyAlignment="1">
      <alignment horizontal="right"/>
    </xf>
    <xf numFmtId="164" fontId="23" fillId="0" borderId="24" xfId="0" applyNumberFormat="1" applyFont="1" applyFill="1" applyBorder="1" applyAlignment="1">
      <alignment horizontal="right"/>
    </xf>
    <xf numFmtId="164" fontId="23" fillId="0" borderId="0" xfId="0" applyNumberFormat="1" applyFont="1" applyFill="1" applyBorder="1"/>
    <xf numFmtId="164" fontId="23" fillId="0" borderId="5" xfId="0" applyNumberFormat="1" applyFont="1" applyFill="1" applyBorder="1"/>
    <xf numFmtId="164" fontId="20" fillId="0" borderId="9" xfId="0" applyNumberFormat="1" applyFont="1" applyFill="1" applyBorder="1" applyAlignment="1">
      <alignment wrapText="1"/>
    </xf>
    <xf numFmtId="164" fontId="20" fillId="0" borderId="5" xfId="0" applyNumberFormat="1" applyFont="1" applyFill="1" applyBorder="1" applyAlignment="1">
      <alignment wrapText="1"/>
    </xf>
    <xf numFmtId="164" fontId="24" fillId="0" borderId="0" xfId="0" applyNumberFormat="1" applyFont="1" applyFill="1" applyBorder="1"/>
    <xf numFmtId="164" fontId="24" fillId="0" borderId="5" xfId="0" applyNumberFormat="1" applyFont="1" applyFill="1" applyBorder="1"/>
    <xf numFmtId="165" fontId="20" fillId="0" borderId="0" xfId="0" applyNumberFormat="1" applyFont="1" applyFill="1" applyBorder="1" applyAlignment="1">
      <alignment wrapText="1"/>
    </xf>
    <xf numFmtId="165" fontId="20" fillId="0" borderId="9" xfId="0" applyNumberFormat="1" applyFont="1" applyFill="1" applyBorder="1" applyAlignment="1">
      <alignment wrapText="1"/>
    </xf>
    <xf numFmtId="165" fontId="20" fillId="0" borderId="5" xfId="0" applyNumberFormat="1" applyFont="1" applyFill="1" applyBorder="1" applyAlignment="1">
      <alignment wrapText="1"/>
    </xf>
    <xf numFmtId="164" fontId="24" fillId="0" borderId="14" xfId="0" applyNumberFormat="1" applyFont="1" applyFill="1" applyBorder="1"/>
    <xf numFmtId="164" fontId="20" fillId="0" borderId="15" xfId="0" applyNumberFormat="1" applyFont="1" applyFill="1" applyBorder="1" applyAlignment="1">
      <alignment wrapText="1"/>
    </xf>
    <xf numFmtId="165" fontId="20" fillId="0" borderId="15" xfId="0" applyNumberFormat="1" applyFont="1" applyFill="1" applyBorder="1" applyAlignment="1">
      <alignment wrapText="1"/>
    </xf>
    <xf numFmtId="165" fontId="20" fillId="0" borderId="16" xfId="0" applyNumberFormat="1" applyFont="1" applyFill="1" applyBorder="1" applyAlignment="1">
      <alignment wrapText="1"/>
    </xf>
    <xf numFmtId="164" fontId="23" fillId="0" borderId="13" xfId="0" applyNumberFormat="1" applyFont="1" applyFill="1" applyBorder="1"/>
    <xf numFmtId="164" fontId="23" fillId="0" borderId="17" xfId="0" applyNumberFormat="1" applyFont="1" applyFill="1" applyBorder="1"/>
    <xf numFmtId="164" fontId="20" fillId="0" borderId="4" xfId="0" applyNumberFormat="1" applyFont="1" applyFill="1" applyBorder="1" applyAlignment="1">
      <alignment wrapText="1"/>
    </xf>
    <xf numFmtId="165" fontId="20" fillId="0" borderId="15" xfId="0" applyNumberFormat="1" applyFont="1" applyBorder="1" applyAlignment="1">
      <alignment wrapText="1"/>
    </xf>
    <xf numFmtId="165" fontId="20" fillId="0" borderId="16" xfId="0" applyNumberFormat="1" applyFont="1" applyBorder="1" applyAlignment="1">
      <alignment wrapText="1"/>
    </xf>
    <xf numFmtId="164" fontId="23" fillId="0" borderId="4" xfId="0" applyNumberFormat="1" applyFont="1" applyFill="1" applyBorder="1"/>
    <xf numFmtId="164" fontId="24" fillId="5" borderId="0" xfId="0" applyNumberFormat="1" applyFont="1" applyFill="1" applyBorder="1"/>
    <xf numFmtId="164" fontId="24" fillId="5" borderId="14" xfId="0" applyNumberFormat="1" applyFont="1" applyFill="1" applyBorder="1"/>
    <xf numFmtId="3" fontId="20" fillId="0" borderId="0" xfId="0" applyNumberFormat="1" applyFont="1" applyFill="1" applyBorder="1" applyAlignment="1">
      <alignment wrapText="1"/>
    </xf>
    <xf numFmtId="3" fontId="20" fillId="0" borderId="9" xfId="0" applyNumberFormat="1" applyFont="1" applyFill="1" applyBorder="1" applyAlignment="1">
      <alignment wrapText="1"/>
    </xf>
    <xf numFmtId="3" fontId="20" fillId="0" borderId="15" xfId="0" applyNumberFormat="1" applyFont="1" applyFill="1" applyBorder="1" applyAlignment="1">
      <alignment wrapText="1"/>
    </xf>
    <xf numFmtId="3" fontId="20" fillId="0" borderId="16" xfId="0" applyNumberFormat="1" applyFont="1" applyFill="1" applyBorder="1" applyAlignment="1">
      <alignment wrapText="1"/>
    </xf>
    <xf numFmtId="164" fontId="20" fillId="0" borderId="0" xfId="0" applyNumberFormat="1" applyFont="1" applyBorder="1" applyAlignment="1">
      <alignment wrapText="1"/>
    </xf>
    <xf numFmtId="165" fontId="20" fillId="0" borderId="15" xfId="0" applyNumberFormat="1" applyFont="1" applyFill="1" applyBorder="1" applyAlignment="1">
      <alignment horizontal="right" wrapText="1"/>
    </xf>
    <xf numFmtId="9" fontId="20" fillId="0" borderId="0" xfId="0" applyNumberFormat="1" applyFont="1" applyFill="1" applyBorder="1" applyAlignment="1">
      <alignment wrapText="1"/>
    </xf>
    <xf numFmtId="0" fontId="4" fillId="0" borderId="24" xfId="0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168" fontId="0" fillId="0" borderId="0" xfId="1" applyNumberFormat="1" applyFont="1" applyBorder="1"/>
    <xf numFmtId="168" fontId="0" fillId="0" borderId="9" xfId="1" applyNumberFormat="1" applyFont="1" applyBorder="1"/>
    <xf numFmtId="0" fontId="6" fillId="0" borderId="5" xfId="0" applyFont="1" applyBorder="1" applyAlignment="1">
      <alignment horizontal="right"/>
    </xf>
    <xf numFmtId="165" fontId="0" fillId="0" borderId="0" xfId="0" applyNumberFormat="1" applyBorder="1"/>
    <xf numFmtId="165" fontId="0" fillId="0" borderId="9" xfId="0" applyNumberFormat="1" applyBorder="1"/>
    <xf numFmtId="0" fontId="6" fillId="0" borderId="14" xfId="0" applyFont="1" applyBorder="1" applyAlignment="1">
      <alignment horizontal="right"/>
    </xf>
    <xf numFmtId="0" fontId="0" fillId="0" borderId="15" xfId="0" applyBorder="1"/>
    <xf numFmtId="165" fontId="0" fillId="0" borderId="15" xfId="0" applyNumberFormat="1" applyBorder="1"/>
    <xf numFmtId="165" fontId="0" fillId="0" borderId="16" xfId="0" applyNumberFormat="1" applyBorder="1"/>
    <xf numFmtId="0" fontId="12" fillId="0" borderId="23" xfId="0" applyFont="1" applyBorder="1"/>
    <xf numFmtId="165" fontId="20" fillId="0" borderId="16" xfId="0" applyNumberFormat="1" applyFont="1" applyFill="1" applyBorder="1" applyAlignment="1">
      <alignment horizontal="right" wrapText="1"/>
    </xf>
    <xf numFmtId="0" fontId="0" fillId="2" borderId="0" xfId="0" applyFill="1"/>
    <xf numFmtId="0" fontId="4" fillId="2" borderId="0" xfId="0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Q379"/>
  <sheetViews>
    <sheetView showGridLines="0" tabSelected="1" workbookViewId="0"/>
  </sheetViews>
  <sheetFormatPr defaultColWidth="9" defaultRowHeight="15"/>
  <cols>
    <col min="1" max="1" width="3.42578125" style="9" customWidth="1"/>
    <col min="2" max="2" width="30.140625" style="8" bestFit="1" customWidth="1"/>
    <col min="3" max="18" width="9" style="8"/>
    <col min="19" max="16384" width="9" style="9"/>
  </cols>
  <sheetData>
    <row r="1" spans="2:95" s="5" customFormat="1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spans="2:95" s="5" customFormat="1">
      <c r="B2" s="6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pans="2:95" ht="15.75" thickBot="1">
      <c r="B3" s="7"/>
      <c r="C3" s="7"/>
      <c r="D3" s="7"/>
      <c r="E3" s="7"/>
      <c r="F3" s="7"/>
      <c r="G3" s="7"/>
      <c r="O3" s="9"/>
      <c r="P3" s="9"/>
      <c r="Q3" s="9"/>
      <c r="R3" s="9"/>
    </row>
    <row r="4" spans="2:95">
      <c r="B4" s="10" t="s">
        <v>2</v>
      </c>
      <c r="C4" s="11"/>
      <c r="D4" s="11"/>
      <c r="E4" s="11"/>
      <c r="F4" s="11"/>
      <c r="G4" s="12"/>
      <c r="H4" s="13"/>
      <c r="O4" s="9"/>
      <c r="P4" s="9"/>
      <c r="Q4" s="9"/>
      <c r="R4" s="9"/>
    </row>
    <row r="5" spans="2:95">
      <c r="B5" s="14" t="s">
        <v>3</v>
      </c>
      <c r="C5" s="15" t="s">
        <v>41</v>
      </c>
      <c r="D5" s="15" t="s">
        <v>42</v>
      </c>
      <c r="E5" s="15" t="s">
        <v>43</v>
      </c>
      <c r="F5" s="15" t="s">
        <v>44</v>
      </c>
      <c r="G5" s="16" t="s">
        <v>45</v>
      </c>
      <c r="H5" s="17"/>
      <c r="I5" s="9"/>
      <c r="J5" s="9"/>
      <c r="K5" s="9"/>
      <c r="L5" s="9"/>
      <c r="Q5" s="9"/>
      <c r="R5" s="9"/>
    </row>
    <row r="6" spans="2:95">
      <c r="B6" s="18"/>
      <c r="C6" s="19"/>
      <c r="D6" s="20"/>
      <c r="E6" s="20"/>
      <c r="F6" s="20"/>
      <c r="G6" s="21"/>
      <c r="H6" s="17"/>
      <c r="I6" s="9"/>
      <c r="J6" s="9"/>
      <c r="K6" s="9"/>
      <c r="L6" s="9"/>
      <c r="Q6" s="9"/>
      <c r="R6" s="9"/>
    </row>
    <row r="7" spans="2:95">
      <c r="B7" s="22" t="s">
        <v>46</v>
      </c>
      <c r="C7" s="23">
        <v>720146</v>
      </c>
      <c r="D7" s="23">
        <v>756443</v>
      </c>
      <c r="E7" s="23">
        <f>+Assumptions!E9</f>
        <v>824974.99800000014</v>
      </c>
      <c r="F7" s="23">
        <f>+Assumptions!F9</f>
        <v>891962.96783760027</v>
      </c>
      <c r="G7" s="24">
        <f>+Assumptions!G9</f>
        <v>964390.36082601349</v>
      </c>
      <c r="H7" s="9"/>
      <c r="Q7" s="9"/>
      <c r="R7" s="9"/>
    </row>
    <row r="8" spans="2:95">
      <c r="B8" s="25" t="s">
        <v>4</v>
      </c>
      <c r="D8" s="26">
        <f>+D7/C7-1</f>
        <v>5.0402279537760331E-2</v>
      </c>
      <c r="E8" s="26">
        <f t="shared" ref="E8:G8" si="0">+E7/D7-1</f>
        <v>9.0597702668938851E-2</v>
      </c>
      <c r="F8" s="26">
        <f t="shared" si="0"/>
        <v>8.1200000000000161E-2</v>
      </c>
      <c r="G8" s="27">
        <f t="shared" si="0"/>
        <v>8.1200000000000161E-2</v>
      </c>
      <c r="H8" s="17"/>
      <c r="J8" s="9"/>
      <c r="K8" s="9"/>
      <c r="L8" s="9"/>
      <c r="Q8" s="9"/>
      <c r="R8" s="9"/>
    </row>
    <row r="9" spans="2:95">
      <c r="B9" s="25"/>
      <c r="C9" s="28"/>
      <c r="D9" s="28"/>
      <c r="E9" s="28"/>
      <c r="F9" s="28"/>
      <c r="G9" s="29"/>
      <c r="H9" s="17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95">
      <c r="B10" s="22" t="s">
        <v>9</v>
      </c>
      <c r="C10" s="23">
        <v>152300</v>
      </c>
      <c r="D10" s="23">
        <v>159404</v>
      </c>
      <c r="E10" s="23">
        <f>+E11*E7</f>
        <v>164994.99960000004</v>
      </c>
      <c r="F10" s="23">
        <f>+F11*F7</f>
        <v>169472.96388914404</v>
      </c>
      <c r="G10" s="24">
        <f>+G11*G7</f>
        <v>183234.16855694258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95">
      <c r="B11" s="25" t="s">
        <v>10</v>
      </c>
      <c r="C11" s="30">
        <f>+C10/C7</f>
        <v>0.21148489334107251</v>
      </c>
      <c r="D11" s="30">
        <f>+D10/D7</f>
        <v>0.21072836948719204</v>
      </c>
      <c r="E11" s="30">
        <v>0.2</v>
      </c>
      <c r="F11" s="30">
        <v>0.19</v>
      </c>
      <c r="G11" s="31">
        <v>0.19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95">
      <c r="B12" s="13"/>
      <c r="G12" s="32"/>
      <c r="H12" s="9"/>
      <c r="I12" s="33"/>
      <c r="J12" s="33"/>
      <c r="K12" s="33"/>
      <c r="L12" s="33"/>
      <c r="M12" s="33"/>
      <c r="N12" s="33"/>
      <c r="O12" s="33"/>
      <c r="P12" s="33"/>
      <c r="Q12" s="33"/>
      <c r="R12" s="9"/>
    </row>
    <row r="13" spans="2:95">
      <c r="B13" s="22" t="s">
        <v>8</v>
      </c>
      <c r="C13" s="23">
        <f>+C10-C16</f>
        <v>23198</v>
      </c>
      <c r="D13" s="23">
        <f t="shared" ref="D13:G13" si="1">+D10-D16</f>
        <v>24664</v>
      </c>
      <c r="E13" s="23">
        <f t="shared" si="1"/>
        <v>28874.12493000002</v>
      </c>
      <c r="F13" s="23">
        <f t="shared" si="1"/>
        <v>35678.518713504018</v>
      </c>
      <c r="G13" s="24">
        <f t="shared" si="1"/>
        <v>38575.614433040551</v>
      </c>
      <c r="H13" s="9"/>
      <c r="I13" s="34"/>
      <c r="J13" s="34"/>
      <c r="K13" s="34"/>
      <c r="L13" s="35"/>
      <c r="M13" s="35"/>
      <c r="N13" s="35"/>
      <c r="O13" s="35"/>
      <c r="P13" s="35"/>
      <c r="Q13" s="35"/>
      <c r="R13" s="9"/>
    </row>
    <row r="14" spans="2:95">
      <c r="B14" s="25" t="s">
        <v>4</v>
      </c>
      <c r="C14" s="30"/>
      <c r="D14" s="30">
        <f>+D13/C13-1</f>
        <v>6.3195103026122856E-2</v>
      </c>
      <c r="E14" s="30">
        <f t="shared" ref="E14:G14" si="2">+E13/D13-1</f>
        <v>0.17069919437236547</v>
      </c>
      <c r="F14" s="30">
        <f t="shared" si="2"/>
        <v>0.23565714285714257</v>
      </c>
      <c r="G14" s="31">
        <f t="shared" si="2"/>
        <v>8.1200000000000161E-2</v>
      </c>
      <c r="H14" s="9"/>
      <c r="I14" s="36"/>
      <c r="J14" s="36"/>
      <c r="K14" s="36"/>
      <c r="L14" s="37"/>
      <c r="M14" s="37"/>
      <c r="N14" s="37"/>
      <c r="O14" s="37"/>
      <c r="P14" s="37"/>
      <c r="Q14" s="37"/>
      <c r="R14" s="9"/>
    </row>
    <row r="15" spans="2:95">
      <c r="B15" s="25"/>
      <c r="D15" s="30"/>
      <c r="E15" s="30"/>
      <c r="F15" s="30"/>
      <c r="G15" s="31"/>
      <c r="H15" s="9"/>
      <c r="J15" s="38"/>
      <c r="K15" s="38"/>
      <c r="L15" s="38"/>
      <c r="M15" s="37"/>
      <c r="N15" s="37"/>
      <c r="O15" s="37"/>
      <c r="P15" s="37"/>
      <c r="Q15" s="37"/>
      <c r="R15" s="9"/>
    </row>
    <row r="16" spans="2:95">
      <c r="B16" s="22" t="s">
        <v>6</v>
      </c>
      <c r="C16" s="23">
        <v>129102</v>
      </c>
      <c r="D16" s="23">
        <v>134740</v>
      </c>
      <c r="E16" s="23">
        <f>+E17*E7</f>
        <v>136120.87467000002</v>
      </c>
      <c r="F16" s="23">
        <f>+F17*F7</f>
        <v>133794.44517564002</v>
      </c>
      <c r="G16" s="24">
        <f>+G17*G7</f>
        <v>144658.55412390202</v>
      </c>
      <c r="H16" s="9"/>
      <c r="N16" s="9"/>
      <c r="O16" s="9"/>
      <c r="P16" s="9"/>
      <c r="Q16" s="9"/>
      <c r="R16" s="9"/>
    </row>
    <row r="17" spans="2:18">
      <c r="B17" s="25" t="s">
        <v>7</v>
      </c>
      <c r="C17" s="30">
        <f>+C16/C7</f>
        <v>0.17927198095941657</v>
      </c>
      <c r="D17" s="30">
        <f>+D16/D7</f>
        <v>0.17812313683912734</v>
      </c>
      <c r="E17" s="30">
        <v>0.16500000000000001</v>
      </c>
      <c r="F17" s="30">
        <v>0.15</v>
      </c>
      <c r="G17" s="31">
        <v>0.15</v>
      </c>
      <c r="H17" s="9"/>
      <c r="I17" s="39"/>
      <c r="J17" s="33"/>
      <c r="K17" s="40"/>
      <c r="L17" s="33"/>
      <c r="M17" s="33"/>
      <c r="N17" s="33"/>
      <c r="O17" s="33"/>
      <c r="P17" s="33"/>
      <c r="Q17" s="33"/>
      <c r="R17" s="9"/>
    </row>
    <row r="18" spans="2:18">
      <c r="B18" s="13"/>
      <c r="G18" s="32"/>
      <c r="H18" s="9"/>
      <c r="I18" s="34"/>
      <c r="J18" s="34"/>
      <c r="K18" s="34"/>
      <c r="L18" s="35"/>
      <c r="M18" s="35"/>
      <c r="N18" s="35"/>
      <c r="O18" s="35"/>
      <c r="P18" s="35"/>
      <c r="Q18" s="35"/>
      <c r="R18" s="9"/>
    </row>
    <row r="19" spans="2:18">
      <c r="B19" s="22" t="s">
        <v>11</v>
      </c>
      <c r="C19" s="23">
        <v>73</v>
      </c>
      <c r="D19" s="23">
        <v>207</v>
      </c>
      <c r="E19" s="23">
        <v>1079</v>
      </c>
      <c r="F19" s="23">
        <v>1079</v>
      </c>
      <c r="G19" s="24">
        <v>1079</v>
      </c>
      <c r="H19" s="9"/>
      <c r="I19" s="36"/>
      <c r="J19" s="36"/>
      <c r="K19" s="36"/>
      <c r="L19" s="37"/>
      <c r="M19" s="37"/>
      <c r="N19" s="37"/>
      <c r="O19" s="37"/>
      <c r="P19" s="37"/>
      <c r="Q19" s="37"/>
      <c r="R19" s="9"/>
    </row>
    <row r="20" spans="2:18">
      <c r="B20" s="41" t="s">
        <v>12</v>
      </c>
      <c r="C20" s="42">
        <f>+C19/C7</f>
        <v>1.0136833364345563E-4</v>
      </c>
      <c r="D20" s="42">
        <f t="shared" ref="D20:G20" si="3">+D19/D7</f>
        <v>2.7364917118672522E-4</v>
      </c>
      <c r="E20" s="42">
        <f t="shared" si="3"/>
        <v>1.3079184249411638E-3</v>
      </c>
      <c r="F20" s="42">
        <f t="shared" si="3"/>
        <v>1.2096914770081055E-3</v>
      </c>
      <c r="G20" s="43">
        <f t="shared" si="3"/>
        <v>1.1188415436626947E-3</v>
      </c>
      <c r="H20" s="9"/>
      <c r="I20" s="36"/>
      <c r="J20" s="38"/>
      <c r="K20" s="38"/>
      <c r="L20" s="38"/>
      <c r="M20" s="37"/>
      <c r="N20" s="37"/>
      <c r="O20" s="37"/>
      <c r="P20" s="37"/>
      <c r="Q20" s="37"/>
      <c r="R20" s="9"/>
    </row>
    <row r="21" spans="2:18">
      <c r="B21" s="22" t="s">
        <v>13</v>
      </c>
      <c r="C21" s="44">
        <v>65706.399999999994</v>
      </c>
      <c r="D21" s="44">
        <v>57284.5</v>
      </c>
      <c r="E21" s="23">
        <v>49076.5</v>
      </c>
      <c r="F21" s="44">
        <v>44389.5</v>
      </c>
      <c r="G21" s="44">
        <v>41535.5</v>
      </c>
      <c r="H21" s="44"/>
      <c r="I21" s="45"/>
      <c r="J21" s="44"/>
      <c r="K21" s="44"/>
      <c r="L21" s="44"/>
      <c r="M21" s="44"/>
      <c r="N21" s="9"/>
      <c r="O21" s="9"/>
      <c r="P21" s="9"/>
      <c r="Q21" s="9"/>
      <c r="R21" s="9"/>
    </row>
    <row r="22" spans="2:18">
      <c r="B22" s="41" t="s">
        <v>14</v>
      </c>
      <c r="C22" s="42">
        <f>+C21/C7</f>
        <v>9.1240387365895237E-2</v>
      </c>
      <c r="D22" s="42">
        <f t="shared" ref="D22:G22" si="4">+D21/D7</f>
        <v>7.5728772690077106E-2</v>
      </c>
      <c r="E22" s="42">
        <f t="shared" si="4"/>
        <v>5.9488469491774817E-2</v>
      </c>
      <c r="F22" s="42">
        <f t="shared" si="4"/>
        <v>4.976607953535802E-2</v>
      </c>
      <c r="G22" s="43">
        <f t="shared" si="4"/>
        <v>4.306917788396835E-2</v>
      </c>
      <c r="H22" s="9"/>
      <c r="I22" s="46"/>
      <c r="J22" s="44"/>
      <c r="K22" s="44"/>
      <c r="L22" s="44"/>
      <c r="N22" s="9"/>
      <c r="O22" s="9"/>
      <c r="P22" s="9"/>
      <c r="Q22" s="9"/>
      <c r="R22" s="9"/>
    </row>
    <row r="23" spans="2:18">
      <c r="B23" s="22" t="s">
        <v>15</v>
      </c>
      <c r="C23" s="47">
        <f>+C21-C19</f>
        <v>65633.399999999994</v>
      </c>
      <c r="D23" s="47">
        <f t="shared" ref="D23:G23" si="5">+D21-D19</f>
        <v>57077.5</v>
      </c>
      <c r="E23" s="47">
        <f t="shared" si="5"/>
        <v>47997.5</v>
      </c>
      <c r="F23" s="47">
        <f t="shared" si="5"/>
        <v>43310.5</v>
      </c>
      <c r="G23" s="48">
        <f t="shared" si="5"/>
        <v>40456.5</v>
      </c>
      <c r="H23" s="9"/>
      <c r="N23" s="9"/>
      <c r="O23" s="9"/>
      <c r="P23" s="9"/>
      <c r="Q23" s="9"/>
      <c r="R23" s="9"/>
    </row>
    <row r="24" spans="2:18">
      <c r="B24" s="22"/>
      <c r="C24" s="47"/>
      <c r="D24" s="47"/>
      <c r="E24" s="47"/>
      <c r="F24" s="47"/>
      <c r="G24" s="48"/>
      <c r="H24" s="9"/>
      <c r="N24" s="9"/>
      <c r="O24" s="9"/>
      <c r="P24" s="9"/>
      <c r="Q24" s="9"/>
      <c r="R24" s="9"/>
    </row>
    <row r="25" spans="2:18">
      <c r="B25" s="49" t="s">
        <v>16</v>
      </c>
      <c r="C25" s="47">
        <v>21054.5</v>
      </c>
      <c r="D25" s="47">
        <v>23658.5</v>
      </c>
      <c r="E25" s="47">
        <v>23658.5</v>
      </c>
      <c r="F25" s="47">
        <v>23658.5</v>
      </c>
      <c r="G25" s="48">
        <v>23658.5</v>
      </c>
      <c r="H25" s="17"/>
      <c r="J25" s="47"/>
      <c r="K25" s="47"/>
      <c r="N25" s="9"/>
      <c r="O25" s="9"/>
      <c r="P25" s="9"/>
      <c r="Q25" s="9"/>
      <c r="R25" s="9"/>
    </row>
    <row r="26" spans="2:18">
      <c r="B26" s="49"/>
      <c r="C26" s="47"/>
      <c r="D26" s="47"/>
      <c r="E26" s="47"/>
      <c r="F26" s="47"/>
      <c r="G26" s="48"/>
      <c r="H26" s="17"/>
      <c r="J26" s="47"/>
      <c r="K26" s="47"/>
      <c r="L26" s="47"/>
      <c r="M26" s="47"/>
      <c r="N26" s="9"/>
      <c r="O26" s="9"/>
      <c r="P26" s="9"/>
      <c r="Q26" s="9"/>
      <c r="R26" s="9"/>
    </row>
    <row r="27" spans="2:18">
      <c r="B27" s="22" t="s">
        <v>17</v>
      </c>
      <c r="C27" s="23">
        <f>+C16+C23+C25</f>
        <v>215789.9</v>
      </c>
      <c r="D27" s="23">
        <f>+D16+D23+D25</f>
        <v>215476</v>
      </c>
      <c r="E27" s="23">
        <f>+E16+E23+E25</f>
        <v>207776.87467000002</v>
      </c>
      <c r="F27" s="23">
        <f>+F16+F23+F25</f>
        <v>200763.44517564002</v>
      </c>
      <c r="G27" s="24">
        <f>+G16+G23+G25</f>
        <v>208773.55412390202</v>
      </c>
      <c r="H27" s="17"/>
      <c r="N27" s="9"/>
      <c r="O27" s="9"/>
      <c r="P27" s="9"/>
      <c r="Q27" s="9"/>
      <c r="R27" s="9"/>
    </row>
    <row r="28" spans="2:18">
      <c r="B28" s="41" t="s">
        <v>18</v>
      </c>
      <c r="C28" s="50">
        <v>78573</v>
      </c>
      <c r="D28" s="50">
        <v>73148</v>
      </c>
      <c r="E28" s="50">
        <f>+E29*E27</f>
        <v>70534.364979678299</v>
      </c>
      <c r="F28" s="50">
        <f t="shared" ref="F28:G28" si="6">+F29*F27</f>
        <v>68153.50427754235</v>
      </c>
      <c r="G28" s="51">
        <f t="shared" si="6"/>
        <v>70872.709429612514</v>
      </c>
      <c r="H28" s="17"/>
      <c r="N28" s="9"/>
      <c r="O28" s="9"/>
      <c r="P28" s="9"/>
      <c r="Q28" s="9"/>
      <c r="R28" s="9"/>
    </row>
    <row r="29" spans="2:18">
      <c r="B29" s="25" t="s">
        <v>19</v>
      </c>
      <c r="C29" s="30">
        <f>+C28/C27</f>
        <v>0.36411806113261097</v>
      </c>
      <c r="D29" s="30">
        <f>+D28/D27</f>
        <v>0.33947168130093375</v>
      </c>
      <c r="E29" s="30">
        <f>+$D$29</f>
        <v>0.33947168130093375</v>
      </c>
      <c r="F29" s="30">
        <f t="shared" ref="F29:G29" si="7">+$D$29</f>
        <v>0.33947168130093375</v>
      </c>
      <c r="G29" s="31">
        <f t="shared" si="7"/>
        <v>0.33947168130093375</v>
      </c>
      <c r="H29" s="17"/>
      <c r="N29" s="9"/>
      <c r="O29" s="9"/>
      <c r="P29" s="9"/>
      <c r="Q29" s="9"/>
      <c r="R29" s="9"/>
    </row>
    <row r="30" spans="2:18">
      <c r="B30" s="52"/>
      <c r="C30" s="50"/>
      <c r="D30" s="50"/>
      <c r="E30" s="50"/>
      <c r="F30" s="50"/>
      <c r="G30" s="51"/>
      <c r="H30" s="17"/>
      <c r="N30" s="9"/>
      <c r="O30" s="9"/>
      <c r="P30" s="9"/>
      <c r="Q30" s="9"/>
      <c r="R30" s="9"/>
    </row>
    <row r="31" spans="2:18">
      <c r="B31" s="22" t="s">
        <v>20</v>
      </c>
      <c r="C31" s="47">
        <f>+C27-C28</f>
        <v>137216.9</v>
      </c>
      <c r="D31" s="47">
        <f t="shared" ref="D31:G31" si="8">+D27-D28</f>
        <v>142328</v>
      </c>
      <c r="E31" s="47">
        <f t="shared" si="8"/>
        <v>137242.50969032172</v>
      </c>
      <c r="F31" s="47">
        <f t="shared" si="8"/>
        <v>132609.94089809767</v>
      </c>
      <c r="G31" s="48">
        <f t="shared" si="8"/>
        <v>137900.8446942895</v>
      </c>
      <c r="H31" s="17"/>
      <c r="N31" s="9"/>
      <c r="O31" s="9"/>
      <c r="P31" s="9"/>
      <c r="Q31" s="9"/>
      <c r="R31" s="9"/>
    </row>
    <row r="32" spans="2:18">
      <c r="B32" s="13"/>
      <c r="C32" s="53"/>
      <c r="D32" s="53"/>
      <c r="E32" s="53"/>
      <c r="F32" s="53"/>
      <c r="G32" s="54"/>
      <c r="H32" s="9"/>
      <c r="N32" s="9"/>
      <c r="O32" s="9"/>
      <c r="P32" s="9"/>
      <c r="Q32" s="9"/>
      <c r="R32" s="9"/>
    </row>
    <row r="33" spans="2:20">
      <c r="B33" s="41" t="s">
        <v>21</v>
      </c>
      <c r="C33" s="8">
        <v>6316.36</v>
      </c>
      <c r="D33" s="8">
        <v>6316.36</v>
      </c>
      <c r="E33" s="8">
        <v>6316.36</v>
      </c>
      <c r="F33" s="8">
        <v>6316.36</v>
      </c>
      <c r="G33" s="32">
        <v>6316.36</v>
      </c>
      <c r="H33" s="17"/>
      <c r="N33" s="9"/>
      <c r="O33" s="9"/>
      <c r="P33" s="9"/>
      <c r="Q33" s="9"/>
      <c r="R33" s="9"/>
    </row>
    <row r="34" spans="2:20">
      <c r="B34" s="13"/>
      <c r="C34" s="53"/>
      <c r="D34" s="53"/>
      <c r="E34" s="53"/>
      <c r="G34" s="32"/>
      <c r="H34" s="17"/>
      <c r="N34" s="9"/>
      <c r="O34" s="9"/>
      <c r="P34" s="9"/>
      <c r="Q34" s="9"/>
      <c r="R34" s="9"/>
    </row>
    <row r="35" spans="2:20">
      <c r="B35" s="22" t="s">
        <v>51</v>
      </c>
      <c r="C35" s="55">
        <f>+C31/C33</f>
        <v>21.724046761109246</v>
      </c>
      <c r="D35" s="55">
        <f t="shared" ref="D35:G35" si="9">+D31/D33</f>
        <v>22.533231164784784</v>
      </c>
      <c r="E35" s="55">
        <f t="shared" si="9"/>
        <v>21.728101262486895</v>
      </c>
      <c r="F35" s="55">
        <f t="shared" si="9"/>
        <v>20.994677456335243</v>
      </c>
      <c r="G35" s="56">
        <f t="shared" si="9"/>
        <v>21.832328222946366</v>
      </c>
      <c r="H35" s="9"/>
      <c r="N35" s="9"/>
      <c r="O35" s="9"/>
      <c r="P35" s="9"/>
      <c r="Q35" s="9"/>
      <c r="R35" s="9"/>
    </row>
    <row r="36" spans="2:20">
      <c r="B36" s="57" t="s">
        <v>22</v>
      </c>
      <c r="C36" s="58"/>
      <c r="D36" s="59">
        <f>+D35/C35-1</f>
        <v>3.7248327283301297E-2</v>
      </c>
      <c r="E36" s="59">
        <f t="shared" ref="E36:G36" si="10">+E35/D35-1</f>
        <v>-3.5730778973064314E-2</v>
      </c>
      <c r="F36" s="59">
        <f t="shared" si="10"/>
        <v>-3.3754620216994935E-2</v>
      </c>
      <c r="G36" s="60">
        <f t="shared" si="10"/>
        <v>3.9898244131317151E-2</v>
      </c>
      <c r="H36" s="9"/>
      <c r="N36" s="9"/>
      <c r="O36" s="9"/>
      <c r="P36" s="9"/>
      <c r="Q36" s="9"/>
      <c r="R36" s="9"/>
      <c r="T36" s="61"/>
    </row>
    <row r="37" spans="2:20">
      <c r="B37" s="13"/>
      <c r="G37" s="32"/>
      <c r="H37" s="9"/>
      <c r="N37" s="9"/>
      <c r="O37" s="9"/>
      <c r="P37" s="9"/>
      <c r="Q37" s="9"/>
      <c r="R37" s="9"/>
    </row>
    <row r="38" spans="2:20">
      <c r="B38" s="62"/>
      <c r="C38" s="63"/>
      <c r="D38" s="63"/>
      <c r="E38" s="63"/>
      <c r="F38" s="63"/>
      <c r="G38" s="64"/>
      <c r="H38" s="17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20">
      <c r="B39" s="65" t="s">
        <v>23</v>
      </c>
      <c r="C39" s="66"/>
      <c r="D39" s="66"/>
      <c r="E39" s="66"/>
      <c r="F39" s="66"/>
      <c r="G39" s="67"/>
      <c r="H39" s="17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20">
      <c r="B40" s="68" t="s">
        <v>24</v>
      </c>
      <c r="C40" s="69"/>
      <c r="D40" s="69"/>
      <c r="E40" s="69"/>
      <c r="F40" s="69"/>
      <c r="G40" s="70"/>
      <c r="H40" s="17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2:20">
      <c r="B41" s="22" t="s">
        <v>25</v>
      </c>
      <c r="C41" s="47">
        <v>61838</v>
      </c>
      <c r="D41" s="47">
        <v>75953</v>
      </c>
      <c r="E41" s="23">
        <f>+E43*E7</f>
        <v>82497.49980000002</v>
      </c>
      <c r="F41" s="23">
        <f>+F43*F7</f>
        <v>89196.29678376003</v>
      </c>
      <c r="G41" s="24">
        <f>+G43*G7</f>
        <v>96439.036082601349</v>
      </c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20">
      <c r="B42" s="25" t="s">
        <v>4</v>
      </c>
      <c r="C42" s="30"/>
      <c r="D42" s="30">
        <f>+D41/C41-1</f>
        <v>0.22825770561790493</v>
      </c>
      <c r="E42" s="30">
        <f t="shared" ref="E42:G42" si="11">+E41/D41-1</f>
        <v>8.6165125801482834E-2</v>
      </c>
      <c r="F42" s="30">
        <f t="shared" si="11"/>
        <v>8.1200000000000161E-2</v>
      </c>
      <c r="G42" s="31">
        <f t="shared" si="11"/>
        <v>8.1200000000000161E-2</v>
      </c>
      <c r="H42" s="17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2:20">
      <c r="B43" s="25" t="s">
        <v>5</v>
      </c>
      <c r="C43" s="30">
        <f>+C41/C7</f>
        <v>8.586869884717821E-2</v>
      </c>
      <c r="D43" s="30">
        <f>+D41/D7</f>
        <v>0.10040809419876977</v>
      </c>
      <c r="E43" s="30">
        <v>0.1</v>
      </c>
      <c r="F43" s="30">
        <v>0.1</v>
      </c>
      <c r="G43" s="31">
        <v>0.1</v>
      </c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2:20">
      <c r="B44" s="13"/>
      <c r="D44" s="71"/>
      <c r="E44" s="71"/>
      <c r="F44" s="71"/>
      <c r="G44" s="72"/>
      <c r="H44" s="17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20">
      <c r="B45" s="22" t="s">
        <v>26</v>
      </c>
      <c r="C45" s="47">
        <v>85219</v>
      </c>
      <c r="D45" s="47">
        <v>114637</v>
      </c>
      <c r="E45" s="47">
        <f>+E47*E7</f>
        <v>115496.49972000004</v>
      </c>
      <c r="F45" s="47">
        <f>+F47*F7</f>
        <v>124874.81549726405</v>
      </c>
      <c r="G45" s="48">
        <f>+G47*G7</f>
        <v>135014.6505156419</v>
      </c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2:20">
      <c r="B46" s="25" t="s">
        <v>4</v>
      </c>
      <c r="C46" s="30"/>
      <c r="D46" s="30">
        <f>+D45/C45-1</f>
        <v>0.34520470787031066</v>
      </c>
      <c r="E46" s="30">
        <f t="shared" ref="E46" si="12">+E45/D45-1</f>
        <v>7.4975768730867198E-3</v>
      </c>
      <c r="F46" s="30">
        <f t="shared" ref="F46" si="13">+F45/E45-1</f>
        <v>8.1200000000000161E-2</v>
      </c>
      <c r="G46" s="31">
        <f t="shared" ref="G46" si="14">+G45/F45-1</f>
        <v>8.1200000000000161E-2</v>
      </c>
      <c r="H46" s="17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20">
      <c r="B47" s="25" t="s">
        <v>5</v>
      </c>
      <c r="C47" s="30">
        <f>+C45/C7</f>
        <v>0.11833572636659788</v>
      </c>
      <c r="D47" s="30">
        <f>+D45/D7</f>
        <v>0.15154743979387739</v>
      </c>
      <c r="E47" s="30">
        <v>0.14000000000000001</v>
      </c>
      <c r="F47" s="30">
        <v>0.14000000000000001</v>
      </c>
      <c r="G47" s="31">
        <v>0.14000000000000001</v>
      </c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2:20">
      <c r="B48" s="13"/>
      <c r="D48" s="71"/>
      <c r="E48" s="71"/>
      <c r="F48" s="71"/>
      <c r="G48" s="72"/>
      <c r="H48" s="17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>
      <c r="B49" s="22" t="s">
        <v>27</v>
      </c>
      <c r="C49" s="47">
        <v>9208</v>
      </c>
      <c r="D49" s="47">
        <v>9785</v>
      </c>
      <c r="E49" s="47">
        <f>+E51*E7</f>
        <v>10671.498520615567</v>
      </c>
      <c r="F49" s="47">
        <f>+F51*F7</f>
        <v>11538.024200489554</v>
      </c>
      <c r="G49" s="48">
        <f>+G51*G7</f>
        <v>12474.911765569306</v>
      </c>
      <c r="H49" s="17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>
      <c r="B50" s="25" t="s">
        <v>4</v>
      </c>
      <c r="C50" s="30"/>
      <c r="D50" s="30">
        <f>+D49/C49-1</f>
        <v>6.2662901824500405E-2</v>
      </c>
      <c r="E50" s="30">
        <f t="shared" ref="E50:G50" si="15">+E49/D49-1</f>
        <v>9.0597702668938851E-2</v>
      </c>
      <c r="F50" s="30">
        <f t="shared" si="15"/>
        <v>8.1200000000000161E-2</v>
      </c>
      <c r="G50" s="31">
        <f t="shared" si="15"/>
        <v>8.1200000000000161E-2</v>
      </c>
      <c r="H50" s="17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>
      <c r="B51" s="25" t="s">
        <v>5</v>
      </c>
      <c r="C51" s="30">
        <f>+C49/C7</f>
        <v>1.2786296112177253E-2</v>
      </c>
      <c r="D51" s="30">
        <f>+D49/D7</f>
        <v>1.2935541739430467E-2</v>
      </c>
      <c r="E51" s="30">
        <f>+$D$51</f>
        <v>1.2935541739430467E-2</v>
      </c>
      <c r="F51" s="30">
        <f t="shared" ref="F51:G51" si="16">+$D$51</f>
        <v>1.2935541739430467E-2</v>
      </c>
      <c r="G51" s="31">
        <f t="shared" si="16"/>
        <v>1.2935541739430467E-2</v>
      </c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>
      <c r="B52" s="13"/>
      <c r="G52" s="32"/>
      <c r="H52" s="17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>
      <c r="B53" s="22" t="s">
        <v>24</v>
      </c>
      <c r="C53" s="23">
        <f>+C41+C45-C49</f>
        <v>137849</v>
      </c>
      <c r="D53" s="23">
        <f t="shared" ref="D53:G53" si="17">+D41+D45-D49</f>
        <v>180805</v>
      </c>
      <c r="E53" s="23">
        <f t="shared" si="17"/>
        <v>187322.5009993845</v>
      </c>
      <c r="F53" s="23">
        <f t="shared" si="17"/>
        <v>202533.08808053454</v>
      </c>
      <c r="G53" s="24">
        <f t="shared" si="17"/>
        <v>218978.77483267395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>
      <c r="B54" s="25" t="s">
        <v>4</v>
      </c>
      <c r="C54" s="30"/>
      <c r="D54" s="30">
        <f>+D53/C53-1</f>
        <v>0.31161633381453613</v>
      </c>
      <c r="E54" s="30">
        <f t="shared" ref="E54:G54" si="18">+E53/D53-1</f>
        <v>3.6047128118052552E-2</v>
      </c>
      <c r="F54" s="30">
        <f t="shared" si="18"/>
        <v>8.1200000000000161E-2</v>
      </c>
      <c r="G54" s="31">
        <f t="shared" si="18"/>
        <v>8.1200000000000161E-2</v>
      </c>
      <c r="H54" s="17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>
      <c r="B55" s="25" t="s">
        <v>5</v>
      </c>
      <c r="C55" s="30">
        <f>+C53/C7</f>
        <v>0.19141812910159883</v>
      </c>
      <c r="D55" s="30">
        <f>+D53/D7</f>
        <v>0.23901999225321671</v>
      </c>
      <c r="E55" s="30">
        <f>+E53/E7</f>
        <v>0.22706445826056959</v>
      </c>
      <c r="F55" s="30">
        <f>+F53/F7</f>
        <v>0.22706445826056956</v>
      </c>
      <c r="G55" s="31">
        <f>+G53/G7</f>
        <v>0.22706445826056956</v>
      </c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>
      <c r="B56" s="25"/>
      <c r="C56" s="73"/>
      <c r="D56" s="73"/>
      <c r="E56" s="73"/>
      <c r="F56" s="73"/>
      <c r="G56" s="74"/>
      <c r="H56" s="17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>
      <c r="B57" s="22" t="s">
        <v>28</v>
      </c>
      <c r="C57" s="23"/>
      <c r="D57" s="23">
        <f>+D53-C53</f>
        <v>42956</v>
      </c>
      <c r="E57" s="23">
        <f t="shared" ref="E57:G57" si="19">+E53-D53</f>
        <v>6517.5009993845015</v>
      </c>
      <c r="F57" s="23">
        <f t="shared" si="19"/>
        <v>15210.587081150035</v>
      </c>
      <c r="G57" s="24">
        <f t="shared" si="19"/>
        <v>16445.686752139416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2:18">
      <c r="B58" s="25" t="s">
        <v>4</v>
      </c>
      <c r="C58" s="73"/>
      <c r="D58" s="73"/>
      <c r="E58" s="30">
        <f>+E57/D57-1</f>
        <v>-0.84827495578302214</v>
      </c>
      <c r="F58" s="30">
        <f t="shared" ref="F58:G58" si="20">+F57/E57-1</f>
        <v>1.3338066357928429</v>
      </c>
      <c r="G58" s="31">
        <f t="shared" si="20"/>
        <v>8.1199999999999939E-2</v>
      </c>
      <c r="H58" s="17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>
      <c r="B59" s="25"/>
      <c r="C59" s="73"/>
      <c r="D59" s="73"/>
      <c r="E59" s="73"/>
      <c r="F59" s="73"/>
      <c r="G59" s="74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>
      <c r="B60" s="22" t="s">
        <v>29</v>
      </c>
      <c r="C60" s="71">
        <v>49014</v>
      </c>
      <c r="D60" s="71">
        <v>54451</v>
      </c>
      <c r="E60" s="23">
        <v>100000</v>
      </c>
      <c r="F60" s="71">
        <v>100000</v>
      </c>
      <c r="G60" s="72">
        <v>100000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>
      <c r="B61" s="25" t="s">
        <v>4</v>
      </c>
      <c r="C61" s="73"/>
      <c r="D61" s="30">
        <f>+D60/C60-1</f>
        <v>0.11092749010486802</v>
      </c>
      <c r="E61" s="30">
        <f t="shared" ref="E61:G61" si="21">+E60/D60-1</f>
        <v>0.83651356265266008</v>
      </c>
      <c r="F61" s="30">
        <f t="shared" si="21"/>
        <v>0</v>
      </c>
      <c r="G61" s="31">
        <f t="shared" si="21"/>
        <v>0</v>
      </c>
      <c r="H61" s="17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>
      <c r="B62" s="25"/>
      <c r="C62" s="73"/>
      <c r="D62" s="73"/>
      <c r="E62" s="73"/>
      <c r="F62" s="73"/>
      <c r="G62" s="74"/>
      <c r="H62" s="17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>
      <c r="B63" s="22" t="s">
        <v>30</v>
      </c>
      <c r="C63" s="75"/>
      <c r="D63" s="75">
        <f>+D57+D60</f>
        <v>97407</v>
      </c>
      <c r="E63" s="75">
        <f t="shared" ref="E63:G63" si="22">+E57+E60</f>
        <v>106517.5009993845</v>
      </c>
      <c r="F63" s="75">
        <f t="shared" si="22"/>
        <v>115210.58708115004</v>
      </c>
      <c r="G63" s="76">
        <f t="shared" si="22"/>
        <v>116445.68675213942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>
      <c r="B64" s="25" t="s">
        <v>4</v>
      </c>
      <c r="C64" s="73"/>
      <c r="D64" s="73"/>
      <c r="E64" s="30">
        <f>+E63/D63-1</f>
        <v>9.3530249359743189E-2</v>
      </c>
      <c r="F64" s="30">
        <f t="shared" ref="F64:G64" si="23">+F63/E63-1</f>
        <v>8.1611810267833595E-2</v>
      </c>
      <c r="G64" s="31">
        <f t="shared" si="23"/>
        <v>1.0720366090309241E-2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>
      <c r="B65" s="13"/>
      <c r="G65" s="32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>
      <c r="B66" s="68" t="s">
        <v>31</v>
      </c>
      <c r="C66" s="69"/>
      <c r="D66" s="69"/>
      <c r="E66" s="69"/>
      <c r="F66" s="69"/>
      <c r="G66" s="7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2:18">
      <c r="B67" s="22" t="s">
        <v>32</v>
      </c>
      <c r="C67" s="23">
        <v>4083</v>
      </c>
      <c r="D67" s="23">
        <v>11988</v>
      </c>
      <c r="E67" s="23">
        <f>+D67</f>
        <v>11988</v>
      </c>
      <c r="F67" s="23">
        <f t="shared" ref="F67:G67" si="24">+E67</f>
        <v>11988</v>
      </c>
      <c r="G67" s="24">
        <f t="shared" si="24"/>
        <v>11988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2:18">
      <c r="B68" s="13"/>
      <c r="C68" s="50"/>
      <c r="D68" s="50"/>
      <c r="E68" s="50"/>
      <c r="F68" s="50"/>
      <c r="G68" s="5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>
      <c r="B69" s="22" t="s">
        <v>33</v>
      </c>
      <c r="C69" s="23">
        <v>530925</v>
      </c>
      <c r="D69" s="23">
        <v>383128</v>
      </c>
      <c r="E69" s="23">
        <v>289298</v>
      </c>
      <c r="F69" s="23">
        <v>232164</v>
      </c>
      <c r="G69" s="24">
        <v>164988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>
      <c r="B70" s="13"/>
      <c r="C70" s="50"/>
      <c r="D70" s="50"/>
      <c r="E70" s="50"/>
      <c r="F70" s="50"/>
      <c r="G70" s="5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>
      <c r="B71" s="22" t="s">
        <v>34</v>
      </c>
      <c r="C71" s="23">
        <f>+C69-C67</f>
        <v>526842</v>
      </c>
      <c r="D71" s="23">
        <f t="shared" ref="D71:G71" si="25">+D69-D67</f>
        <v>371140</v>
      </c>
      <c r="E71" s="23">
        <f t="shared" si="25"/>
        <v>277310</v>
      </c>
      <c r="F71" s="23">
        <f t="shared" si="25"/>
        <v>220176</v>
      </c>
      <c r="G71" s="24">
        <f t="shared" si="25"/>
        <v>153000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2:18">
      <c r="B72" s="13"/>
      <c r="C72" s="50"/>
      <c r="D72" s="50"/>
      <c r="E72" s="50"/>
      <c r="F72" s="50"/>
      <c r="G72" s="5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2:18">
      <c r="B73" s="22" t="s">
        <v>35</v>
      </c>
      <c r="C73" s="23">
        <v>403531</v>
      </c>
      <c r="D73" s="23">
        <v>338976</v>
      </c>
      <c r="E73" s="23">
        <v>307451</v>
      </c>
      <c r="F73" s="23">
        <v>312612</v>
      </c>
      <c r="G73" s="24">
        <v>318190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>
      <c r="B74" s="13"/>
      <c r="C74" s="50"/>
      <c r="D74" s="50"/>
      <c r="E74" s="50"/>
      <c r="F74" s="50"/>
      <c r="G74" s="5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>
      <c r="B75" s="22" t="s">
        <v>36</v>
      </c>
      <c r="C75" s="23">
        <f>+C71+C73</f>
        <v>930373</v>
      </c>
      <c r="D75" s="23">
        <f t="shared" ref="D75:G75" si="26">+D71+D73</f>
        <v>710116</v>
      </c>
      <c r="E75" s="23">
        <f t="shared" si="26"/>
        <v>584761</v>
      </c>
      <c r="F75" s="23">
        <f t="shared" si="26"/>
        <v>532788</v>
      </c>
      <c r="G75" s="24">
        <f t="shared" si="26"/>
        <v>471190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>
      <c r="B76" s="13"/>
      <c r="G76" s="32"/>
      <c r="H76" s="17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>
      <c r="B77" s="91" t="s">
        <v>53</v>
      </c>
      <c r="C77" s="92"/>
      <c r="D77" s="92"/>
      <c r="E77" s="92"/>
      <c r="F77" s="92"/>
      <c r="G77" s="93"/>
      <c r="H77" s="9"/>
      <c r="I77" s="9"/>
      <c r="J77" s="9"/>
      <c r="K77" s="9"/>
      <c r="L77" s="77"/>
      <c r="M77" s="9"/>
      <c r="N77" s="9"/>
      <c r="O77" s="9"/>
      <c r="P77" s="9"/>
      <c r="Q77" s="9"/>
      <c r="R77" s="9"/>
    </row>
    <row r="78" spans="2:18">
      <c r="B78" s="13"/>
      <c r="G78" s="32"/>
      <c r="H78" s="9"/>
      <c r="I78" s="9"/>
      <c r="J78" s="9"/>
      <c r="K78" s="9"/>
      <c r="L78" s="77"/>
      <c r="M78" s="9"/>
      <c r="N78" s="9"/>
      <c r="O78" s="9"/>
      <c r="P78" s="9"/>
      <c r="Q78" s="9"/>
      <c r="R78" s="9"/>
    </row>
    <row r="79" spans="2:18">
      <c r="B79" s="22" t="s">
        <v>37</v>
      </c>
      <c r="C79" s="71"/>
      <c r="D79" s="71"/>
      <c r="E79" s="71"/>
      <c r="F79" s="71"/>
      <c r="G79" s="72"/>
      <c r="H79" s="9"/>
      <c r="I79" s="9"/>
      <c r="J79" s="9"/>
      <c r="K79" s="9"/>
      <c r="L79" s="77"/>
      <c r="M79" s="9"/>
      <c r="N79" s="9"/>
      <c r="O79" s="9"/>
      <c r="P79" s="9"/>
      <c r="Q79" s="9"/>
      <c r="R79" s="9"/>
    </row>
    <row r="80" spans="2:18">
      <c r="B80" s="41" t="s">
        <v>52</v>
      </c>
      <c r="C80" s="50"/>
      <c r="D80" s="50">
        <f t="shared" ref="D80:G80" si="27">+D10</f>
        <v>159404</v>
      </c>
      <c r="E80" s="50">
        <f t="shared" si="27"/>
        <v>164994.99960000004</v>
      </c>
      <c r="F80" s="50">
        <f t="shared" si="27"/>
        <v>169472.96388914404</v>
      </c>
      <c r="G80" s="51">
        <f t="shared" si="27"/>
        <v>183234.16855694258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2:18">
      <c r="B81" s="41" t="s">
        <v>38</v>
      </c>
      <c r="C81" s="50"/>
      <c r="D81" s="50">
        <f t="shared" ref="D81:G81" si="28">-D57</f>
        <v>-42956</v>
      </c>
      <c r="E81" s="50">
        <f t="shared" si="28"/>
        <v>-6517.5009993845015</v>
      </c>
      <c r="F81" s="50">
        <f t="shared" si="28"/>
        <v>-15210.587081150035</v>
      </c>
      <c r="G81" s="51">
        <f t="shared" si="28"/>
        <v>-16445.686752139416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2:18">
      <c r="B82" s="41" t="s">
        <v>11</v>
      </c>
      <c r="C82" s="50"/>
      <c r="D82" s="50">
        <f t="shared" ref="D82:G82" si="29">-D19</f>
        <v>-207</v>
      </c>
      <c r="E82" s="50">
        <f t="shared" si="29"/>
        <v>-1079</v>
      </c>
      <c r="F82" s="50">
        <f t="shared" si="29"/>
        <v>-1079</v>
      </c>
      <c r="G82" s="51">
        <f t="shared" si="29"/>
        <v>-1079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>
      <c r="B83" s="41" t="s">
        <v>18</v>
      </c>
      <c r="C83" s="50"/>
      <c r="D83" s="50">
        <f t="shared" ref="D83:G83" si="30">-D28</f>
        <v>-73148</v>
      </c>
      <c r="E83" s="50">
        <f t="shared" si="30"/>
        <v>-70534.364979678299</v>
      </c>
      <c r="F83" s="50">
        <f t="shared" si="30"/>
        <v>-68153.50427754235</v>
      </c>
      <c r="G83" s="51">
        <f t="shared" si="30"/>
        <v>-70872.709429612514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2" t="s">
        <v>39</v>
      </c>
      <c r="C84" s="23"/>
      <c r="D84" s="23">
        <f>+SUM(D80:D83)</f>
        <v>43093</v>
      </c>
      <c r="E84" s="23">
        <f t="shared" ref="E84:G84" si="31">+SUM(E80:E83)</f>
        <v>86864.133620937238</v>
      </c>
      <c r="F84" s="23">
        <f t="shared" si="31"/>
        <v>85029.872530451656</v>
      </c>
      <c r="G84" s="24">
        <f t="shared" si="31"/>
        <v>94836.772375190645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>
      <c r="B85" s="13"/>
      <c r="C85" s="50"/>
      <c r="D85" s="50"/>
      <c r="E85" s="50"/>
      <c r="F85" s="50"/>
      <c r="G85" s="5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2:18">
      <c r="B86" s="22" t="s">
        <v>29</v>
      </c>
      <c r="C86" s="23"/>
      <c r="D86" s="23">
        <f>+D60</f>
        <v>54451</v>
      </c>
      <c r="E86" s="23">
        <f t="shared" ref="E86:G86" si="32">+E60</f>
        <v>100000</v>
      </c>
      <c r="F86" s="23">
        <f t="shared" si="32"/>
        <v>100000</v>
      </c>
      <c r="G86" s="24">
        <f t="shared" si="32"/>
        <v>100000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2:18">
      <c r="B87" s="13"/>
      <c r="C87" s="50"/>
      <c r="D87" s="50"/>
      <c r="E87" s="50"/>
      <c r="F87" s="50"/>
      <c r="G87" s="5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>
      <c r="B88" s="22" t="s">
        <v>40</v>
      </c>
      <c r="C88" s="23"/>
      <c r="D88" s="23">
        <f>+D84-D86</f>
        <v>-11358</v>
      </c>
      <c r="E88" s="23">
        <f t="shared" ref="E88:G88" si="33">+E84-E86</f>
        <v>-13135.866379062762</v>
      </c>
      <c r="F88" s="23">
        <f t="shared" si="33"/>
        <v>-14970.127469548344</v>
      </c>
      <c r="G88" s="24">
        <f t="shared" si="33"/>
        <v>-5163.2276248093549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2:18">
      <c r="B89" s="78"/>
      <c r="C89" s="58"/>
      <c r="D89" s="79"/>
      <c r="E89" s="79"/>
      <c r="F89" s="79"/>
      <c r="G89" s="8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2:18"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>
      <c r="P92" s="9"/>
      <c r="Q92" s="9"/>
      <c r="R92" s="9"/>
    </row>
    <row r="93" spans="2:18">
      <c r="Q93" s="9"/>
      <c r="R93" s="9"/>
    </row>
    <row r="94" spans="2:18">
      <c r="B94" s="10" t="s">
        <v>70</v>
      </c>
      <c r="C94" s="11"/>
      <c r="D94" s="11"/>
      <c r="E94" s="11"/>
      <c r="F94" s="11"/>
      <c r="G94" s="12"/>
      <c r="Q94" s="9"/>
      <c r="R94" s="9"/>
    </row>
    <row r="95" spans="2:18">
      <c r="B95" s="14" t="s">
        <v>3</v>
      </c>
      <c r="C95" s="15" t="s">
        <v>41</v>
      </c>
      <c r="D95" s="15" t="s">
        <v>42</v>
      </c>
      <c r="E95" s="15" t="s">
        <v>43</v>
      </c>
      <c r="F95" s="15" t="s">
        <v>44</v>
      </c>
      <c r="G95" s="16" t="s">
        <v>45</v>
      </c>
      <c r="Q95" s="9"/>
      <c r="R95" s="9"/>
    </row>
    <row r="96" spans="2:18">
      <c r="B96" s="18"/>
      <c r="C96" s="19"/>
      <c r="D96" s="20"/>
      <c r="E96" s="20"/>
      <c r="F96" s="20"/>
      <c r="G96" s="21"/>
      <c r="H96" s="71"/>
      <c r="J96" s="71"/>
      <c r="Q96" s="9"/>
      <c r="R96" s="9"/>
    </row>
    <row r="97" spans="2:18">
      <c r="B97" s="22" t="s">
        <v>46</v>
      </c>
      <c r="C97" s="23">
        <f>+Assumptions!C18</f>
        <v>719808</v>
      </c>
      <c r="D97" s="23">
        <f>+Assumptions!D18</f>
        <v>755610</v>
      </c>
      <c r="E97" s="23">
        <f>+Assumptions!E18</f>
        <v>793843.86599999992</v>
      </c>
      <c r="F97" s="23">
        <f>+Assumptions!F18</f>
        <v>825835.77379979985</v>
      </c>
      <c r="G97" s="23">
        <f>+Assumptions!G18</f>
        <v>859116.95548393193</v>
      </c>
      <c r="Q97" s="9"/>
      <c r="R97" s="9"/>
    </row>
    <row r="98" spans="2:18">
      <c r="B98" s="25" t="s">
        <v>4</v>
      </c>
      <c r="D98" s="26">
        <f>+D97/C97-1</f>
        <v>4.9738263536943217E-2</v>
      </c>
      <c r="E98" s="26">
        <f t="shared" ref="E98" si="34">+E97/D97-1</f>
        <v>5.0599999999999978E-2</v>
      </c>
      <c r="F98" s="26">
        <f t="shared" ref="F98" si="35">+F97/E97-1</f>
        <v>4.0300000000000002E-2</v>
      </c>
      <c r="G98" s="27">
        <f t="shared" ref="G98" si="36">+G97/F97-1</f>
        <v>4.0300000000000225E-2</v>
      </c>
      <c r="I98" s="84"/>
      <c r="Q98" s="9"/>
      <c r="R98" s="9"/>
    </row>
    <row r="99" spans="2:18">
      <c r="B99" s="25"/>
      <c r="C99" s="28"/>
      <c r="D99" s="28"/>
      <c r="E99" s="28"/>
      <c r="F99" s="28"/>
      <c r="G99" s="29"/>
      <c r="Q99" s="9"/>
      <c r="R99" s="9"/>
    </row>
    <row r="100" spans="2:18">
      <c r="B100" s="22" t="s">
        <v>9</v>
      </c>
      <c r="C100" s="23">
        <v>152300</v>
      </c>
      <c r="D100" s="23">
        <v>159404</v>
      </c>
      <c r="E100" s="23">
        <f>+E101*E97</f>
        <v>142891.89588</v>
      </c>
      <c r="F100" s="23">
        <f>+F101*F97</f>
        <v>140392.08154596598</v>
      </c>
      <c r="G100" s="24">
        <f>+G101*G97</f>
        <v>146049.88243226844</v>
      </c>
      <c r="Q100" s="9"/>
      <c r="R100" s="9"/>
    </row>
    <row r="101" spans="2:18">
      <c r="B101" s="25" t="s">
        <v>10</v>
      </c>
      <c r="C101" s="30">
        <f>+C100/C97</f>
        <v>0.21158420023117275</v>
      </c>
      <c r="D101" s="30">
        <f>+D100/D97</f>
        <v>0.21096068077447361</v>
      </c>
      <c r="E101" s="30">
        <f>+E11-0.02</f>
        <v>0.18000000000000002</v>
      </c>
      <c r="F101" s="30">
        <f t="shared" ref="F101:G101" si="37">+F11-0.02</f>
        <v>0.17</v>
      </c>
      <c r="G101" s="30">
        <f t="shared" si="37"/>
        <v>0.17</v>
      </c>
      <c r="H101" s="73"/>
      <c r="I101" s="73"/>
      <c r="Q101" s="9"/>
      <c r="R101" s="9"/>
    </row>
    <row r="102" spans="2:18">
      <c r="B102" s="13"/>
      <c r="G102" s="32"/>
      <c r="Q102" s="9"/>
      <c r="R102" s="9"/>
    </row>
    <row r="103" spans="2:18">
      <c r="B103" s="22" t="s">
        <v>8</v>
      </c>
      <c r="C103" s="23">
        <f>+C100-C106</f>
        <v>23198</v>
      </c>
      <c r="D103" s="23">
        <f t="shared" ref="D103:G103" si="38">+D100-D106</f>
        <v>24664</v>
      </c>
      <c r="E103" s="23">
        <f t="shared" si="38"/>
        <v>27784.535309999992</v>
      </c>
      <c r="F103" s="23">
        <f t="shared" si="38"/>
        <v>33033.430951991992</v>
      </c>
      <c r="G103" s="24">
        <f t="shared" si="38"/>
        <v>34364.678219357287</v>
      </c>
      <c r="H103" s="73"/>
      <c r="I103" s="73"/>
      <c r="Q103" s="9"/>
      <c r="R103" s="9"/>
    </row>
    <row r="104" spans="2:18">
      <c r="B104" s="25" t="s">
        <v>4</v>
      </c>
      <c r="C104" s="30"/>
      <c r="D104" s="30">
        <f>+D103/C103-1</f>
        <v>6.3195103026122856E-2</v>
      </c>
      <c r="E104" s="30">
        <f t="shared" ref="E104" si="39">+E103/D103-1</f>
        <v>0.12652186628284112</v>
      </c>
      <c r="F104" s="30">
        <f t="shared" ref="F104" si="40">+F103/E103-1</f>
        <v>0.18891428571428581</v>
      </c>
      <c r="G104" s="31">
        <f t="shared" ref="G104" si="41">+G103/F103-1</f>
        <v>4.0300000000000447E-2</v>
      </c>
      <c r="Q104" s="9"/>
      <c r="R104" s="9"/>
    </row>
    <row r="105" spans="2:18">
      <c r="B105" s="25"/>
      <c r="D105" s="30"/>
      <c r="E105" s="30"/>
      <c r="F105" s="30"/>
      <c r="G105" s="31"/>
      <c r="H105" s="73"/>
      <c r="I105" s="73"/>
      <c r="Q105" s="9"/>
      <c r="R105" s="9"/>
    </row>
    <row r="106" spans="2:18">
      <c r="B106" s="22" t="s">
        <v>6</v>
      </c>
      <c r="C106" s="23">
        <v>129102</v>
      </c>
      <c r="D106" s="23">
        <v>134740</v>
      </c>
      <c r="E106" s="23">
        <f>+E107*E97</f>
        <v>115107.36057</v>
      </c>
      <c r="F106" s="23">
        <f>+F107*F97</f>
        <v>107358.65059397399</v>
      </c>
      <c r="G106" s="24">
        <f>+G107*G97</f>
        <v>111685.20421291115</v>
      </c>
      <c r="H106" s="73"/>
      <c r="I106" s="73"/>
      <c r="Q106" s="9"/>
      <c r="R106" s="9"/>
    </row>
    <row r="107" spans="2:18">
      <c r="B107" s="25" t="s">
        <v>7</v>
      </c>
      <c r="C107" s="30">
        <f>+C106/C97</f>
        <v>0.17935616164310483</v>
      </c>
      <c r="D107" s="30">
        <f>+D106/D97</f>
        <v>0.17831950344754569</v>
      </c>
      <c r="E107" s="30">
        <f>+E17-0.02</f>
        <v>0.14500000000000002</v>
      </c>
      <c r="F107" s="30">
        <f t="shared" ref="F107:G107" si="42">+F17-0.02</f>
        <v>0.13</v>
      </c>
      <c r="G107" s="30">
        <f t="shared" si="42"/>
        <v>0.13</v>
      </c>
      <c r="I107" s="71"/>
      <c r="Q107" s="9"/>
      <c r="R107" s="9"/>
    </row>
    <row r="108" spans="2:18">
      <c r="B108" s="13"/>
      <c r="G108" s="32"/>
      <c r="I108" s="84"/>
      <c r="Q108" s="9"/>
      <c r="R108" s="9"/>
    </row>
    <row r="109" spans="2:18">
      <c r="B109" s="22" t="s">
        <v>11</v>
      </c>
      <c r="C109" s="23">
        <v>73</v>
      </c>
      <c r="D109" s="23">
        <v>207</v>
      </c>
      <c r="E109" s="23">
        <v>1079</v>
      </c>
      <c r="F109" s="23">
        <v>1079</v>
      </c>
      <c r="G109" s="24">
        <v>1079</v>
      </c>
      <c r="Q109" s="9"/>
      <c r="R109" s="9"/>
    </row>
    <row r="110" spans="2:18">
      <c r="B110" s="41" t="s">
        <v>12</v>
      </c>
      <c r="C110" s="42">
        <f>+C109/C97</f>
        <v>1.0141593313772562E-4</v>
      </c>
      <c r="D110" s="42">
        <f t="shared" ref="D110" si="43">+D109/D97</f>
        <v>2.7395084765950689E-4</v>
      </c>
      <c r="E110" s="42">
        <f t="shared" ref="E110" si="44">+E109/E97</f>
        <v>1.3592093435663079E-3</v>
      </c>
      <c r="F110" s="42">
        <f t="shared" ref="F110" si="45">+F109/F97</f>
        <v>1.3065551702069673E-3</v>
      </c>
      <c r="G110" s="43">
        <f t="shared" ref="G110" si="46">+G109/G97</f>
        <v>1.2559407576727549E-3</v>
      </c>
      <c r="I110" s="71"/>
      <c r="Q110" s="9"/>
      <c r="R110" s="9"/>
    </row>
    <row r="111" spans="2:18">
      <c r="B111" s="22" t="s">
        <v>13</v>
      </c>
      <c r="C111" s="44">
        <v>65706.399999999994</v>
      </c>
      <c r="D111" s="44">
        <v>57284.5</v>
      </c>
      <c r="E111" s="23">
        <v>49076.5</v>
      </c>
      <c r="F111" s="44">
        <v>44389.5</v>
      </c>
      <c r="G111" s="44">
        <v>41535.5</v>
      </c>
      <c r="Q111" s="9"/>
      <c r="R111" s="9"/>
    </row>
    <row r="112" spans="2:18">
      <c r="B112" s="41" t="s">
        <v>14</v>
      </c>
      <c r="C112" s="42">
        <f>+C111/C97</f>
        <v>9.1283231083844577E-2</v>
      </c>
      <c r="D112" s="42">
        <f t="shared" ref="D112" si="47">+D111/D97</f>
        <v>7.5812257646140205E-2</v>
      </c>
      <c r="E112" s="42">
        <f t="shared" ref="E112" si="48">+E111/E97</f>
        <v>6.1821350648315024E-2</v>
      </c>
      <c r="F112" s="42">
        <f t="shared" ref="F112" si="49">+F111/F97</f>
        <v>5.3751001601392193E-2</v>
      </c>
      <c r="G112" s="43">
        <f t="shared" ref="G112" si="50">+G111/G97</f>
        <v>4.8346735255159146E-2</v>
      </c>
      <c r="I112" s="81"/>
      <c r="Q112" s="9"/>
      <c r="R112" s="9"/>
    </row>
    <row r="113" spans="2:18">
      <c r="B113" s="22" t="s">
        <v>15</v>
      </c>
      <c r="C113" s="47">
        <f>+C111-C109</f>
        <v>65633.399999999994</v>
      </c>
      <c r="D113" s="47">
        <f t="shared" ref="D113:G113" si="51">+D111-D109</f>
        <v>57077.5</v>
      </c>
      <c r="E113" s="47">
        <f t="shared" si="51"/>
        <v>47997.5</v>
      </c>
      <c r="F113" s="47">
        <f t="shared" si="51"/>
        <v>43310.5</v>
      </c>
      <c r="G113" s="48">
        <f t="shared" si="51"/>
        <v>40456.5</v>
      </c>
      <c r="Q113" s="9"/>
      <c r="R113" s="9"/>
    </row>
    <row r="114" spans="2:18">
      <c r="B114" s="22"/>
      <c r="C114" s="47"/>
      <c r="D114" s="47"/>
      <c r="E114" s="47"/>
      <c r="F114" s="47"/>
      <c r="G114" s="48"/>
      <c r="Q114" s="9"/>
      <c r="R114" s="9"/>
    </row>
    <row r="115" spans="2:18">
      <c r="B115" s="49" t="s">
        <v>16</v>
      </c>
      <c r="C115" s="47">
        <v>21054.5</v>
      </c>
      <c r="D115" s="47">
        <v>23658.5</v>
      </c>
      <c r="E115" s="47">
        <v>23658.5</v>
      </c>
      <c r="F115" s="47">
        <v>23658.5</v>
      </c>
      <c r="G115" s="48">
        <v>23658.5</v>
      </c>
      <c r="H115" s="71"/>
      <c r="I115" s="71"/>
      <c r="Q115" s="9"/>
      <c r="R115" s="9"/>
    </row>
    <row r="116" spans="2:18">
      <c r="B116" s="49"/>
      <c r="C116" s="47"/>
      <c r="D116" s="47"/>
      <c r="E116" s="47"/>
      <c r="F116" s="47"/>
      <c r="G116" s="48"/>
      <c r="Q116" s="9"/>
      <c r="R116" s="9"/>
    </row>
    <row r="117" spans="2:18">
      <c r="B117" s="22" t="s">
        <v>17</v>
      </c>
      <c r="C117" s="23">
        <f>+C106+C113+C115</f>
        <v>215789.9</v>
      </c>
      <c r="D117" s="23">
        <f>+D106+D113+D115</f>
        <v>215476</v>
      </c>
      <c r="E117" s="23">
        <f>+E106+E113+E115</f>
        <v>186763.36057000002</v>
      </c>
      <c r="F117" s="23">
        <f>+F106+F113+F115</f>
        <v>174327.65059397399</v>
      </c>
      <c r="G117" s="24">
        <f>+G106+G113+G115</f>
        <v>175800.20421291114</v>
      </c>
      <c r="I117" s="81"/>
      <c r="Q117" s="9"/>
      <c r="R117" s="9"/>
    </row>
    <row r="118" spans="2:18">
      <c r="B118" s="41" t="s">
        <v>18</v>
      </c>
      <c r="C118" s="50">
        <v>78573</v>
      </c>
      <c r="D118" s="50">
        <v>73148</v>
      </c>
      <c r="E118" s="50">
        <f>+E119*E117</f>
        <v>63400.872018110422</v>
      </c>
      <c r="F118" s="50">
        <f t="shared" ref="F118" si="52">+F119*F117</f>
        <v>59179.300644378069</v>
      </c>
      <c r="G118" s="51">
        <f t="shared" ref="G118" si="53">+G119*G117</f>
        <v>59679.19089720444</v>
      </c>
      <c r="Q118" s="9"/>
      <c r="R118" s="9"/>
    </row>
    <row r="119" spans="2:18">
      <c r="B119" s="25" t="s">
        <v>19</v>
      </c>
      <c r="C119" s="30">
        <f>+C118/C117</f>
        <v>0.36411806113261097</v>
      </c>
      <c r="D119" s="30">
        <f>+D118/D117</f>
        <v>0.33947168130093375</v>
      </c>
      <c r="E119" s="30">
        <f>+$D$29</f>
        <v>0.33947168130093375</v>
      </c>
      <c r="F119" s="30">
        <f t="shared" ref="F119:G119" si="54">+$D$29</f>
        <v>0.33947168130093375</v>
      </c>
      <c r="G119" s="31">
        <f t="shared" si="54"/>
        <v>0.33947168130093375</v>
      </c>
      <c r="Q119" s="9"/>
      <c r="R119" s="9"/>
    </row>
    <row r="120" spans="2:18">
      <c r="B120" s="52"/>
      <c r="C120" s="50"/>
      <c r="D120" s="50"/>
      <c r="E120" s="50"/>
      <c r="F120" s="50"/>
      <c r="G120" s="51"/>
      <c r="Q120" s="9"/>
      <c r="R120" s="9"/>
    </row>
    <row r="121" spans="2:18">
      <c r="B121" s="22" t="s">
        <v>20</v>
      </c>
      <c r="C121" s="47">
        <f>+C117-C118</f>
        <v>137216.9</v>
      </c>
      <c r="D121" s="47">
        <f t="shared" ref="D121:G121" si="55">+D117-D118</f>
        <v>142328</v>
      </c>
      <c r="E121" s="47">
        <f t="shared" si="55"/>
        <v>123362.4885518896</v>
      </c>
      <c r="F121" s="47">
        <f t="shared" si="55"/>
        <v>115148.34994959593</v>
      </c>
      <c r="G121" s="48">
        <f t="shared" si="55"/>
        <v>116121.01331570669</v>
      </c>
      <c r="Q121" s="9"/>
      <c r="R121" s="9"/>
    </row>
    <row r="122" spans="2:18">
      <c r="B122" s="13"/>
      <c r="C122" s="53"/>
      <c r="D122" s="53"/>
      <c r="E122" s="53"/>
      <c r="F122" s="53"/>
      <c r="G122" s="54"/>
      <c r="Q122" s="9"/>
      <c r="R122" s="9"/>
    </row>
    <row r="123" spans="2:18">
      <c r="B123" s="41" t="s">
        <v>21</v>
      </c>
      <c r="C123" s="8">
        <v>6316.36</v>
      </c>
      <c r="D123" s="8">
        <v>6316.36</v>
      </c>
      <c r="E123" s="8">
        <v>6316.36</v>
      </c>
      <c r="F123" s="8">
        <v>6316.36</v>
      </c>
      <c r="G123" s="32">
        <v>6316.36</v>
      </c>
      <c r="Q123" s="9"/>
      <c r="R123" s="9"/>
    </row>
    <row r="124" spans="2:18">
      <c r="B124" s="13"/>
      <c r="C124" s="53"/>
      <c r="D124" s="53"/>
      <c r="E124" s="53"/>
      <c r="G124" s="32"/>
      <c r="Q124" s="9"/>
      <c r="R124" s="9"/>
    </row>
    <row r="125" spans="2:18">
      <c r="B125" s="22" t="s">
        <v>51</v>
      </c>
      <c r="C125" s="55">
        <f>+C121/C123</f>
        <v>21.724046761109246</v>
      </c>
      <c r="D125" s="55">
        <f t="shared" ref="D125:G125" si="56">+D121/D123</f>
        <v>22.533231164784784</v>
      </c>
      <c r="E125" s="55">
        <f t="shared" si="56"/>
        <v>19.530629753828091</v>
      </c>
      <c r="F125" s="55">
        <f t="shared" si="56"/>
        <v>18.230175282852137</v>
      </c>
      <c r="G125" s="56">
        <f t="shared" si="56"/>
        <v>18.384166405288283</v>
      </c>
      <c r="H125" s="73"/>
      <c r="I125" s="73"/>
      <c r="Q125" s="9"/>
      <c r="R125" s="9"/>
    </row>
    <row r="126" spans="2:18">
      <c r="B126" s="57" t="s">
        <v>22</v>
      </c>
      <c r="C126" s="58"/>
      <c r="D126" s="59">
        <f>+D125/C125-1</f>
        <v>3.7248327283301297E-2</v>
      </c>
      <c r="E126" s="59">
        <f t="shared" ref="E126" si="57">+E125/D125-1</f>
        <v>-0.13325214608587499</v>
      </c>
      <c r="F126" s="59">
        <f t="shared" ref="F126" si="58">+F125/E125-1</f>
        <v>-6.6585383439623058E-2</v>
      </c>
      <c r="G126" s="60">
        <f t="shared" ref="G126" si="59">+G125/F125-1</f>
        <v>8.4470456288479046E-3</v>
      </c>
      <c r="Q126" s="9"/>
      <c r="R126" s="9"/>
    </row>
    <row r="127" spans="2:18">
      <c r="B127" s="13"/>
      <c r="G127" s="32"/>
      <c r="Q127" s="9"/>
      <c r="R127" s="9"/>
    </row>
    <row r="128" spans="2:18">
      <c r="B128" s="62"/>
      <c r="C128" s="63"/>
      <c r="D128" s="63"/>
      <c r="E128" s="63"/>
      <c r="F128" s="63"/>
      <c r="G128" s="64"/>
      <c r="Q128" s="9"/>
      <c r="R128" s="9"/>
    </row>
    <row r="129" spans="2:18">
      <c r="B129" s="65" t="s">
        <v>23</v>
      </c>
      <c r="C129" s="66"/>
      <c r="D129" s="66"/>
      <c r="E129" s="66"/>
      <c r="F129" s="66"/>
      <c r="G129" s="67"/>
      <c r="Q129" s="9"/>
      <c r="R129" s="9"/>
    </row>
    <row r="130" spans="2:18">
      <c r="B130" s="68" t="s">
        <v>24</v>
      </c>
      <c r="C130" s="69"/>
      <c r="D130" s="69"/>
      <c r="E130" s="69"/>
      <c r="F130" s="69"/>
      <c r="G130" s="70"/>
      <c r="Q130" s="9"/>
      <c r="R130" s="9"/>
    </row>
    <row r="131" spans="2:18">
      <c r="B131" s="22" t="s">
        <v>25</v>
      </c>
      <c r="C131" s="47">
        <v>61838</v>
      </c>
      <c r="D131" s="47">
        <v>75953</v>
      </c>
      <c r="E131" s="23">
        <f>+E133*E97</f>
        <v>79384.386599999998</v>
      </c>
      <c r="F131" s="23">
        <f>+F133*F97</f>
        <v>82583.577379979994</v>
      </c>
      <c r="G131" s="24">
        <f>+G133*G97</f>
        <v>85911.695548393196</v>
      </c>
      <c r="Q131" s="9"/>
      <c r="R131" s="9"/>
    </row>
    <row r="132" spans="2:18">
      <c r="B132" s="25" t="s">
        <v>4</v>
      </c>
      <c r="C132" s="30"/>
      <c r="D132" s="30">
        <f>+D131/C131-1</f>
        <v>0.22825770561790493</v>
      </c>
      <c r="E132" s="30">
        <f t="shared" ref="E132" si="60">+E131/D131-1</f>
        <v>4.517776256369066E-2</v>
      </c>
      <c r="F132" s="30">
        <f t="shared" ref="F132" si="61">+F131/E131-1</f>
        <v>4.0300000000000002E-2</v>
      </c>
      <c r="G132" s="31">
        <f t="shared" ref="G132" si="62">+G131/F131-1</f>
        <v>4.0300000000000002E-2</v>
      </c>
      <c r="Q132" s="9"/>
      <c r="R132" s="9"/>
    </row>
    <row r="133" spans="2:18">
      <c r="B133" s="25" t="s">
        <v>5</v>
      </c>
      <c r="C133" s="30">
        <f>+C131/C97</f>
        <v>8.5909020183159948E-2</v>
      </c>
      <c r="D133" s="30">
        <f>+D131/D97</f>
        <v>0.10051878614629239</v>
      </c>
      <c r="E133" s="30">
        <v>0.1</v>
      </c>
      <c r="F133" s="30">
        <v>0.1</v>
      </c>
      <c r="G133" s="31">
        <v>0.1</v>
      </c>
      <c r="Q133" s="9"/>
      <c r="R133" s="9"/>
    </row>
    <row r="134" spans="2:18">
      <c r="B134" s="13"/>
      <c r="D134" s="71"/>
      <c r="E134" s="71"/>
      <c r="F134" s="71"/>
      <c r="G134" s="72"/>
      <c r="Q134" s="9"/>
      <c r="R134" s="9"/>
    </row>
    <row r="135" spans="2:18">
      <c r="B135" s="22" t="s">
        <v>26</v>
      </c>
      <c r="C135" s="47">
        <v>85219</v>
      </c>
      <c r="D135" s="47">
        <v>114637</v>
      </c>
      <c r="E135" s="47">
        <f>+E137*E97</f>
        <v>111138.14124</v>
      </c>
      <c r="F135" s="47">
        <f>+F137*F97</f>
        <v>115617.00833197199</v>
      </c>
      <c r="G135" s="48">
        <f>+G137*G97</f>
        <v>120276.37376775048</v>
      </c>
      <c r="Q135" s="9"/>
      <c r="R135" s="9"/>
    </row>
    <row r="136" spans="2:18">
      <c r="B136" s="25" t="s">
        <v>4</v>
      </c>
      <c r="C136" s="30"/>
      <c r="D136" s="30">
        <f>+D135/C135-1</f>
        <v>0.34520470787031066</v>
      </c>
      <c r="E136" s="30">
        <f t="shared" ref="E136" si="63">+E135/D135-1</f>
        <v>-3.0521199612690508E-2</v>
      </c>
      <c r="F136" s="30">
        <f t="shared" ref="F136" si="64">+F135/E135-1</f>
        <v>4.0300000000000002E-2</v>
      </c>
      <c r="G136" s="31">
        <f t="shared" ref="G136" si="65">+G135/F135-1</f>
        <v>4.0300000000000225E-2</v>
      </c>
      <c r="L136" s="86"/>
      <c r="Q136" s="9"/>
      <c r="R136" s="9"/>
    </row>
    <row r="137" spans="2:18">
      <c r="B137" s="25" t="s">
        <v>5</v>
      </c>
      <c r="C137" s="30">
        <f>+C135/C97</f>
        <v>0.11839129323375122</v>
      </c>
      <c r="D137" s="30">
        <f>+D135/D97</f>
        <v>0.15171450880745357</v>
      </c>
      <c r="E137" s="30">
        <v>0.14000000000000001</v>
      </c>
      <c r="F137" s="30">
        <v>0.14000000000000001</v>
      </c>
      <c r="G137" s="31">
        <v>0.14000000000000001</v>
      </c>
      <c r="Q137" s="9"/>
      <c r="R137" s="9"/>
    </row>
    <row r="138" spans="2:18">
      <c r="B138" s="13"/>
      <c r="D138" s="71"/>
      <c r="E138" s="71"/>
      <c r="F138" s="71"/>
      <c r="G138" s="72"/>
      <c r="Q138" s="9"/>
      <c r="R138" s="9"/>
    </row>
    <row r="139" spans="2:18">
      <c r="B139" s="22" t="s">
        <v>27</v>
      </c>
      <c r="C139" s="47">
        <v>9208</v>
      </c>
      <c r="D139" s="47">
        <v>9785</v>
      </c>
      <c r="E139" s="47">
        <f>+E141*E97</f>
        <v>10268.800463233845</v>
      </c>
      <c r="F139" s="47">
        <f>+F141*F97</f>
        <v>10682.633121902169</v>
      </c>
      <c r="G139" s="48">
        <f>+G141*G97</f>
        <v>11113.143236714828</v>
      </c>
      <c r="Q139" s="9"/>
      <c r="R139" s="9"/>
    </row>
    <row r="140" spans="2:18">
      <c r="B140" s="25" t="s">
        <v>4</v>
      </c>
      <c r="C140" s="30"/>
      <c r="D140" s="30">
        <f>+D139/C139-1</f>
        <v>6.2662901824500405E-2</v>
      </c>
      <c r="E140" s="30">
        <f t="shared" ref="E140" si="66">+E139/D139-1</f>
        <v>4.9443072379544706E-2</v>
      </c>
      <c r="F140" s="30">
        <f t="shared" ref="F140" si="67">+F139/E139-1</f>
        <v>4.0300000000000002E-2</v>
      </c>
      <c r="G140" s="31">
        <f t="shared" ref="G140" si="68">+G139/F139-1</f>
        <v>4.0300000000000225E-2</v>
      </c>
      <c r="Q140" s="9"/>
      <c r="R140" s="9"/>
    </row>
    <row r="141" spans="2:18">
      <c r="B141" s="25" t="s">
        <v>5</v>
      </c>
      <c r="C141" s="30">
        <f>+C139/C97</f>
        <v>1.2792300168933938E-2</v>
      </c>
      <c r="D141" s="30">
        <f>+D139/D97</f>
        <v>1.2949802146610024E-2</v>
      </c>
      <c r="E141" s="30">
        <f>+$D$51</f>
        <v>1.2935541739430467E-2</v>
      </c>
      <c r="F141" s="30">
        <f t="shared" ref="F141:G141" si="69">+$D$51</f>
        <v>1.2935541739430467E-2</v>
      </c>
      <c r="G141" s="31">
        <f t="shared" si="69"/>
        <v>1.2935541739430467E-2</v>
      </c>
      <c r="Q141" s="9"/>
      <c r="R141" s="9"/>
    </row>
    <row r="142" spans="2:18">
      <c r="B142" s="13"/>
      <c r="G142" s="32"/>
      <c r="Q142" s="9"/>
      <c r="R142" s="9"/>
    </row>
    <row r="143" spans="2:18">
      <c r="B143" s="22" t="s">
        <v>24</v>
      </c>
      <c r="C143" s="23">
        <f>+C131+C135-C139</f>
        <v>137849</v>
      </c>
      <c r="D143" s="23">
        <f t="shared" ref="D143:G143" si="70">+D131+D135-D139</f>
        <v>180805</v>
      </c>
      <c r="E143" s="23">
        <f t="shared" si="70"/>
        <v>180253.72737676615</v>
      </c>
      <c r="F143" s="23">
        <f t="shared" si="70"/>
        <v>187517.9525900498</v>
      </c>
      <c r="G143" s="24">
        <f t="shared" si="70"/>
        <v>195074.92607942887</v>
      </c>
      <c r="Q143" s="9"/>
      <c r="R143" s="9"/>
    </row>
    <row r="144" spans="2:18">
      <c r="B144" s="25" t="s">
        <v>4</v>
      </c>
      <c r="C144" s="30"/>
      <c r="D144" s="30">
        <f>+D143/C143-1</f>
        <v>0.31161633381453613</v>
      </c>
      <c r="E144" s="30">
        <f t="shared" ref="E144" si="71">+E143/D143-1</f>
        <v>-3.0489899241383789E-3</v>
      </c>
      <c r="F144" s="30">
        <f t="shared" ref="F144" si="72">+F143/E143-1</f>
        <v>4.029999999999978E-2</v>
      </c>
      <c r="G144" s="31">
        <f t="shared" ref="G144" si="73">+G143/F143-1</f>
        <v>4.0300000000000447E-2</v>
      </c>
      <c r="Q144" s="9"/>
      <c r="R144" s="9"/>
    </row>
    <row r="145" spans="2:18">
      <c r="B145" s="25" t="s">
        <v>5</v>
      </c>
      <c r="C145" s="30">
        <f>+C143/C97</f>
        <v>0.19150801324797723</v>
      </c>
      <c r="D145" s="30">
        <f>+D143/D97</f>
        <v>0.23928349280713596</v>
      </c>
      <c r="E145" s="30">
        <f>+E143/E97</f>
        <v>0.22706445826056956</v>
      </c>
      <c r="F145" s="30">
        <f>+F143/F97</f>
        <v>0.22706445826056953</v>
      </c>
      <c r="G145" s="31">
        <f>+G143/G97</f>
        <v>0.22706445826056956</v>
      </c>
      <c r="Q145" s="9"/>
      <c r="R145" s="9"/>
    </row>
    <row r="146" spans="2:18">
      <c r="B146" s="25"/>
      <c r="C146" s="73"/>
      <c r="D146" s="73"/>
      <c r="E146" s="73"/>
      <c r="F146" s="73"/>
      <c r="G146" s="74"/>
      <c r="Q146" s="9"/>
      <c r="R146" s="9"/>
    </row>
    <row r="147" spans="2:18">
      <c r="B147" s="22" t="s">
        <v>28</v>
      </c>
      <c r="C147" s="23"/>
      <c r="D147" s="23">
        <f>+D143-C143</f>
        <v>42956</v>
      </c>
      <c r="E147" s="23">
        <f t="shared" ref="E147:G147" si="74">+E143-D143</f>
        <v>-551.27262323384639</v>
      </c>
      <c r="F147" s="23">
        <f t="shared" si="74"/>
        <v>7264.2252132836438</v>
      </c>
      <c r="G147" s="24">
        <f t="shared" si="74"/>
        <v>7556.9734893790737</v>
      </c>
      <c r="Q147" s="9"/>
      <c r="R147" s="9"/>
    </row>
    <row r="148" spans="2:18">
      <c r="B148" s="25" t="s">
        <v>4</v>
      </c>
      <c r="C148" s="73"/>
      <c r="D148" s="73"/>
      <c r="E148" s="30">
        <f>+E147/D147-1</f>
        <v>-1.0128334254407729</v>
      </c>
      <c r="F148" s="30">
        <f t="shared" ref="F148" si="75">+F147/E147-1</f>
        <v>-14.177192022833692</v>
      </c>
      <c r="G148" s="31">
        <f t="shared" ref="G148" si="76">+G147/F147-1</f>
        <v>4.0300000000013547E-2</v>
      </c>
      <c r="Q148" s="9"/>
      <c r="R148" s="9"/>
    </row>
    <row r="149" spans="2:18">
      <c r="B149" s="25"/>
      <c r="C149" s="73"/>
      <c r="D149" s="73"/>
      <c r="E149" s="73"/>
      <c r="F149" s="73"/>
      <c r="G149" s="74"/>
      <c r="Q149" s="9"/>
      <c r="R149" s="9"/>
    </row>
    <row r="150" spans="2:18">
      <c r="B150" s="22" t="s">
        <v>29</v>
      </c>
      <c r="C150" s="71">
        <v>49014</v>
      </c>
      <c r="D150" s="71">
        <v>54451</v>
      </c>
      <c r="E150" s="23">
        <v>100000</v>
      </c>
      <c r="F150" s="71">
        <v>100000</v>
      </c>
      <c r="G150" s="72">
        <v>100000</v>
      </c>
      <c r="Q150" s="9"/>
      <c r="R150" s="9"/>
    </row>
    <row r="151" spans="2:18">
      <c r="B151" s="25" t="s">
        <v>4</v>
      </c>
      <c r="C151" s="73"/>
      <c r="D151" s="30">
        <f>+D150/C150-1</f>
        <v>0.11092749010486802</v>
      </c>
      <c r="E151" s="30">
        <f t="shared" ref="E151" si="77">+E150/D150-1</f>
        <v>0.83651356265266008</v>
      </c>
      <c r="F151" s="30">
        <f t="shared" ref="F151" si="78">+F150/E150-1</f>
        <v>0</v>
      </c>
      <c r="G151" s="31">
        <f t="shared" ref="G151" si="79">+G150/F150-1</f>
        <v>0</v>
      </c>
      <c r="Q151" s="9"/>
      <c r="R151" s="9"/>
    </row>
    <row r="152" spans="2:18">
      <c r="B152" s="25"/>
      <c r="C152" s="73"/>
      <c r="D152" s="73"/>
      <c r="E152" s="73"/>
      <c r="F152" s="73"/>
      <c r="G152" s="74"/>
      <c r="Q152" s="9"/>
      <c r="R152" s="9"/>
    </row>
    <row r="153" spans="2:18">
      <c r="B153" s="22" t="s">
        <v>30</v>
      </c>
      <c r="C153" s="75"/>
      <c r="D153" s="75">
        <f>+D147+D150</f>
        <v>97407</v>
      </c>
      <c r="E153" s="75">
        <f t="shared" ref="E153:G153" si="80">+E147+E150</f>
        <v>99448.727376766154</v>
      </c>
      <c r="F153" s="75">
        <f t="shared" si="80"/>
        <v>107264.22521328364</v>
      </c>
      <c r="G153" s="76">
        <f t="shared" si="80"/>
        <v>107556.97348937907</v>
      </c>
      <c r="Q153" s="9"/>
      <c r="R153" s="9"/>
    </row>
    <row r="154" spans="2:18">
      <c r="B154" s="25" t="s">
        <v>4</v>
      </c>
      <c r="C154" s="73"/>
      <c r="D154" s="73"/>
      <c r="E154" s="30">
        <f>+E153/D153-1</f>
        <v>2.0960786973894585E-2</v>
      </c>
      <c r="F154" s="30">
        <f t="shared" ref="F154" si="81">+F153/E153-1</f>
        <v>7.8588213672238449E-2</v>
      </c>
      <c r="G154" s="31">
        <f t="shared" ref="G154" si="82">+G153/F153-1</f>
        <v>2.7292256622684086E-3</v>
      </c>
      <c r="Q154" s="9"/>
      <c r="R154" s="9"/>
    </row>
    <row r="155" spans="2:18">
      <c r="B155" s="13"/>
      <c r="G155" s="32"/>
      <c r="Q155" s="9"/>
      <c r="R155" s="9"/>
    </row>
    <row r="156" spans="2:18">
      <c r="B156" s="68" t="s">
        <v>31</v>
      </c>
      <c r="C156" s="69"/>
      <c r="D156" s="69"/>
      <c r="E156" s="69"/>
      <c r="F156" s="69"/>
      <c r="G156" s="70"/>
      <c r="Q156" s="9"/>
      <c r="R156" s="9"/>
    </row>
    <row r="157" spans="2:18">
      <c r="B157" s="22" t="s">
        <v>32</v>
      </c>
      <c r="C157" s="23">
        <v>4083</v>
      </c>
      <c r="D157" s="23">
        <v>11988</v>
      </c>
      <c r="E157" s="23">
        <f>+D157</f>
        <v>11988</v>
      </c>
      <c r="F157" s="23">
        <f t="shared" ref="F157:G157" si="83">+E157</f>
        <v>11988</v>
      </c>
      <c r="G157" s="24">
        <f t="shared" si="83"/>
        <v>11988</v>
      </c>
      <c r="Q157" s="9"/>
      <c r="R157" s="9"/>
    </row>
    <row r="158" spans="2:18">
      <c r="B158" s="13"/>
      <c r="C158" s="50"/>
      <c r="D158" s="50"/>
      <c r="E158" s="50"/>
      <c r="F158" s="50"/>
      <c r="G158" s="51"/>
      <c r="Q158" s="9"/>
      <c r="R158" s="9"/>
    </row>
    <row r="159" spans="2:18">
      <c r="B159" s="22" t="s">
        <v>33</v>
      </c>
      <c r="C159" s="23">
        <v>530925</v>
      </c>
      <c r="D159" s="23">
        <v>383128</v>
      </c>
      <c r="E159" s="23">
        <v>289298</v>
      </c>
      <c r="F159" s="23">
        <v>232164</v>
      </c>
      <c r="G159" s="24">
        <v>164988</v>
      </c>
      <c r="Q159" s="9"/>
      <c r="R159" s="9"/>
    </row>
    <row r="160" spans="2:18">
      <c r="B160" s="13"/>
      <c r="C160" s="50"/>
      <c r="D160" s="50"/>
      <c r="E160" s="50"/>
      <c r="F160" s="50"/>
      <c r="G160" s="51"/>
      <c r="Q160" s="9"/>
      <c r="R160" s="9"/>
    </row>
    <row r="161" spans="2:18">
      <c r="B161" s="22" t="s">
        <v>34</v>
      </c>
      <c r="C161" s="23">
        <f>+C159-C157</f>
        <v>526842</v>
      </c>
      <c r="D161" s="23">
        <f t="shared" ref="D161:G161" si="84">+D159-D157</f>
        <v>371140</v>
      </c>
      <c r="E161" s="23">
        <f t="shared" si="84"/>
        <v>277310</v>
      </c>
      <c r="F161" s="23">
        <f t="shared" si="84"/>
        <v>220176</v>
      </c>
      <c r="G161" s="24">
        <f t="shared" si="84"/>
        <v>153000</v>
      </c>
      <c r="Q161" s="9"/>
      <c r="R161" s="9"/>
    </row>
    <row r="162" spans="2:18">
      <c r="B162" s="13"/>
      <c r="C162" s="50"/>
      <c r="D162" s="50"/>
      <c r="E162" s="50"/>
      <c r="F162" s="50"/>
      <c r="G162" s="51"/>
      <c r="Q162" s="9"/>
      <c r="R162" s="9"/>
    </row>
    <row r="163" spans="2:18">
      <c r="B163" s="22" t="s">
        <v>35</v>
      </c>
      <c r="C163" s="23">
        <v>403531</v>
      </c>
      <c r="D163" s="23">
        <v>338976</v>
      </c>
      <c r="E163" s="23">
        <v>307451</v>
      </c>
      <c r="F163" s="23">
        <v>312612</v>
      </c>
      <c r="G163" s="24">
        <v>318190</v>
      </c>
      <c r="Q163" s="9"/>
      <c r="R163" s="9"/>
    </row>
    <row r="164" spans="2:18">
      <c r="B164" s="13"/>
      <c r="C164" s="50"/>
      <c r="D164" s="50"/>
      <c r="E164" s="50"/>
      <c r="F164" s="50"/>
      <c r="G164" s="51"/>
      <c r="Q164" s="9"/>
      <c r="R164" s="9"/>
    </row>
    <row r="165" spans="2:18">
      <c r="B165" s="22" t="s">
        <v>36</v>
      </c>
      <c r="C165" s="23">
        <f>+C161+C163</f>
        <v>930373</v>
      </c>
      <c r="D165" s="23">
        <f t="shared" ref="D165:G165" si="85">+D161+D163</f>
        <v>710116</v>
      </c>
      <c r="E165" s="23">
        <f t="shared" si="85"/>
        <v>584761</v>
      </c>
      <c r="F165" s="23">
        <f t="shared" si="85"/>
        <v>532788</v>
      </c>
      <c r="G165" s="24">
        <f t="shared" si="85"/>
        <v>471190</v>
      </c>
      <c r="Q165" s="9"/>
      <c r="R165" s="9"/>
    </row>
    <row r="166" spans="2:18">
      <c r="B166" s="13"/>
      <c r="G166" s="32"/>
      <c r="Q166" s="9"/>
      <c r="R166" s="9"/>
    </row>
    <row r="167" spans="2:18">
      <c r="B167" s="91" t="s">
        <v>53</v>
      </c>
      <c r="C167" s="92"/>
      <c r="D167" s="92"/>
      <c r="E167" s="92"/>
      <c r="F167" s="92"/>
      <c r="G167" s="93"/>
      <c r="Q167" s="9"/>
      <c r="R167" s="9"/>
    </row>
    <row r="168" spans="2:18">
      <c r="B168" s="13"/>
      <c r="G168" s="32"/>
      <c r="Q168" s="9"/>
      <c r="R168" s="9"/>
    </row>
    <row r="169" spans="2:18">
      <c r="B169" s="22" t="s">
        <v>37</v>
      </c>
      <c r="C169" s="71"/>
      <c r="D169" s="71"/>
      <c r="E169" s="71"/>
      <c r="F169" s="71"/>
      <c r="G169" s="72"/>
      <c r="Q169" s="9"/>
      <c r="R169" s="9"/>
    </row>
    <row r="170" spans="2:18">
      <c r="B170" s="41" t="s">
        <v>52</v>
      </c>
      <c r="C170" s="50"/>
      <c r="D170" s="50">
        <f t="shared" ref="D170:G170" si="86">+D100</f>
        <v>159404</v>
      </c>
      <c r="E170" s="50">
        <f t="shared" si="86"/>
        <v>142891.89588</v>
      </c>
      <c r="F170" s="50">
        <f t="shared" si="86"/>
        <v>140392.08154596598</v>
      </c>
      <c r="G170" s="51">
        <f t="shared" si="86"/>
        <v>146049.88243226844</v>
      </c>
      <c r="Q170" s="9"/>
      <c r="R170" s="9"/>
    </row>
    <row r="171" spans="2:18">
      <c r="B171" s="41" t="s">
        <v>38</v>
      </c>
      <c r="C171" s="50"/>
      <c r="D171" s="50">
        <f t="shared" ref="D171:G171" si="87">-D147</f>
        <v>-42956</v>
      </c>
      <c r="E171" s="50">
        <f t="shared" si="87"/>
        <v>551.27262323384639</v>
      </c>
      <c r="F171" s="50">
        <f t="shared" si="87"/>
        <v>-7264.2252132836438</v>
      </c>
      <c r="G171" s="51">
        <f t="shared" si="87"/>
        <v>-7556.9734893790737</v>
      </c>
      <c r="Q171" s="9"/>
      <c r="R171" s="9"/>
    </row>
    <row r="172" spans="2:18">
      <c r="B172" s="41" t="s">
        <v>11</v>
      </c>
      <c r="C172" s="50"/>
      <c r="D172" s="50">
        <f t="shared" ref="D172:G172" si="88">-D109</f>
        <v>-207</v>
      </c>
      <c r="E172" s="50">
        <f t="shared" si="88"/>
        <v>-1079</v>
      </c>
      <c r="F172" s="50">
        <f t="shared" si="88"/>
        <v>-1079</v>
      </c>
      <c r="G172" s="51">
        <f t="shared" si="88"/>
        <v>-1079</v>
      </c>
      <c r="Q172" s="9"/>
      <c r="R172" s="9"/>
    </row>
    <row r="173" spans="2:18">
      <c r="B173" s="41" t="s">
        <v>18</v>
      </c>
      <c r="C173" s="50"/>
      <c r="D173" s="50">
        <f t="shared" ref="D173:G173" si="89">-D118</f>
        <v>-73148</v>
      </c>
      <c r="E173" s="50">
        <f t="shared" si="89"/>
        <v>-63400.872018110422</v>
      </c>
      <c r="F173" s="50">
        <f t="shared" si="89"/>
        <v>-59179.300644378069</v>
      </c>
      <c r="G173" s="51">
        <f t="shared" si="89"/>
        <v>-59679.19089720444</v>
      </c>
      <c r="Q173" s="9"/>
      <c r="R173" s="9"/>
    </row>
    <row r="174" spans="2:18">
      <c r="B174" s="22" t="s">
        <v>39</v>
      </c>
      <c r="C174" s="23"/>
      <c r="D174" s="23">
        <f>+SUM(D170:D173)</f>
        <v>43093</v>
      </c>
      <c r="E174" s="23">
        <f t="shared" ref="E174" si="90">+SUM(E170:E173)</f>
        <v>78963.296485123428</v>
      </c>
      <c r="F174" s="23">
        <f t="shared" ref="F174" si="91">+SUM(F170:F173)</f>
        <v>72869.555688304274</v>
      </c>
      <c r="G174" s="24">
        <f t="shared" ref="G174" si="92">+SUM(G170:G173)</f>
        <v>77734.718045684916</v>
      </c>
      <c r="Q174" s="9"/>
      <c r="R174" s="9"/>
    </row>
    <row r="175" spans="2:18">
      <c r="B175" s="13"/>
      <c r="C175" s="50"/>
      <c r="D175" s="50"/>
      <c r="E175" s="50"/>
      <c r="F175" s="50"/>
      <c r="G175" s="51"/>
      <c r="Q175" s="9"/>
      <c r="R175" s="9"/>
    </row>
    <row r="176" spans="2:18">
      <c r="B176" s="22" t="s">
        <v>29</v>
      </c>
      <c r="C176" s="23"/>
      <c r="D176" s="23">
        <f>+D150</f>
        <v>54451</v>
      </c>
      <c r="E176" s="23">
        <f t="shared" ref="E176:G176" si="93">+E150</f>
        <v>100000</v>
      </c>
      <c r="F176" s="23">
        <f t="shared" si="93"/>
        <v>100000</v>
      </c>
      <c r="G176" s="24">
        <f t="shared" si="93"/>
        <v>100000</v>
      </c>
      <c r="Q176" s="9"/>
      <c r="R176" s="9"/>
    </row>
    <row r="177" spans="2:18">
      <c r="B177" s="13"/>
      <c r="C177" s="50"/>
      <c r="D177" s="50"/>
      <c r="E177" s="50"/>
      <c r="F177" s="50"/>
      <c r="G177" s="51"/>
      <c r="Q177" s="9"/>
      <c r="R177" s="9"/>
    </row>
    <row r="178" spans="2:18">
      <c r="B178" s="22" t="s">
        <v>40</v>
      </c>
      <c r="C178" s="23"/>
      <c r="D178" s="23">
        <f>+D174-D176</f>
        <v>-11358</v>
      </c>
      <c r="E178" s="23">
        <f t="shared" ref="E178:G178" si="94">+E174-E176</f>
        <v>-21036.703514876572</v>
      </c>
      <c r="F178" s="23">
        <f t="shared" si="94"/>
        <v>-27130.444311695726</v>
      </c>
      <c r="G178" s="24">
        <f t="shared" si="94"/>
        <v>-22265.281954315084</v>
      </c>
      <c r="Q178" s="9"/>
      <c r="R178" s="9"/>
    </row>
    <row r="179" spans="2:18">
      <c r="B179" s="78"/>
      <c r="C179" s="58"/>
      <c r="D179" s="79"/>
      <c r="E179" s="79"/>
      <c r="F179" s="79"/>
      <c r="G179" s="80"/>
      <c r="Q179" s="9"/>
      <c r="R179" s="9"/>
    </row>
    <row r="180" spans="2:18">
      <c r="B180" s="71"/>
      <c r="C180" s="23"/>
      <c r="D180" s="23"/>
      <c r="E180" s="23"/>
      <c r="F180" s="23"/>
      <c r="G180" s="23"/>
      <c r="Q180" s="9"/>
      <c r="R180" s="9"/>
    </row>
    <row r="181" spans="2:18">
      <c r="C181" s="50"/>
      <c r="D181" s="50"/>
      <c r="E181" s="50"/>
      <c r="F181" s="50"/>
      <c r="G181" s="50"/>
      <c r="Q181" s="9"/>
      <c r="R181" s="9"/>
    </row>
    <row r="182" spans="2:18">
      <c r="B182" s="71"/>
      <c r="C182" s="23"/>
      <c r="D182" s="23"/>
      <c r="E182" s="23"/>
      <c r="F182" s="23"/>
      <c r="G182" s="23"/>
      <c r="Q182" s="9"/>
      <c r="R182" s="9"/>
    </row>
    <row r="183" spans="2:18">
      <c r="C183" s="50"/>
      <c r="D183" s="50"/>
      <c r="E183" s="50"/>
      <c r="F183" s="50"/>
      <c r="G183" s="50"/>
      <c r="Q183" s="9"/>
      <c r="R183" s="9"/>
    </row>
    <row r="184" spans="2:18">
      <c r="B184" s="10" t="s">
        <v>71</v>
      </c>
      <c r="C184" s="11"/>
      <c r="D184" s="11"/>
      <c r="E184" s="11"/>
      <c r="F184" s="11"/>
      <c r="G184" s="12"/>
      <c r="Q184" s="9"/>
      <c r="R184" s="9"/>
    </row>
    <row r="185" spans="2:18">
      <c r="B185" s="14" t="s">
        <v>3</v>
      </c>
      <c r="C185" s="15" t="s">
        <v>41</v>
      </c>
      <c r="D185" s="15" t="s">
        <v>42</v>
      </c>
      <c r="E185" s="15" t="s">
        <v>43</v>
      </c>
      <c r="F185" s="15" t="s">
        <v>44</v>
      </c>
      <c r="G185" s="16" t="s">
        <v>45</v>
      </c>
      <c r="Q185" s="9"/>
      <c r="R185" s="9"/>
    </row>
    <row r="186" spans="2:18">
      <c r="B186" s="18"/>
      <c r="C186" s="19"/>
      <c r="D186" s="20"/>
      <c r="E186" s="20"/>
      <c r="F186" s="20"/>
      <c r="G186" s="21"/>
      <c r="Q186" s="9"/>
      <c r="R186" s="9"/>
    </row>
    <row r="187" spans="2:18">
      <c r="B187" s="22" t="s">
        <v>46</v>
      </c>
      <c r="C187" s="23">
        <f>+Assumptions!C27</f>
        <v>719808</v>
      </c>
      <c r="D187" s="23">
        <f>+Assumptions!D27</f>
        <v>755610</v>
      </c>
      <c r="E187" s="23">
        <f>+Assumptions!E27</f>
        <v>864795.64500000014</v>
      </c>
      <c r="F187" s="23">
        <f>+Assumptions!F27</f>
        <v>980332.34317200014</v>
      </c>
      <c r="G187" s="23">
        <f>+Assumptions!G27</f>
        <v>1111304.7442197793</v>
      </c>
      <c r="Q187" s="9"/>
      <c r="R187" s="9"/>
    </row>
    <row r="188" spans="2:18">
      <c r="B188" s="25" t="s">
        <v>4</v>
      </c>
      <c r="D188" s="26">
        <f>+D187/C187-1</f>
        <v>4.9738263536943217E-2</v>
      </c>
      <c r="E188" s="26">
        <f t="shared" ref="E188" si="95">+E187/D187-1</f>
        <v>0.14450000000000007</v>
      </c>
      <c r="F188" s="26">
        <f t="shared" ref="F188" si="96">+F187/E187-1</f>
        <v>0.13359999999999994</v>
      </c>
      <c r="G188" s="27">
        <f t="shared" ref="G188" si="97">+G187/F187-1</f>
        <v>0.13359999999999994</v>
      </c>
      <c r="Q188" s="9"/>
      <c r="R188" s="9"/>
    </row>
    <row r="189" spans="2:18">
      <c r="B189" s="25"/>
      <c r="C189" s="28"/>
      <c r="D189" s="28"/>
      <c r="E189" s="28"/>
      <c r="F189" s="28"/>
      <c r="G189" s="29"/>
      <c r="Q189" s="9"/>
      <c r="R189" s="9"/>
    </row>
    <row r="190" spans="2:18">
      <c r="B190" s="22" t="s">
        <v>9</v>
      </c>
      <c r="C190" s="23">
        <v>152300</v>
      </c>
      <c r="D190" s="23">
        <v>159404</v>
      </c>
      <c r="E190" s="23">
        <f>+E191*E187</f>
        <v>190255.04190000004</v>
      </c>
      <c r="F190" s="23">
        <f>+F191*F187</f>
        <v>205869.79206612002</v>
      </c>
      <c r="G190" s="24">
        <f>+G191*G187</f>
        <v>233373.99628615365</v>
      </c>
      <c r="Q190" s="9"/>
      <c r="R190" s="9"/>
    </row>
    <row r="191" spans="2:18">
      <c r="B191" s="25" t="s">
        <v>10</v>
      </c>
      <c r="C191" s="30">
        <f>+C190/C187</f>
        <v>0.21158420023117275</v>
      </c>
      <c r="D191" s="30">
        <f>+D190/D187</f>
        <v>0.21096068077447361</v>
      </c>
      <c r="E191" s="30">
        <f>+E11+0.02</f>
        <v>0.22</v>
      </c>
      <c r="F191" s="30">
        <f t="shared" ref="F191:G191" si="98">+F11+0.02</f>
        <v>0.21</v>
      </c>
      <c r="G191" s="30">
        <f t="shared" si="98"/>
        <v>0.21</v>
      </c>
      <c r="Q191" s="9"/>
      <c r="R191" s="9"/>
    </row>
    <row r="192" spans="2:18">
      <c r="B192" s="13"/>
      <c r="G192" s="32"/>
      <c r="Q192" s="9"/>
      <c r="R192" s="9"/>
    </row>
    <row r="193" spans="2:18">
      <c r="B193" s="22" t="s">
        <v>8</v>
      </c>
      <c r="C193" s="23">
        <f>+C190-C196</f>
        <v>23198</v>
      </c>
      <c r="D193" s="23">
        <f t="shared" ref="D193:G193" si="99">+D190-D196</f>
        <v>24664</v>
      </c>
      <c r="E193" s="23">
        <f t="shared" si="99"/>
        <v>30267.847575000022</v>
      </c>
      <c r="F193" s="23">
        <f t="shared" si="99"/>
        <v>39213.293726880016</v>
      </c>
      <c r="G193" s="24">
        <f t="shared" si="99"/>
        <v>44452.189768791199</v>
      </c>
      <c r="Q193" s="9"/>
      <c r="R193" s="9"/>
    </row>
    <row r="194" spans="2:18">
      <c r="B194" s="25" t="s">
        <v>4</v>
      </c>
      <c r="C194" s="30"/>
      <c r="D194" s="30">
        <f>+D193/C193-1</f>
        <v>6.3195103026122856E-2</v>
      </c>
      <c r="E194" s="30">
        <f t="shared" ref="E194" si="100">+E193/D193-1</f>
        <v>0.22720757277813908</v>
      </c>
      <c r="F194" s="30">
        <f t="shared" ref="F194" si="101">+F193/E193-1</f>
        <v>0.29554285714285666</v>
      </c>
      <c r="G194" s="31">
        <f t="shared" ref="G194" si="102">+G193/F193-1</f>
        <v>0.13360000000000039</v>
      </c>
      <c r="Q194" s="9"/>
      <c r="R194" s="9"/>
    </row>
    <row r="195" spans="2:18">
      <c r="B195" s="25"/>
      <c r="D195" s="30"/>
      <c r="E195" s="30"/>
      <c r="F195" s="30"/>
      <c r="G195" s="31"/>
      <c r="Q195" s="9"/>
      <c r="R195" s="9"/>
    </row>
    <row r="196" spans="2:18">
      <c r="B196" s="22" t="s">
        <v>6</v>
      </c>
      <c r="C196" s="23">
        <v>129102</v>
      </c>
      <c r="D196" s="23">
        <v>134740</v>
      </c>
      <c r="E196" s="23">
        <f>+E197*E187</f>
        <v>159987.19432500002</v>
      </c>
      <c r="F196" s="23">
        <f>+F197*F187</f>
        <v>166656.49833924</v>
      </c>
      <c r="G196" s="24">
        <f>+G197*G187</f>
        <v>188921.80651736245</v>
      </c>
      <c r="Q196" s="9"/>
      <c r="R196" s="9"/>
    </row>
    <row r="197" spans="2:18">
      <c r="B197" s="25" t="s">
        <v>7</v>
      </c>
      <c r="C197" s="30">
        <f>+C196/C187</f>
        <v>0.17935616164310483</v>
      </c>
      <c r="D197" s="30">
        <f>+D196/D187</f>
        <v>0.17831950344754569</v>
      </c>
      <c r="E197" s="30">
        <f>+E17+0.02</f>
        <v>0.185</v>
      </c>
      <c r="F197" s="30">
        <f t="shared" ref="F197:G197" si="103">+F17+0.02</f>
        <v>0.16999999999999998</v>
      </c>
      <c r="G197" s="30">
        <f t="shared" si="103"/>
        <v>0.16999999999999998</v>
      </c>
      <c r="Q197" s="9"/>
      <c r="R197" s="9"/>
    </row>
    <row r="198" spans="2:18">
      <c r="B198" s="13"/>
      <c r="G198" s="32"/>
      <c r="Q198" s="9"/>
      <c r="R198" s="9"/>
    </row>
    <row r="199" spans="2:18">
      <c r="B199" s="22" t="s">
        <v>11</v>
      </c>
      <c r="C199" s="23">
        <v>73</v>
      </c>
      <c r="D199" s="23">
        <v>207</v>
      </c>
      <c r="E199" s="23">
        <v>1079</v>
      </c>
      <c r="F199" s="23">
        <v>1079</v>
      </c>
      <c r="G199" s="24">
        <v>1079</v>
      </c>
      <c r="Q199" s="9"/>
      <c r="R199" s="9"/>
    </row>
    <row r="200" spans="2:18">
      <c r="B200" s="41" t="s">
        <v>12</v>
      </c>
      <c r="C200" s="42">
        <f>+C199/C187</f>
        <v>1.0141593313772562E-4</v>
      </c>
      <c r="D200" s="42">
        <f t="shared" ref="D200" si="104">+D199/D187</f>
        <v>2.7395084765950689E-4</v>
      </c>
      <c r="E200" s="42">
        <f t="shared" ref="E200" si="105">+E199/E187</f>
        <v>1.247693609742912E-3</v>
      </c>
      <c r="F200" s="42">
        <f t="shared" ref="F200" si="106">+F199/F187</f>
        <v>1.1006471504436414E-3</v>
      </c>
      <c r="G200" s="43">
        <f t="shared" ref="G200" si="107">+G199/G187</f>
        <v>9.7093079608648694E-4</v>
      </c>
      <c r="Q200" s="9"/>
      <c r="R200" s="9"/>
    </row>
    <row r="201" spans="2:18">
      <c r="B201" s="22" t="s">
        <v>13</v>
      </c>
      <c r="C201" s="44">
        <v>65706.399999999994</v>
      </c>
      <c r="D201" s="44">
        <v>57284.5</v>
      </c>
      <c r="E201" s="23">
        <v>49076.5</v>
      </c>
      <c r="F201" s="44">
        <v>44389.5</v>
      </c>
      <c r="G201" s="44">
        <v>41535.5</v>
      </c>
      <c r="Q201" s="9"/>
      <c r="R201" s="9"/>
    </row>
    <row r="202" spans="2:18">
      <c r="B202" s="41" t="s">
        <v>14</v>
      </c>
      <c r="C202" s="42">
        <f>+C201/C187</f>
        <v>9.1283231083844577E-2</v>
      </c>
      <c r="D202" s="42">
        <f t="shared" ref="D202" si="108">+D201/D187</f>
        <v>7.5812257646140205E-2</v>
      </c>
      <c r="E202" s="42">
        <f t="shared" ref="E202" si="109">+E201/E187</f>
        <v>5.6749245077430975E-2</v>
      </c>
      <c r="F202" s="42">
        <f t="shared" ref="F202" si="110">+F201/F187</f>
        <v>4.5280052534400393E-2</v>
      </c>
      <c r="G202" s="43">
        <f t="shared" ref="G202" si="111">+G201/G187</f>
        <v>3.7375436590222688E-2</v>
      </c>
      <c r="Q202" s="9"/>
      <c r="R202" s="9"/>
    </row>
    <row r="203" spans="2:18">
      <c r="B203" s="22" t="s">
        <v>15</v>
      </c>
      <c r="C203" s="47">
        <f>+C201-C199</f>
        <v>65633.399999999994</v>
      </c>
      <c r="D203" s="47">
        <f t="shared" ref="D203:G203" si="112">+D201-D199</f>
        <v>57077.5</v>
      </c>
      <c r="E203" s="47">
        <f t="shared" si="112"/>
        <v>47997.5</v>
      </c>
      <c r="F203" s="47">
        <f t="shared" si="112"/>
        <v>43310.5</v>
      </c>
      <c r="G203" s="48">
        <f t="shared" si="112"/>
        <v>40456.5</v>
      </c>
      <c r="Q203" s="9"/>
      <c r="R203" s="9"/>
    </row>
    <row r="204" spans="2:18">
      <c r="B204" s="22"/>
      <c r="C204" s="47"/>
      <c r="D204" s="47"/>
      <c r="E204" s="47"/>
      <c r="F204" s="47"/>
      <c r="G204" s="48"/>
      <c r="Q204" s="9"/>
      <c r="R204" s="9"/>
    </row>
    <row r="205" spans="2:18">
      <c r="B205" s="49" t="s">
        <v>16</v>
      </c>
      <c r="C205" s="47">
        <v>21054.5</v>
      </c>
      <c r="D205" s="47">
        <v>23658.5</v>
      </c>
      <c r="E205" s="47">
        <v>23658.5</v>
      </c>
      <c r="F205" s="47">
        <v>23658.5</v>
      </c>
      <c r="G205" s="48">
        <v>23658.5</v>
      </c>
      <c r="Q205" s="9"/>
      <c r="R205" s="9"/>
    </row>
    <row r="206" spans="2:18">
      <c r="B206" s="49"/>
      <c r="C206" s="47"/>
      <c r="D206" s="47"/>
      <c r="E206" s="47"/>
      <c r="F206" s="47"/>
      <c r="G206" s="48"/>
      <c r="Q206" s="9"/>
      <c r="R206" s="9"/>
    </row>
    <row r="207" spans="2:18">
      <c r="B207" s="22" t="s">
        <v>17</v>
      </c>
      <c r="C207" s="23">
        <f>+C196+C203+C205</f>
        <v>215789.9</v>
      </c>
      <c r="D207" s="23">
        <f>+D196+D203+D205</f>
        <v>215476</v>
      </c>
      <c r="E207" s="23">
        <f>+E196+E203+E205</f>
        <v>231643.19432500002</v>
      </c>
      <c r="F207" s="23">
        <f>+F196+F203+F205</f>
        <v>233625.49833924</v>
      </c>
      <c r="G207" s="24">
        <f>+G196+G203+G205</f>
        <v>253036.80651736245</v>
      </c>
      <c r="Q207" s="9"/>
      <c r="R207" s="9"/>
    </row>
    <row r="208" spans="2:18">
      <c r="B208" s="41" t="s">
        <v>18</v>
      </c>
      <c r="C208" s="50">
        <v>78573</v>
      </c>
      <c r="D208" s="50">
        <v>73148</v>
      </c>
      <c r="E208" s="50">
        <f>+E209*E207</f>
        <v>78636.304639426671</v>
      </c>
      <c r="F208" s="50">
        <f t="shared" ref="F208" si="113">+F209*F207</f>
        <v>79309.240715990309</v>
      </c>
      <c r="G208" s="51">
        <f t="shared" ref="G208" si="114">+G209*G207</f>
        <v>85898.830139468104</v>
      </c>
      <c r="Q208" s="9"/>
      <c r="R208" s="9"/>
    </row>
    <row r="209" spans="2:18">
      <c r="B209" s="25" t="s">
        <v>19</v>
      </c>
      <c r="C209" s="30">
        <f>+C208/C207</f>
        <v>0.36411806113261097</v>
      </c>
      <c r="D209" s="30">
        <f>+D208/D207</f>
        <v>0.33947168130093375</v>
      </c>
      <c r="E209" s="30">
        <f>+$D$29</f>
        <v>0.33947168130093375</v>
      </c>
      <c r="F209" s="30">
        <f t="shared" ref="F209:G209" si="115">+$D$29</f>
        <v>0.33947168130093375</v>
      </c>
      <c r="G209" s="31">
        <f t="shared" si="115"/>
        <v>0.33947168130093375</v>
      </c>
      <c r="Q209" s="9"/>
      <c r="R209" s="9"/>
    </row>
    <row r="210" spans="2:18">
      <c r="B210" s="52"/>
      <c r="C210" s="50"/>
      <c r="D210" s="50"/>
      <c r="E210" s="50"/>
      <c r="F210" s="50"/>
      <c r="G210" s="51"/>
      <c r="Q210" s="9"/>
      <c r="R210" s="9"/>
    </row>
    <row r="211" spans="2:18">
      <c r="B211" s="22" t="s">
        <v>20</v>
      </c>
      <c r="C211" s="47">
        <f>+C207-C208</f>
        <v>137216.9</v>
      </c>
      <c r="D211" s="47">
        <f t="shared" ref="D211:G211" si="116">+D207-D208</f>
        <v>142328</v>
      </c>
      <c r="E211" s="47">
        <f t="shared" si="116"/>
        <v>153006.88968557335</v>
      </c>
      <c r="F211" s="47">
        <f t="shared" si="116"/>
        <v>154316.25762324969</v>
      </c>
      <c r="G211" s="48">
        <f t="shared" si="116"/>
        <v>167137.97637789435</v>
      </c>
      <c r="Q211" s="9"/>
      <c r="R211" s="9"/>
    </row>
    <row r="212" spans="2:18">
      <c r="B212" s="13"/>
      <c r="C212" s="53"/>
      <c r="D212" s="53"/>
      <c r="E212" s="53"/>
      <c r="F212" s="53"/>
      <c r="G212" s="54"/>
      <c r="Q212" s="9"/>
      <c r="R212" s="9"/>
    </row>
    <row r="213" spans="2:18">
      <c r="B213" s="41" t="s">
        <v>21</v>
      </c>
      <c r="C213" s="8">
        <v>6316.36</v>
      </c>
      <c r="D213" s="8">
        <v>6316.36</v>
      </c>
      <c r="E213" s="8">
        <v>6316.36</v>
      </c>
      <c r="F213" s="8">
        <v>6316.36</v>
      </c>
      <c r="G213" s="32">
        <v>6316.36</v>
      </c>
      <c r="Q213" s="9"/>
      <c r="R213" s="9"/>
    </row>
    <row r="214" spans="2:18">
      <c r="B214" s="13"/>
      <c r="C214" s="53"/>
      <c r="D214" s="53"/>
      <c r="E214" s="53"/>
      <c r="G214" s="32"/>
      <c r="Q214" s="9"/>
      <c r="R214" s="9"/>
    </row>
    <row r="215" spans="2:18">
      <c r="B215" s="22" t="s">
        <v>51</v>
      </c>
      <c r="C215" s="55">
        <f>+C211/C213</f>
        <v>21.724046761109246</v>
      </c>
      <c r="D215" s="55">
        <f t="shared" ref="D215:G215" si="117">+D211/D213</f>
        <v>22.533231164784784</v>
      </c>
      <c r="E215" s="55">
        <f t="shared" si="117"/>
        <v>24.223902641010543</v>
      </c>
      <c r="F215" s="55">
        <f t="shared" si="117"/>
        <v>24.431200505235562</v>
      </c>
      <c r="G215" s="56">
        <f t="shared" si="117"/>
        <v>26.46112260509128</v>
      </c>
      <c r="Q215" s="9"/>
      <c r="R215" s="9"/>
    </row>
    <row r="216" spans="2:18">
      <c r="B216" s="57" t="s">
        <v>22</v>
      </c>
      <c r="C216" s="58"/>
      <c r="D216" s="59">
        <f>+D215/C215-1</f>
        <v>3.7248327283301297E-2</v>
      </c>
      <c r="E216" s="59">
        <f t="shared" ref="E216" si="118">+E215/D215-1</f>
        <v>7.5030139435482424E-2</v>
      </c>
      <c r="F216" s="59">
        <f t="shared" ref="F216" si="119">+F215/E215-1</f>
        <v>8.5575750240205473E-3</v>
      </c>
      <c r="G216" s="60">
        <f t="shared" ref="G216" si="120">+G215/F215-1</f>
        <v>8.3087284205322076E-2</v>
      </c>
      <c r="Q216" s="9"/>
      <c r="R216" s="9"/>
    </row>
    <row r="217" spans="2:18">
      <c r="B217" s="13"/>
      <c r="G217" s="32"/>
      <c r="Q217" s="9"/>
      <c r="R217" s="9"/>
    </row>
    <row r="218" spans="2:18">
      <c r="B218" s="62"/>
      <c r="C218" s="63"/>
      <c r="D218" s="63"/>
      <c r="E218" s="63"/>
      <c r="F218" s="63"/>
      <c r="G218" s="64"/>
      <c r="Q218" s="9"/>
      <c r="R218" s="9"/>
    </row>
    <row r="219" spans="2:18">
      <c r="B219" s="65" t="s">
        <v>23</v>
      </c>
      <c r="C219" s="66"/>
      <c r="D219" s="66"/>
      <c r="E219" s="66"/>
      <c r="F219" s="66"/>
      <c r="G219" s="67"/>
      <c r="Q219" s="9"/>
      <c r="R219" s="9"/>
    </row>
    <row r="220" spans="2:18">
      <c r="B220" s="68" t="s">
        <v>24</v>
      </c>
      <c r="C220" s="69"/>
      <c r="D220" s="69"/>
      <c r="E220" s="69"/>
      <c r="F220" s="69"/>
      <c r="G220" s="70"/>
      <c r="Q220" s="9"/>
      <c r="R220" s="9"/>
    </row>
    <row r="221" spans="2:18">
      <c r="B221" s="22" t="s">
        <v>25</v>
      </c>
      <c r="C221" s="47">
        <v>61838</v>
      </c>
      <c r="D221" s="47">
        <v>75953</v>
      </c>
      <c r="E221" s="23">
        <f>+E223*E187</f>
        <v>86479.564500000022</v>
      </c>
      <c r="F221" s="23">
        <f>+F223*F187</f>
        <v>98033.234317200026</v>
      </c>
      <c r="G221" s="24">
        <f>+G223*G187</f>
        <v>111130.47442197794</v>
      </c>
      <c r="Q221" s="9"/>
      <c r="R221" s="9"/>
    </row>
    <row r="222" spans="2:18">
      <c r="B222" s="25" t="s">
        <v>4</v>
      </c>
      <c r="C222" s="30"/>
      <c r="D222" s="30">
        <f>+D221/C221-1</f>
        <v>0.22825770561790493</v>
      </c>
      <c r="E222" s="30">
        <f t="shared" ref="E222" si="121">+E221/D221-1</f>
        <v>0.13859313654496885</v>
      </c>
      <c r="F222" s="30">
        <f t="shared" ref="F222" si="122">+F221/E221-1</f>
        <v>0.13359999999999994</v>
      </c>
      <c r="G222" s="31">
        <f t="shared" ref="G222" si="123">+G221/F221-1</f>
        <v>0.13359999999999994</v>
      </c>
      <c r="Q222" s="9"/>
      <c r="R222" s="9"/>
    </row>
    <row r="223" spans="2:18">
      <c r="B223" s="25" t="s">
        <v>5</v>
      </c>
      <c r="C223" s="30">
        <f>+C221/C187</f>
        <v>8.5909020183159948E-2</v>
      </c>
      <c r="D223" s="30">
        <f>+D221/D187</f>
        <v>0.10051878614629239</v>
      </c>
      <c r="E223" s="30">
        <v>0.1</v>
      </c>
      <c r="F223" s="30">
        <v>0.1</v>
      </c>
      <c r="G223" s="31">
        <v>0.1</v>
      </c>
      <c r="Q223" s="9"/>
      <c r="R223" s="9"/>
    </row>
    <row r="224" spans="2:18">
      <c r="B224" s="13"/>
      <c r="D224" s="71"/>
      <c r="E224" s="71"/>
      <c r="F224" s="71"/>
      <c r="G224" s="72"/>
      <c r="Q224" s="9"/>
      <c r="R224" s="9"/>
    </row>
    <row r="225" spans="2:18">
      <c r="B225" s="22" t="s">
        <v>26</v>
      </c>
      <c r="C225" s="47">
        <v>85219</v>
      </c>
      <c r="D225" s="47">
        <v>114637</v>
      </c>
      <c r="E225" s="47">
        <f>+E227*E187</f>
        <v>121071.39030000003</v>
      </c>
      <c r="F225" s="47">
        <f>+F227*F187</f>
        <v>137246.52804408004</v>
      </c>
      <c r="G225" s="48">
        <f>+G227*G187</f>
        <v>155582.66419076911</v>
      </c>
      <c r="Q225" s="9"/>
      <c r="R225" s="9"/>
    </row>
    <row r="226" spans="2:18">
      <c r="B226" s="25" t="s">
        <v>4</v>
      </c>
      <c r="C226" s="30"/>
      <c r="D226" s="30">
        <f>+D225/C225-1</f>
        <v>0.34520470787031066</v>
      </c>
      <c r="E226" s="30">
        <f t="shared" ref="E226" si="124">+E225/D225-1</f>
        <v>5.6128390484747825E-2</v>
      </c>
      <c r="F226" s="30">
        <f t="shared" ref="F226" si="125">+F225/E225-1</f>
        <v>0.13360000000000016</v>
      </c>
      <c r="G226" s="31">
        <f t="shared" ref="G226" si="126">+G225/F225-1</f>
        <v>0.13359999999999972</v>
      </c>
      <c r="Q226" s="9"/>
      <c r="R226" s="9"/>
    </row>
    <row r="227" spans="2:18">
      <c r="B227" s="25" t="s">
        <v>5</v>
      </c>
      <c r="C227" s="30">
        <f>+C225/C187</f>
        <v>0.11839129323375122</v>
      </c>
      <c r="D227" s="30">
        <f>+D225/D187</f>
        <v>0.15171450880745357</v>
      </c>
      <c r="E227" s="30">
        <v>0.14000000000000001</v>
      </c>
      <c r="F227" s="30">
        <v>0.14000000000000001</v>
      </c>
      <c r="G227" s="31">
        <v>0.14000000000000001</v>
      </c>
      <c r="Q227" s="9"/>
      <c r="R227" s="9"/>
    </row>
    <row r="228" spans="2:18">
      <c r="B228" s="13"/>
      <c r="D228" s="71"/>
      <c r="E228" s="71"/>
      <c r="F228" s="71"/>
      <c r="G228" s="72"/>
      <c r="Q228" s="9"/>
      <c r="R228" s="9"/>
    </row>
    <row r="229" spans="2:18">
      <c r="B229" s="22" t="s">
        <v>27</v>
      </c>
      <c r="C229" s="47">
        <v>9208</v>
      </c>
      <c r="D229" s="47">
        <v>9785</v>
      </c>
      <c r="E229" s="47">
        <f>+E231*E187</f>
        <v>11186.600161975193</v>
      </c>
      <c r="F229" s="47">
        <f>+F231*F187</f>
        <v>12681.12994361508</v>
      </c>
      <c r="G229" s="48">
        <f>+G231*G187</f>
        <v>14375.328904082053</v>
      </c>
      <c r="Q229" s="9"/>
      <c r="R229" s="9"/>
    </row>
    <row r="230" spans="2:18">
      <c r="B230" s="25" t="s">
        <v>4</v>
      </c>
      <c r="C230" s="30"/>
      <c r="D230" s="30">
        <f>+D229/C229-1</f>
        <v>6.2662901824500405E-2</v>
      </c>
      <c r="E230" s="30">
        <f t="shared" ref="E230" si="127">+E229/D229-1</f>
        <v>0.1432396690827995</v>
      </c>
      <c r="F230" s="30">
        <f t="shared" ref="F230" si="128">+F229/E229-1</f>
        <v>0.13360000000000016</v>
      </c>
      <c r="G230" s="31">
        <f t="shared" ref="G230" si="129">+G229/F229-1</f>
        <v>0.13359999999999972</v>
      </c>
      <c r="Q230" s="9"/>
      <c r="R230" s="9"/>
    </row>
    <row r="231" spans="2:18">
      <c r="B231" s="25" t="s">
        <v>5</v>
      </c>
      <c r="C231" s="30">
        <f>+C229/C187</f>
        <v>1.2792300168933938E-2</v>
      </c>
      <c r="D231" s="30">
        <f>+D229/D187</f>
        <v>1.2949802146610024E-2</v>
      </c>
      <c r="E231" s="30">
        <f>+$D$51</f>
        <v>1.2935541739430467E-2</v>
      </c>
      <c r="F231" s="30">
        <f t="shared" ref="F231:G231" si="130">+$D$51</f>
        <v>1.2935541739430467E-2</v>
      </c>
      <c r="G231" s="31">
        <f t="shared" si="130"/>
        <v>1.2935541739430467E-2</v>
      </c>
      <c r="Q231" s="9"/>
      <c r="R231" s="9"/>
    </row>
    <row r="232" spans="2:18">
      <c r="B232" s="13"/>
      <c r="G232" s="32"/>
      <c r="Q232" s="9"/>
      <c r="R232" s="9"/>
    </row>
    <row r="233" spans="2:18">
      <c r="B233" s="22" t="s">
        <v>24</v>
      </c>
      <c r="C233" s="23">
        <f>+C221+C225-C229</f>
        <v>137849</v>
      </c>
      <c r="D233" s="23">
        <f t="shared" ref="D233:G233" si="131">+D221+D225-D229</f>
        <v>180805</v>
      </c>
      <c r="E233" s="23">
        <f t="shared" si="131"/>
        <v>196364.35463802487</v>
      </c>
      <c r="F233" s="23">
        <f t="shared" si="131"/>
        <v>222598.63241766498</v>
      </c>
      <c r="G233" s="24">
        <f t="shared" si="131"/>
        <v>252337.80970866501</v>
      </c>
      <c r="Q233" s="9"/>
      <c r="R233" s="9"/>
    </row>
    <row r="234" spans="2:18">
      <c r="B234" s="25" t="s">
        <v>4</v>
      </c>
      <c r="C234" s="30"/>
      <c r="D234" s="30">
        <f>+D233/C233-1</f>
        <v>0.31161633381453613</v>
      </c>
      <c r="E234" s="30">
        <f t="shared" ref="E234" si="132">+E233/D233-1</f>
        <v>8.6055997555514852E-2</v>
      </c>
      <c r="F234" s="30">
        <f t="shared" ref="F234" si="133">+F233/E233-1</f>
        <v>0.13359999999999994</v>
      </c>
      <c r="G234" s="31">
        <f t="shared" ref="G234" si="134">+G233/F233-1</f>
        <v>0.13359999999999994</v>
      </c>
      <c r="Q234" s="9"/>
      <c r="R234" s="9"/>
    </row>
    <row r="235" spans="2:18">
      <c r="B235" s="25" t="s">
        <v>5</v>
      </c>
      <c r="C235" s="30">
        <f>+C233/C187</f>
        <v>0.19150801324797723</v>
      </c>
      <c r="D235" s="30">
        <f>+D233/D187</f>
        <v>0.23928349280713596</v>
      </c>
      <c r="E235" s="30">
        <f>+E233/E187</f>
        <v>0.22706445826056956</v>
      </c>
      <c r="F235" s="30">
        <f>+F233/F187</f>
        <v>0.22706445826056956</v>
      </c>
      <c r="G235" s="31">
        <f>+G233/G187</f>
        <v>0.22706445826056956</v>
      </c>
      <c r="Q235" s="9"/>
      <c r="R235" s="9"/>
    </row>
    <row r="236" spans="2:18">
      <c r="B236" s="25"/>
      <c r="C236" s="73"/>
      <c r="D236" s="73"/>
      <c r="E236" s="73"/>
      <c r="F236" s="73"/>
      <c r="G236" s="74"/>
      <c r="Q236" s="9"/>
      <c r="R236" s="9"/>
    </row>
    <row r="237" spans="2:18">
      <c r="B237" s="22" t="s">
        <v>28</v>
      </c>
      <c r="C237" s="23"/>
      <c r="D237" s="23">
        <f>+D233-C233</f>
        <v>42956</v>
      </c>
      <c r="E237" s="23">
        <f t="shared" ref="E237:G237" si="135">+E233-D233</f>
        <v>15559.354638024874</v>
      </c>
      <c r="F237" s="23">
        <f t="shared" si="135"/>
        <v>26234.277779640106</v>
      </c>
      <c r="G237" s="24">
        <f t="shared" si="135"/>
        <v>29739.177291000029</v>
      </c>
      <c r="H237" s="2"/>
      <c r="Q237" s="9"/>
      <c r="R237" s="9"/>
    </row>
    <row r="238" spans="2:18">
      <c r="B238" s="25" t="s">
        <v>4</v>
      </c>
      <c r="C238" s="73"/>
      <c r="D238" s="73"/>
      <c r="E238" s="30">
        <f>+E237/D237-1</f>
        <v>-0.63778390357517289</v>
      </c>
      <c r="F238" s="30">
        <f t="shared" ref="F238" si="136">+F237/E237-1</f>
        <v>0.68607750063921169</v>
      </c>
      <c r="G238" s="31">
        <f t="shared" ref="G238" si="137">+G237/F237-1</f>
        <v>0.13360000000000016</v>
      </c>
      <c r="Q238" s="9"/>
      <c r="R238" s="9"/>
    </row>
    <row r="239" spans="2:18">
      <c r="B239" s="25"/>
      <c r="C239" s="73"/>
      <c r="D239" s="73"/>
      <c r="E239" s="73"/>
      <c r="F239" s="73"/>
      <c r="G239" s="74"/>
      <c r="Q239" s="9"/>
      <c r="R239" s="9"/>
    </row>
    <row r="240" spans="2:18">
      <c r="B240" s="22" t="s">
        <v>29</v>
      </c>
      <c r="C240" s="71">
        <v>49014</v>
      </c>
      <c r="D240" s="71">
        <v>54451</v>
      </c>
      <c r="E240" s="23">
        <v>100000</v>
      </c>
      <c r="F240" s="71">
        <v>100000</v>
      </c>
      <c r="G240" s="72">
        <v>100000</v>
      </c>
      <c r="Q240" s="9"/>
      <c r="R240" s="9"/>
    </row>
    <row r="241" spans="2:18">
      <c r="B241" s="25" t="s">
        <v>4</v>
      </c>
      <c r="C241" s="73"/>
      <c r="D241" s="30">
        <f>+D240/C240-1</f>
        <v>0.11092749010486802</v>
      </c>
      <c r="E241" s="30">
        <f t="shared" ref="E241" si="138">+E240/D240-1</f>
        <v>0.83651356265266008</v>
      </c>
      <c r="F241" s="30">
        <f t="shared" ref="F241" si="139">+F240/E240-1</f>
        <v>0</v>
      </c>
      <c r="G241" s="31">
        <f t="shared" ref="G241" si="140">+G240/F240-1</f>
        <v>0</v>
      </c>
      <c r="Q241" s="9"/>
      <c r="R241" s="9"/>
    </row>
    <row r="242" spans="2:18">
      <c r="B242" s="25"/>
      <c r="C242" s="73"/>
      <c r="D242" s="73"/>
      <c r="E242" s="73"/>
      <c r="F242" s="73"/>
      <c r="G242" s="74"/>
      <c r="H242" s="71"/>
      <c r="J242" s="71"/>
      <c r="Q242" s="9"/>
      <c r="R242" s="9"/>
    </row>
    <row r="243" spans="2:18">
      <c r="B243" s="22" t="s">
        <v>30</v>
      </c>
      <c r="C243" s="75"/>
      <c r="D243" s="75">
        <f>+D237+D240</f>
        <v>97407</v>
      </c>
      <c r="E243" s="75">
        <f t="shared" ref="E243:G243" si="141">+E237+E240</f>
        <v>115559.35463802487</v>
      </c>
      <c r="F243" s="75">
        <f t="shared" si="141"/>
        <v>126234.27777964011</v>
      </c>
      <c r="G243" s="76">
        <f t="shared" si="141"/>
        <v>129739.17729100003</v>
      </c>
    </row>
    <row r="244" spans="2:18">
      <c r="B244" s="25" t="s">
        <v>4</v>
      </c>
      <c r="C244" s="73"/>
      <c r="D244" s="73"/>
      <c r="E244" s="30">
        <f>+E243/D243-1</f>
        <v>0.18635575100377677</v>
      </c>
      <c r="F244" s="30">
        <f t="shared" ref="F244" si="142">+F243/E243-1</f>
        <v>9.2376105552450349E-2</v>
      </c>
      <c r="G244" s="31">
        <f t="shared" ref="G244" si="143">+G243/F243-1</f>
        <v>2.7765037935878478E-2</v>
      </c>
    </row>
    <row r="245" spans="2:18">
      <c r="B245" s="13"/>
      <c r="G245" s="32"/>
      <c r="H245" s="73"/>
    </row>
    <row r="246" spans="2:18">
      <c r="B246" s="68" t="s">
        <v>31</v>
      </c>
      <c r="C246" s="69"/>
      <c r="D246" s="69"/>
      <c r="E246" s="69"/>
      <c r="F246" s="69"/>
      <c r="G246" s="70"/>
    </row>
    <row r="247" spans="2:18">
      <c r="B247" s="22" t="s">
        <v>32</v>
      </c>
      <c r="C247" s="23">
        <v>4083</v>
      </c>
      <c r="D247" s="23">
        <v>11988</v>
      </c>
      <c r="E247" s="23">
        <f>+D247</f>
        <v>11988</v>
      </c>
      <c r="F247" s="23">
        <f t="shared" ref="F247:G247" si="144">+E247</f>
        <v>11988</v>
      </c>
      <c r="G247" s="24">
        <f t="shared" si="144"/>
        <v>11988</v>
      </c>
      <c r="H247" s="73"/>
    </row>
    <row r="248" spans="2:18">
      <c r="B248" s="13"/>
      <c r="C248" s="50"/>
      <c r="D248" s="50"/>
      <c r="E248" s="50"/>
      <c r="F248" s="50"/>
      <c r="G248" s="51"/>
    </row>
    <row r="249" spans="2:18">
      <c r="B249" s="22" t="s">
        <v>33</v>
      </c>
      <c r="C249" s="23">
        <v>530925</v>
      </c>
      <c r="D249" s="23">
        <v>383128</v>
      </c>
      <c r="E249" s="23">
        <v>289298</v>
      </c>
      <c r="F249" s="23">
        <v>232164</v>
      </c>
      <c r="G249" s="24">
        <v>164988</v>
      </c>
      <c r="H249" s="73"/>
    </row>
    <row r="250" spans="2:18">
      <c r="B250" s="13"/>
      <c r="C250" s="50"/>
      <c r="D250" s="50"/>
      <c r="E250" s="50"/>
      <c r="F250" s="50"/>
      <c r="G250" s="51"/>
      <c r="H250" s="73"/>
    </row>
    <row r="251" spans="2:18">
      <c r="B251" s="22" t="s">
        <v>34</v>
      </c>
      <c r="C251" s="23">
        <f>+C249-C247</f>
        <v>526842</v>
      </c>
      <c r="D251" s="23">
        <f t="shared" ref="D251:G251" si="145">+D249-D247</f>
        <v>371140</v>
      </c>
      <c r="E251" s="23">
        <f t="shared" si="145"/>
        <v>277310</v>
      </c>
      <c r="F251" s="23">
        <f t="shared" si="145"/>
        <v>220176</v>
      </c>
      <c r="G251" s="24">
        <f t="shared" si="145"/>
        <v>153000</v>
      </c>
    </row>
    <row r="252" spans="2:18">
      <c r="B252" s="13"/>
      <c r="C252" s="50"/>
      <c r="D252" s="50"/>
      <c r="E252" s="50"/>
      <c r="F252" s="50"/>
      <c r="G252" s="51"/>
    </row>
    <row r="253" spans="2:18">
      <c r="B253" s="22" t="s">
        <v>35</v>
      </c>
      <c r="C253" s="23">
        <v>403531</v>
      </c>
      <c r="D253" s="23">
        <v>338976</v>
      </c>
      <c r="E253" s="23">
        <v>307451</v>
      </c>
      <c r="F253" s="23">
        <v>312612</v>
      </c>
      <c r="G253" s="24">
        <v>318190</v>
      </c>
    </row>
    <row r="254" spans="2:18">
      <c r="B254" s="13"/>
      <c r="C254" s="50"/>
      <c r="D254" s="50"/>
      <c r="E254" s="50"/>
      <c r="F254" s="50"/>
      <c r="G254" s="51"/>
    </row>
    <row r="255" spans="2:18">
      <c r="B255" s="22" t="s">
        <v>36</v>
      </c>
      <c r="C255" s="23">
        <f>+C251+C253</f>
        <v>930373</v>
      </c>
      <c r="D255" s="23">
        <f t="shared" ref="D255:G255" si="146">+D251+D253</f>
        <v>710116</v>
      </c>
      <c r="E255" s="23">
        <f t="shared" si="146"/>
        <v>584761</v>
      </c>
      <c r="F255" s="23">
        <f t="shared" si="146"/>
        <v>532788</v>
      </c>
      <c r="G255" s="24">
        <f t="shared" si="146"/>
        <v>471190</v>
      </c>
    </row>
    <row r="256" spans="2:18">
      <c r="B256" s="13"/>
      <c r="G256" s="32"/>
      <c r="H256" s="71"/>
    </row>
    <row r="257" spans="2:8">
      <c r="B257" s="91" t="s">
        <v>53</v>
      </c>
      <c r="C257" s="92"/>
      <c r="D257" s="92"/>
      <c r="E257" s="92"/>
      <c r="F257" s="92"/>
      <c r="G257" s="93"/>
    </row>
    <row r="258" spans="2:8">
      <c r="B258" s="13"/>
      <c r="G258" s="32"/>
    </row>
    <row r="259" spans="2:8">
      <c r="B259" s="22" t="s">
        <v>37</v>
      </c>
      <c r="C259" s="71"/>
      <c r="D259" s="71"/>
      <c r="E259" s="71"/>
      <c r="F259" s="71"/>
      <c r="G259" s="72"/>
    </row>
    <row r="260" spans="2:8">
      <c r="B260" s="41" t="s">
        <v>52</v>
      </c>
      <c r="C260" s="50"/>
      <c r="D260" s="50">
        <f t="shared" ref="D260:G260" si="147">+D190</f>
        <v>159404</v>
      </c>
      <c r="E260" s="50">
        <f t="shared" si="147"/>
        <v>190255.04190000004</v>
      </c>
      <c r="F260" s="50">
        <f t="shared" si="147"/>
        <v>205869.79206612002</v>
      </c>
      <c r="G260" s="51">
        <f t="shared" si="147"/>
        <v>233373.99628615365</v>
      </c>
    </row>
    <row r="261" spans="2:8">
      <c r="B261" s="41" t="s">
        <v>38</v>
      </c>
      <c r="C261" s="50"/>
      <c r="D261" s="50">
        <f t="shared" ref="D261:G261" si="148">-D237</f>
        <v>-42956</v>
      </c>
      <c r="E261" s="50">
        <f t="shared" si="148"/>
        <v>-15559.354638024874</v>
      </c>
      <c r="F261" s="50">
        <f t="shared" si="148"/>
        <v>-26234.277779640106</v>
      </c>
      <c r="G261" s="51">
        <f t="shared" si="148"/>
        <v>-29739.177291000029</v>
      </c>
    </row>
    <row r="262" spans="2:8">
      <c r="B262" s="41" t="s">
        <v>11</v>
      </c>
      <c r="C262" s="50"/>
      <c r="D262" s="50">
        <f t="shared" ref="D262:G262" si="149">-D199</f>
        <v>-207</v>
      </c>
      <c r="E262" s="50">
        <f t="shared" si="149"/>
        <v>-1079</v>
      </c>
      <c r="F262" s="50">
        <f t="shared" si="149"/>
        <v>-1079</v>
      </c>
      <c r="G262" s="51">
        <f t="shared" si="149"/>
        <v>-1079</v>
      </c>
    </row>
    <row r="263" spans="2:8">
      <c r="B263" s="41" t="s">
        <v>18</v>
      </c>
      <c r="C263" s="50"/>
      <c r="D263" s="50">
        <f t="shared" ref="D263:G263" si="150">-D208</f>
        <v>-73148</v>
      </c>
      <c r="E263" s="50">
        <f t="shared" si="150"/>
        <v>-78636.304639426671</v>
      </c>
      <c r="F263" s="50">
        <f t="shared" si="150"/>
        <v>-79309.240715990309</v>
      </c>
      <c r="G263" s="51">
        <f t="shared" si="150"/>
        <v>-85898.830139468104</v>
      </c>
      <c r="H263" s="73"/>
    </row>
    <row r="264" spans="2:8">
      <c r="B264" s="22" t="s">
        <v>39</v>
      </c>
      <c r="C264" s="23"/>
      <c r="D264" s="23">
        <f>+SUM(D260:D263)</f>
        <v>43093</v>
      </c>
      <c r="E264" s="23">
        <f t="shared" ref="E264" si="151">+SUM(E260:E263)</f>
        <v>94980.382622548495</v>
      </c>
      <c r="F264" s="23">
        <f t="shared" ref="F264" si="152">+SUM(F260:F263)</f>
        <v>99247.273570489604</v>
      </c>
      <c r="G264" s="24">
        <f t="shared" ref="G264" si="153">+SUM(G260:G263)</f>
        <v>116656.98885568551</v>
      </c>
    </row>
    <row r="265" spans="2:8">
      <c r="B265" s="13"/>
      <c r="C265" s="50"/>
      <c r="D265" s="50"/>
      <c r="E265" s="50"/>
      <c r="F265" s="50"/>
      <c r="G265" s="51"/>
    </row>
    <row r="266" spans="2:8">
      <c r="B266" s="22" t="s">
        <v>29</v>
      </c>
      <c r="C266" s="23"/>
      <c r="D266" s="23">
        <f>+D240</f>
        <v>54451</v>
      </c>
      <c r="E266" s="23">
        <f t="shared" ref="E266:G266" si="154">+E240</f>
        <v>100000</v>
      </c>
      <c r="F266" s="23">
        <f t="shared" si="154"/>
        <v>100000</v>
      </c>
      <c r="G266" s="24">
        <f t="shared" si="154"/>
        <v>100000</v>
      </c>
    </row>
    <row r="267" spans="2:8">
      <c r="B267" s="13"/>
      <c r="C267" s="50"/>
      <c r="D267" s="50"/>
      <c r="E267" s="50"/>
      <c r="F267" s="50"/>
      <c r="G267" s="51"/>
    </row>
    <row r="268" spans="2:8">
      <c r="B268" s="22" t="s">
        <v>40</v>
      </c>
      <c r="C268" s="23"/>
      <c r="D268" s="23">
        <f>+D264-D266</f>
        <v>-11358</v>
      </c>
      <c r="E268" s="23">
        <f t="shared" ref="E268:G268" si="155">+E264-E266</f>
        <v>-5019.6173774515046</v>
      </c>
      <c r="F268" s="23">
        <f t="shared" si="155"/>
        <v>-752.72642951039597</v>
      </c>
      <c r="G268" s="24">
        <f t="shared" si="155"/>
        <v>16656.988855685515</v>
      </c>
    </row>
    <row r="269" spans="2:8">
      <c r="B269" s="78"/>
      <c r="C269" s="58"/>
      <c r="D269" s="79"/>
      <c r="E269" s="79"/>
      <c r="F269" s="79"/>
      <c r="G269" s="80"/>
    </row>
    <row r="270" spans="2:8">
      <c r="B270" s="73"/>
      <c r="C270" s="30"/>
      <c r="D270" s="30"/>
      <c r="E270" s="30"/>
      <c r="F270" s="30"/>
      <c r="G270" s="30"/>
    </row>
    <row r="271" spans="2:8">
      <c r="D271" s="71"/>
      <c r="E271" s="71"/>
      <c r="F271" s="71"/>
      <c r="G271" s="71"/>
    </row>
    <row r="272" spans="2:8">
      <c r="B272" s="71"/>
      <c r="C272" s="47"/>
      <c r="D272" s="47"/>
      <c r="E272" s="47"/>
      <c r="F272" s="47"/>
      <c r="G272" s="47"/>
    </row>
    <row r="273" spans="2:7">
      <c r="B273" s="73"/>
      <c r="C273" s="30"/>
      <c r="D273" s="30"/>
      <c r="E273" s="30"/>
      <c r="F273" s="30"/>
      <c r="G273" s="30"/>
    </row>
    <row r="274" spans="2:7">
      <c r="B274" s="73"/>
      <c r="C274" s="30"/>
      <c r="D274" s="30"/>
      <c r="E274" s="30"/>
      <c r="F274" s="30"/>
      <c r="G274" s="30"/>
    </row>
    <row r="275" spans="2:7">
      <c r="D275" s="71"/>
      <c r="E275" s="71"/>
      <c r="F275" s="71"/>
      <c r="G275" s="71"/>
    </row>
    <row r="276" spans="2:7">
      <c r="B276" s="71"/>
      <c r="C276" s="47"/>
      <c r="D276" s="47"/>
      <c r="E276" s="47"/>
      <c r="F276" s="47"/>
      <c r="G276" s="47"/>
    </row>
    <row r="277" spans="2:7">
      <c r="B277" s="73"/>
      <c r="C277" s="30"/>
      <c r="D277" s="30"/>
      <c r="E277" s="30"/>
      <c r="F277" s="30"/>
      <c r="G277" s="30"/>
    </row>
    <row r="278" spans="2:7">
      <c r="B278" s="73"/>
      <c r="C278" s="30"/>
      <c r="D278" s="30"/>
      <c r="E278" s="30"/>
      <c r="F278" s="30"/>
      <c r="G278" s="30"/>
    </row>
    <row r="280" spans="2:7">
      <c r="B280" s="71"/>
      <c r="C280" s="23"/>
      <c r="D280" s="23"/>
      <c r="E280" s="23"/>
      <c r="F280" s="23"/>
      <c r="G280" s="23"/>
    </row>
    <row r="281" spans="2:7">
      <c r="B281" s="73"/>
      <c r="C281" s="30"/>
      <c r="D281" s="30"/>
      <c r="E281" s="30"/>
      <c r="F281" s="30"/>
      <c r="G281" s="30"/>
    </row>
    <row r="282" spans="2:7">
      <c r="B282" s="73"/>
      <c r="C282" s="30"/>
      <c r="D282" s="30"/>
      <c r="E282" s="30"/>
      <c r="F282" s="30"/>
      <c r="G282" s="30"/>
    </row>
    <row r="283" spans="2:7">
      <c r="B283" s="73"/>
      <c r="C283" s="73"/>
      <c r="D283" s="73"/>
      <c r="E283" s="73"/>
      <c r="F283" s="73"/>
      <c r="G283" s="73"/>
    </row>
    <row r="284" spans="2:7">
      <c r="B284" s="71"/>
      <c r="C284" s="23"/>
      <c r="D284" s="23"/>
      <c r="E284" s="23"/>
      <c r="F284" s="23"/>
      <c r="G284" s="23"/>
    </row>
    <row r="285" spans="2:7">
      <c r="B285" s="73"/>
      <c r="C285" s="73"/>
      <c r="D285" s="73"/>
      <c r="E285" s="30"/>
      <c r="F285" s="30"/>
      <c r="G285" s="30"/>
    </row>
    <row r="286" spans="2:7">
      <c r="B286" s="73"/>
      <c r="C286" s="73"/>
      <c r="D286" s="73"/>
      <c r="E286" s="73"/>
      <c r="F286" s="73"/>
      <c r="G286" s="73"/>
    </row>
    <row r="287" spans="2:7">
      <c r="B287" s="71"/>
      <c r="C287" s="71"/>
      <c r="D287" s="71"/>
      <c r="E287" s="71"/>
      <c r="F287" s="71"/>
      <c r="G287" s="71"/>
    </row>
    <row r="288" spans="2:7">
      <c r="B288" s="73"/>
      <c r="C288" s="73"/>
      <c r="D288" s="30"/>
      <c r="E288" s="30"/>
      <c r="F288" s="30"/>
      <c r="G288" s="30"/>
    </row>
    <row r="289" spans="2:7">
      <c r="B289" s="73"/>
      <c r="C289" s="73"/>
      <c r="D289" s="73"/>
      <c r="E289" s="73"/>
      <c r="F289" s="73"/>
      <c r="G289" s="73"/>
    </row>
    <row r="290" spans="2:7">
      <c r="B290" s="71"/>
      <c r="C290" s="75"/>
      <c r="D290" s="75"/>
      <c r="E290" s="75"/>
      <c r="F290" s="75"/>
      <c r="G290" s="75"/>
    </row>
    <row r="291" spans="2:7">
      <c r="B291" s="73"/>
      <c r="C291" s="73"/>
      <c r="D291" s="73"/>
      <c r="E291" s="30"/>
      <c r="F291" s="30"/>
      <c r="G291" s="30"/>
    </row>
    <row r="292" spans="2:7">
      <c r="B292" s="73"/>
      <c r="C292" s="73"/>
      <c r="D292" s="73"/>
      <c r="E292" s="73"/>
      <c r="F292" s="73"/>
      <c r="G292" s="73"/>
    </row>
    <row r="295" spans="2:7">
      <c r="B295" s="71"/>
      <c r="C295" s="71"/>
      <c r="D295" s="71"/>
      <c r="E295" s="71"/>
      <c r="F295" s="71"/>
      <c r="G295" s="71"/>
    </row>
    <row r="296" spans="2:7">
      <c r="B296" s="71"/>
      <c r="C296" s="23"/>
      <c r="D296" s="23"/>
      <c r="E296" s="23"/>
      <c r="F296" s="23"/>
      <c r="G296" s="23"/>
    </row>
    <row r="297" spans="2:7">
      <c r="C297" s="50"/>
      <c r="D297" s="50"/>
      <c r="E297" s="50"/>
      <c r="F297" s="50"/>
      <c r="G297" s="50"/>
    </row>
    <row r="298" spans="2:7">
      <c r="B298" s="71"/>
      <c r="C298" s="23"/>
      <c r="D298" s="23"/>
      <c r="E298" s="23"/>
      <c r="F298" s="23"/>
      <c r="G298" s="23"/>
    </row>
    <row r="299" spans="2:7">
      <c r="C299" s="50"/>
      <c r="D299" s="50"/>
      <c r="E299" s="50"/>
      <c r="F299" s="50"/>
      <c r="G299" s="50"/>
    </row>
    <row r="300" spans="2:7">
      <c r="B300" s="71"/>
      <c r="C300" s="23"/>
      <c r="D300" s="23"/>
      <c r="E300" s="23"/>
      <c r="F300" s="23"/>
      <c r="G300" s="23"/>
    </row>
    <row r="301" spans="2:7">
      <c r="C301" s="50"/>
      <c r="D301" s="50"/>
      <c r="E301" s="50"/>
      <c r="F301" s="50"/>
      <c r="G301" s="50"/>
    </row>
    <row r="302" spans="2:7">
      <c r="B302" s="71"/>
      <c r="C302" s="23"/>
      <c r="D302" s="23"/>
      <c r="E302" s="23"/>
      <c r="F302" s="23"/>
      <c r="G302" s="23"/>
    </row>
    <row r="303" spans="2:7">
      <c r="C303" s="50"/>
      <c r="D303" s="50"/>
      <c r="E303" s="50"/>
      <c r="F303" s="50"/>
      <c r="G303" s="50"/>
    </row>
    <row r="304" spans="2:7">
      <c r="B304" s="71"/>
      <c r="C304" s="23"/>
      <c r="D304" s="23"/>
      <c r="E304" s="23"/>
      <c r="F304" s="23"/>
      <c r="G304" s="23"/>
    </row>
    <row r="307" spans="2:12">
      <c r="B307" s="82"/>
      <c r="C307" s="83"/>
      <c r="D307" s="83"/>
      <c r="E307" s="83"/>
      <c r="F307" s="83"/>
      <c r="G307" s="83"/>
    </row>
    <row r="310" spans="2:12">
      <c r="B310" s="71"/>
      <c r="C310" s="71"/>
      <c r="D310" s="71"/>
      <c r="E310" s="71"/>
      <c r="F310" s="71"/>
      <c r="G310" s="71"/>
    </row>
    <row r="312" spans="2:12">
      <c r="B312" s="85"/>
      <c r="C312" s="50"/>
      <c r="D312" s="50"/>
      <c r="E312" s="50"/>
      <c r="F312" s="50"/>
      <c r="G312" s="50"/>
      <c r="H312" s="50"/>
      <c r="I312" s="50"/>
      <c r="J312" s="50"/>
      <c r="K312" s="50"/>
      <c r="L312" s="50"/>
    </row>
    <row r="313" spans="2:12">
      <c r="B313" s="85"/>
      <c r="C313" s="50"/>
      <c r="D313" s="50"/>
      <c r="E313" s="50"/>
      <c r="F313" s="50"/>
      <c r="G313" s="50"/>
      <c r="H313" s="50"/>
      <c r="I313" s="50"/>
      <c r="J313" s="50"/>
      <c r="K313" s="50"/>
      <c r="L313" s="50"/>
    </row>
    <row r="314" spans="2:12">
      <c r="B314" s="85"/>
      <c r="C314" s="50"/>
      <c r="D314" s="50"/>
      <c r="E314" s="50"/>
      <c r="F314" s="50"/>
      <c r="G314" s="50"/>
      <c r="H314" s="50"/>
      <c r="I314" s="50"/>
      <c r="J314" s="50"/>
      <c r="K314" s="50"/>
      <c r="L314" s="50"/>
    </row>
    <row r="315" spans="2:12">
      <c r="B315" s="85"/>
      <c r="C315" s="50"/>
      <c r="D315" s="50"/>
      <c r="E315" s="50"/>
      <c r="F315" s="50"/>
      <c r="G315" s="50"/>
      <c r="H315" s="50"/>
      <c r="I315" s="50"/>
      <c r="J315" s="50"/>
      <c r="K315" s="50"/>
      <c r="L315" s="50"/>
    </row>
    <row r="316" spans="2:12">
      <c r="B316" s="71"/>
      <c r="C316" s="23"/>
      <c r="D316" s="23"/>
      <c r="E316" s="23"/>
      <c r="F316" s="23"/>
      <c r="G316" s="23"/>
      <c r="H316" s="23"/>
      <c r="I316" s="23"/>
      <c r="J316" s="23"/>
      <c r="K316" s="23"/>
      <c r="L316" s="23"/>
    </row>
    <row r="317" spans="2:12">
      <c r="C317" s="50"/>
      <c r="D317" s="50"/>
      <c r="E317" s="50"/>
      <c r="F317" s="50"/>
      <c r="G317" s="50"/>
      <c r="H317" s="50"/>
      <c r="I317" s="50"/>
      <c r="J317" s="50"/>
      <c r="K317" s="50"/>
      <c r="L317" s="50"/>
    </row>
    <row r="318" spans="2:12">
      <c r="B318" s="71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 spans="2:12">
      <c r="C319" s="50"/>
      <c r="D319" s="50"/>
      <c r="E319" s="50"/>
      <c r="F319" s="50"/>
      <c r="G319" s="50"/>
      <c r="H319" s="50"/>
      <c r="I319" s="50"/>
      <c r="J319" s="50"/>
      <c r="K319" s="50"/>
      <c r="L319" s="50"/>
    </row>
    <row r="320" spans="2:12">
      <c r="B320" s="71"/>
      <c r="C320" s="23"/>
      <c r="D320" s="23"/>
      <c r="E320" s="23"/>
      <c r="F320" s="23"/>
      <c r="G320" s="23"/>
      <c r="H320" s="23"/>
      <c r="I320" s="23"/>
      <c r="J320" s="23"/>
      <c r="K320" s="23"/>
      <c r="L320" s="23"/>
    </row>
    <row r="321" spans="2:12">
      <c r="B321" s="88"/>
      <c r="C321" s="88"/>
      <c r="D321" s="89"/>
      <c r="E321" s="89"/>
      <c r="F321" s="89"/>
      <c r="G321" s="89"/>
      <c r="H321" s="89"/>
      <c r="I321" s="89"/>
      <c r="J321" s="89"/>
      <c r="K321" s="89"/>
      <c r="L321" s="89"/>
    </row>
    <row r="322" spans="2:12">
      <c r="B322" s="71"/>
      <c r="C322" s="75"/>
      <c r="D322" s="75"/>
      <c r="E322" s="75"/>
      <c r="F322" s="75"/>
      <c r="G322" s="75"/>
    </row>
    <row r="323" spans="2:12">
      <c r="B323" s="73"/>
      <c r="C323" s="73"/>
      <c r="D323" s="73"/>
      <c r="E323" s="30"/>
      <c r="F323" s="30"/>
      <c r="G323" s="30"/>
    </row>
    <row r="324" spans="2:12">
      <c r="B324" s="73"/>
      <c r="C324" s="73"/>
      <c r="D324" s="73"/>
      <c r="E324" s="73"/>
      <c r="F324" s="73"/>
      <c r="G324" s="73"/>
    </row>
    <row r="327" spans="2:12">
      <c r="B327" s="71"/>
      <c r="C327" s="71"/>
      <c r="D327" s="71"/>
      <c r="E327" s="71"/>
      <c r="F327" s="71"/>
      <c r="G327" s="71"/>
    </row>
    <row r="328" spans="2:12">
      <c r="B328" s="71"/>
      <c r="C328" s="23"/>
      <c r="D328" s="23"/>
      <c r="E328" s="23"/>
      <c r="F328" s="23"/>
      <c r="G328" s="23"/>
    </row>
    <row r="329" spans="2:12">
      <c r="C329" s="50"/>
      <c r="D329" s="50"/>
      <c r="E329" s="50"/>
      <c r="F329" s="50"/>
      <c r="G329" s="50"/>
    </row>
    <row r="330" spans="2:12">
      <c r="B330" s="71"/>
      <c r="C330" s="23"/>
      <c r="D330" s="23"/>
      <c r="E330" s="23"/>
      <c r="F330" s="23"/>
      <c r="G330" s="23"/>
    </row>
    <row r="331" spans="2:12">
      <c r="C331" s="50"/>
      <c r="D331" s="50"/>
      <c r="E331" s="50"/>
      <c r="F331" s="50"/>
      <c r="G331" s="50"/>
    </row>
    <row r="332" spans="2:12">
      <c r="B332" s="71"/>
      <c r="C332" s="23"/>
      <c r="D332" s="23"/>
      <c r="E332" s="23"/>
      <c r="F332" s="23"/>
      <c r="G332" s="23"/>
    </row>
    <row r="333" spans="2:12">
      <c r="C333" s="50"/>
      <c r="D333" s="50"/>
      <c r="E333" s="50"/>
      <c r="F333" s="50"/>
      <c r="G333" s="50"/>
    </row>
    <row r="334" spans="2:12">
      <c r="B334" s="71"/>
      <c r="C334" s="23"/>
      <c r="D334" s="23"/>
      <c r="E334" s="23"/>
      <c r="F334" s="23"/>
      <c r="G334" s="23"/>
    </row>
    <row r="335" spans="2:12">
      <c r="C335" s="50"/>
      <c r="D335" s="50"/>
      <c r="E335" s="50"/>
      <c r="F335" s="50"/>
      <c r="G335" s="50"/>
    </row>
    <row r="336" spans="2:12">
      <c r="B336" s="71"/>
      <c r="C336" s="23"/>
      <c r="D336" s="23"/>
      <c r="E336" s="23"/>
      <c r="F336" s="23"/>
      <c r="G336" s="23"/>
    </row>
    <row r="339" spans="2:7">
      <c r="B339" s="82"/>
      <c r="C339" s="83"/>
      <c r="D339" s="83"/>
      <c r="E339" s="83"/>
      <c r="F339" s="83"/>
      <c r="G339" s="83"/>
    </row>
    <row r="342" spans="2:7">
      <c r="B342" s="71"/>
      <c r="C342" s="71"/>
      <c r="D342" s="71"/>
      <c r="E342" s="71"/>
      <c r="F342" s="71"/>
      <c r="G342" s="71"/>
    </row>
    <row r="344" spans="2:7">
      <c r="B344" s="85"/>
      <c r="C344" s="50"/>
      <c r="D344" s="50"/>
      <c r="E344" s="50"/>
      <c r="F344" s="50"/>
      <c r="G344" s="50"/>
    </row>
    <row r="345" spans="2:7">
      <c r="B345" s="85"/>
      <c r="C345" s="50"/>
      <c r="D345" s="50"/>
      <c r="E345" s="50"/>
      <c r="F345" s="50"/>
      <c r="G345" s="50"/>
    </row>
    <row r="346" spans="2:7">
      <c r="B346" s="85"/>
      <c r="C346" s="50"/>
      <c r="D346" s="50"/>
      <c r="E346" s="50"/>
      <c r="F346" s="50"/>
      <c r="G346" s="50"/>
    </row>
    <row r="347" spans="2:7">
      <c r="B347" s="85"/>
      <c r="C347" s="50"/>
      <c r="D347" s="50"/>
      <c r="E347" s="50"/>
      <c r="F347" s="50"/>
      <c r="G347" s="50"/>
    </row>
    <row r="348" spans="2:7">
      <c r="B348" s="71"/>
      <c r="C348" s="23"/>
      <c r="D348" s="23"/>
      <c r="E348" s="23"/>
      <c r="F348" s="23"/>
      <c r="G348" s="23"/>
    </row>
    <row r="349" spans="2:7">
      <c r="C349" s="50"/>
      <c r="D349" s="50"/>
      <c r="E349" s="50"/>
      <c r="F349" s="50"/>
      <c r="G349" s="50"/>
    </row>
    <row r="350" spans="2:7">
      <c r="B350" s="71"/>
      <c r="C350" s="23"/>
      <c r="D350" s="23"/>
      <c r="E350" s="23"/>
      <c r="F350" s="23"/>
      <c r="G350" s="23"/>
    </row>
    <row r="351" spans="2:7">
      <c r="C351" s="50"/>
      <c r="D351" s="50"/>
      <c r="E351" s="50"/>
      <c r="F351" s="50"/>
      <c r="G351" s="50"/>
    </row>
    <row r="352" spans="2:7">
      <c r="B352" s="71"/>
      <c r="C352" s="23"/>
      <c r="D352" s="23"/>
      <c r="E352" s="23"/>
      <c r="F352" s="23"/>
      <c r="G352" s="23"/>
    </row>
    <row r="353" spans="2:7">
      <c r="B353" s="88"/>
      <c r="C353" s="88"/>
      <c r="D353" s="89"/>
      <c r="E353" s="89"/>
      <c r="F353" s="89"/>
      <c r="G353" s="89"/>
    </row>
    <row r="354" spans="2:7">
      <c r="B354" s="71"/>
      <c r="C354" s="75"/>
      <c r="D354" s="75"/>
      <c r="E354" s="75"/>
      <c r="F354" s="75"/>
      <c r="G354" s="75"/>
    </row>
    <row r="356" spans="2:7">
      <c r="B356" s="81"/>
    </row>
    <row r="358" spans="2:7">
      <c r="B358" s="71"/>
      <c r="C358" s="75"/>
      <c r="D358" s="75"/>
      <c r="E358" s="75"/>
      <c r="F358" s="75"/>
      <c r="G358" s="75"/>
    </row>
    <row r="359" spans="2:7">
      <c r="B359" s="71"/>
      <c r="C359" s="71"/>
      <c r="D359" s="71"/>
      <c r="E359" s="71"/>
      <c r="F359" s="71"/>
      <c r="G359" s="71"/>
    </row>
    <row r="360" spans="2:7">
      <c r="B360" s="90"/>
      <c r="C360" s="90"/>
      <c r="D360" s="90"/>
      <c r="E360" s="90"/>
      <c r="F360" s="90"/>
      <c r="G360" s="90"/>
    </row>
    <row r="362" spans="2:7">
      <c r="B362" s="71"/>
      <c r="C362" s="75"/>
      <c r="D362" s="75"/>
      <c r="E362" s="75"/>
      <c r="F362" s="75"/>
      <c r="G362" s="75"/>
    </row>
    <row r="365" spans="2:7">
      <c r="B365" s="82"/>
      <c r="C365" s="83"/>
      <c r="D365" s="83"/>
      <c r="E365" s="83"/>
      <c r="F365" s="83"/>
      <c r="G365" s="83"/>
    </row>
    <row r="368" spans="2:7">
      <c r="B368" s="71"/>
      <c r="C368" s="71"/>
      <c r="D368" s="71"/>
      <c r="E368" s="71"/>
      <c r="F368" s="71"/>
      <c r="G368" s="71"/>
    </row>
    <row r="370" spans="2:7">
      <c r="B370" s="85"/>
      <c r="C370" s="53"/>
      <c r="D370" s="53"/>
      <c r="E370" s="53"/>
      <c r="F370" s="53"/>
      <c r="G370" s="53"/>
    </row>
    <row r="371" spans="2:7">
      <c r="B371" s="85"/>
      <c r="C371" s="53"/>
      <c r="D371" s="53"/>
      <c r="E371" s="53"/>
      <c r="F371" s="53"/>
      <c r="G371" s="53"/>
    </row>
    <row r="372" spans="2:7">
      <c r="B372" s="85"/>
      <c r="C372" s="53"/>
      <c r="D372" s="53"/>
      <c r="E372" s="53"/>
      <c r="F372" s="53"/>
      <c r="G372" s="53"/>
    </row>
    <row r="373" spans="2:7">
      <c r="B373" s="85"/>
      <c r="C373" s="53"/>
      <c r="D373" s="53"/>
      <c r="E373" s="53"/>
      <c r="F373" s="53"/>
      <c r="G373" s="53"/>
    </row>
    <row r="374" spans="2:7">
      <c r="B374" s="71"/>
      <c r="C374" s="75"/>
      <c r="D374" s="75"/>
      <c r="E374" s="75"/>
      <c r="F374" s="75"/>
      <c r="G374" s="75"/>
    </row>
    <row r="376" spans="2:7">
      <c r="B376" s="71"/>
      <c r="C376" s="71"/>
      <c r="D376" s="71"/>
      <c r="E376" s="71"/>
      <c r="F376" s="71"/>
      <c r="G376" s="71"/>
    </row>
    <row r="378" spans="2:7">
      <c r="B378" s="71"/>
      <c r="C378" s="71"/>
      <c r="D378" s="75"/>
      <c r="E378" s="75"/>
      <c r="F378" s="75"/>
      <c r="G378" s="75"/>
    </row>
    <row r="379" spans="2:7">
      <c r="B379" s="87"/>
      <c r="C379" s="88"/>
      <c r="D379" s="88"/>
      <c r="E379" s="89"/>
      <c r="F379" s="89"/>
      <c r="G379" s="8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7"/>
  <sheetViews>
    <sheetView showGridLines="0" workbookViewId="0">
      <selection activeCell="C9" sqref="C9"/>
    </sheetView>
  </sheetViews>
  <sheetFormatPr defaultColWidth="9.140625" defaultRowHeight="15"/>
  <cols>
    <col min="1" max="1" width="3.85546875" style="128" customWidth="1"/>
    <col min="2" max="5" width="9.140625" style="128"/>
    <col min="6" max="6" width="9.7109375" style="128" bestFit="1" customWidth="1"/>
    <col min="7" max="16384" width="9.140625" style="128"/>
  </cols>
  <sheetData>
    <row r="1" spans="1:23" s="96" customFormat="1">
      <c r="A1" s="94"/>
      <c r="B1" s="94" t="s">
        <v>72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s="96" customFormat="1">
      <c r="A2" s="97"/>
      <c r="B2" s="97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s="96" customFormat="1"/>
    <row r="4" spans="1:23" s="96" customFormat="1">
      <c r="A4" s="98"/>
      <c r="B4" s="99" t="s">
        <v>2</v>
      </c>
      <c r="C4" s="100"/>
      <c r="D4" s="100"/>
      <c r="E4" s="100"/>
      <c r="F4" s="101" t="s">
        <v>42</v>
      </c>
      <c r="G4" s="101" t="s">
        <v>43</v>
      </c>
      <c r="H4" s="101" t="s">
        <v>44</v>
      </c>
      <c r="I4" s="102" t="s">
        <v>45</v>
      </c>
    </row>
    <row r="5" spans="1:23" s="96" customFormat="1">
      <c r="A5" s="103"/>
      <c r="B5" s="104" t="s">
        <v>54</v>
      </c>
      <c r="I5" s="105"/>
      <c r="J5" s="106"/>
    </row>
    <row r="6" spans="1:23" s="96" customFormat="1">
      <c r="A6" s="107"/>
      <c r="B6" s="108" t="s">
        <v>55</v>
      </c>
      <c r="F6" s="109">
        <f>+'Input Sheet'!D8</f>
        <v>5.0402279537760331E-2</v>
      </c>
      <c r="G6" s="109">
        <f>+'Input Sheet'!E8</f>
        <v>9.0597702668938851E-2</v>
      </c>
      <c r="H6" s="109">
        <f>+'Input Sheet'!F8</f>
        <v>8.1200000000000161E-2</v>
      </c>
      <c r="I6" s="110">
        <f>+'Input Sheet'!G8</f>
        <v>8.1200000000000161E-2</v>
      </c>
      <c r="J6" s="111"/>
    </row>
    <row r="7" spans="1:23" s="96" customFormat="1">
      <c r="A7" s="107"/>
      <c r="B7" s="108" t="s">
        <v>56</v>
      </c>
      <c r="F7" s="109">
        <f>+'Input Sheet'!D11</f>
        <v>0.21072836948719204</v>
      </c>
      <c r="G7" s="109">
        <f>+'Input Sheet'!E11</f>
        <v>0.2</v>
      </c>
      <c r="H7" s="109">
        <f>+'Input Sheet'!F11</f>
        <v>0.19</v>
      </c>
      <c r="I7" s="110">
        <f>+'Input Sheet'!G11</f>
        <v>0.19</v>
      </c>
      <c r="J7" s="111"/>
    </row>
    <row r="8" spans="1:23" s="96" customFormat="1">
      <c r="A8" s="107"/>
      <c r="B8" s="108" t="s">
        <v>57</v>
      </c>
      <c r="F8" s="109">
        <f>+'Input Sheet'!D17</f>
        <v>0.17812313683912734</v>
      </c>
      <c r="G8" s="109">
        <f>+'Input Sheet'!E17</f>
        <v>0.16500000000000001</v>
      </c>
      <c r="H8" s="109">
        <f>+'Input Sheet'!F17</f>
        <v>0.15</v>
      </c>
      <c r="I8" s="110">
        <f>+'Input Sheet'!G17</f>
        <v>0.15</v>
      </c>
      <c r="J8" s="111"/>
    </row>
    <row r="9" spans="1:23" s="96" customFormat="1">
      <c r="A9" s="107"/>
      <c r="B9" s="108" t="s">
        <v>58</v>
      </c>
      <c r="F9" s="109">
        <f>+'Input Sheet'!D36</f>
        <v>3.7248327283301297E-2</v>
      </c>
      <c r="G9" s="109">
        <f>+'Input Sheet'!E36</f>
        <v>-3.5730778973064314E-2</v>
      </c>
      <c r="H9" s="109">
        <f>+'Input Sheet'!F36</f>
        <v>-3.3754620216994935E-2</v>
      </c>
      <c r="I9" s="110">
        <f>+'Input Sheet'!G36</f>
        <v>3.9898244131317151E-2</v>
      </c>
      <c r="J9" s="111"/>
    </row>
    <row r="10" spans="1:23" s="96" customFormat="1">
      <c r="A10" s="107"/>
      <c r="B10" s="112" t="s">
        <v>59</v>
      </c>
      <c r="C10" s="113"/>
      <c r="D10" s="113"/>
      <c r="E10" s="113"/>
      <c r="F10" s="113"/>
      <c r="G10" s="129" t="s">
        <v>73</v>
      </c>
      <c r="H10" s="129" t="s">
        <v>73</v>
      </c>
      <c r="I10" s="144" t="s">
        <v>73</v>
      </c>
      <c r="J10" s="106"/>
    </row>
    <row r="11" spans="1:23" s="96" customFormat="1">
      <c r="B11" s="106"/>
      <c r="I11" s="105"/>
      <c r="J11" s="106"/>
    </row>
    <row r="12" spans="1:23" s="96" customFormat="1">
      <c r="A12" s="103"/>
      <c r="B12" s="116" t="s">
        <v>60</v>
      </c>
      <c r="C12" s="117"/>
      <c r="D12" s="117"/>
      <c r="E12" s="117"/>
      <c r="F12" s="117"/>
      <c r="G12" s="117"/>
      <c r="H12" s="117"/>
      <c r="I12" s="118"/>
      <c r="J12" s="106"/>
    </row>
    <row r="13" spans="1:23" s="96" customFormat="1">
      <c r="A13" s="103"/>
      <c r="B13" s="104" t="s">
        <v>61</v>
      </c>
      <c r="I13" s="105"/>
    </row>
    <row r="14" spans="1:23" s="96" customFormat="1">
      <c r="A14" s="107"/>
      <c r="B14" s="108" t="s">
        <v>62</v>
      </c>
      <c r="F14" s="109">
        <f>+'Input Sheet'!D53/'Input Sheet'!D7</f>
        <v>0.23901999225321671</v>
      </c>
      <c r="G14" s="109">
        <f>+'Input Sheet'!E53/'Input Sheet'!E7</f>
        <v>0.22706445826056959</v>
      </c>
      <c r="H14" s="109">
        <f>+'Input Sheet'!F53/'Input Sheet'!F7</f>
        <v>0.22706445826056956</v>
      </c>
      <c r="I14" s="110">
        <f>+'Input Sheet'!G53/'Input Sheet'!G7</f>
        <v>0.22706445826056956</v>
      </c>
      <c r="J14" s="106"/>
    </row>
    <row r="15" spans="1:23" s="96" customFormat="1">
      <c r="A15" s="107"/>
      <c r="B15" s="112" t="s">
        <v>63</v>
      </c>
      <c r="C15" s="113"/>
      <c r="D15" s="113"/>
      <c r="E15" s="113"/>
      <c r="F15" s="119">
        <f>+'Input Sheet'!D60/'Input Sheet'!D7</f>
        <v>7.1982951788832739E-2</v>
      </c>
      <c r="G15" s="119">
        <f>+'Input Sheet'!E60/'Input Sheet'!E7</f>
        <v>0.12121579471187803</v>
      </c>
      <c r="H15" s="119">
        <f>+'Input Sheet'!F60/'Input Sheet'!F7</f>
        <v>0.11211227775793378</v>
      </c>
      <c r="I15" s="120">
        <f>+'Input Sheet'!G60/'Input Sheet'!G7</f>
        <v>0.10369245075650553</v>
      </c>
      <c r="J15" s="106"/>
      <c r="N15" s="130"/>
    </row>
    <row r="16" spans="1:23" s="96" customFormat="1">
      <c r="B16" s="106"/>
      <c r="I16" s="105"/>
      <c r="N16" s="109"/>
    </row>
    <row r="17" spans="1:10" s="96" customFormat="1">
      <c r="A17" s="103"/>
      <c r="B17" s="116" t="s">
        <v>64</v>
      </c>
      <c r="C17" s="117"/>
      <c r="D17" s="117"/>
      <c r="E17" s="117"/>
      <c r="F17" s="117"/>
      <c r="G17" s="117"/>
      <c r="H17" s="117"/>
      <c r="I17" s="121"/>
      <c r="J17" s="106"/>
    </row>
    <row r="18" spans="1:10" s="96" customFormat="1">
      <c r="A18" s="107"/>
      <c r="B18" s="108" t="s">
        <v>65</v>
      </c>
      <c r="F18" s="109">
        <f>ABS(('Input Sheet'!D16*(1-'Input Sheet'!D29))/'Input Sheet'!D75)</f>
        <v>0.125331052478063</v>
      </c>
      <c r="G18" s="109">
        <f>ABS(('Input Sheet'!E16*(1-'Input Sheet'!E29))/'Input Sheet'!E75)</f>
        <v>0.1537580182085013</v>
      </c>
      <c r="H18" s="109">
        <f>ABS(('Input Sheet'!F16*(1-'Input Sheet'!F29))/'Input Sheet'!F75)</f>
        <v>0.16587276726041109</v>
      </c>
      <c r="I18" s="110">
        <f>ABS(('Input Sheet'!G16*(1-'Input Sheet'!G29))/'Input Sheet'!G75)</f>
        <v>0.20278671351450345</v>
      </c>
      <c r="J18" s="106"/>
    </row>
    <row r="19" spans="1:10" s="96" customFormat="1">
      <c r="A19" s="107"/>
      <c r="B19" s="108" t="s">
        <v>66</v>
      </c>
      <c r="F19" s="109">
        <f>+'Input Sheet'!D31/'Input Sheet'!D73</f>
        <v>0.41987633342773528</v>
      </c>
      <c r="G19" s="109">
        <f>+'Input Sheet'!E31/'Input Sheet'!E73</f>
        <v>0.44638823646799564</v>
      </c>
      <c r="H19" s="109">
        <f>+'Input Sheet'!F31/'Input Sheet'!F73</f>
        <v>0.42419977767359435</v>
      </c>
      <c r="I19" s="110">
        <f>+'Input Sheet'!G31/'Input Sheet'!G73</f>
        <v>0.43339151040035667</v>
      </c>
      <c r="J19" s="106"/>
    </row>
    <row r="20" spans="1:10" s="96" customFormat="1">
      <c r="A20" s="107"/>
      <c r="B20" s="108" t="s">
        <v>67</v>
      </c>
      <c r="F20" s="109">
        <f>+('Input Sheet'!D31-'Input Sheet'!C31)/('Input Sheet'!D73-'Input Sheet'!C73)</f>
        <v>-7.9174347455658059E-2</v>
      </c>
      <c r="G20" s="109">
        <f>+('Input Sheet'!E31-'Input Sheet'!D31)/('Input Sheet'!E73-'Input Sheet'!D73)</f>
        <v>0.16131610815791531</v>
      </c>
      <c r="H20" s="109">
        <f>+('Input Sheet'!F31-'Input Sheet'!E31)/('Input Sheet'!F73-'Input Sheet'!E73)</f>
        <v>-0.89761069409495187</v>
      </c>
      <c r="I20" s="110">
        <f>+('Input Sheet'!G31-'Input Sheet'!F31)/('Input Sheet'!G73-'Input Sheet'!F73)</f>
        <v>0.94853061961129836</v>
      </c>
      <c r="J20" s="106"/>
    </row>
    <row r="21" spans="1:10" s="96" customFormat="1">
      <c r="A21" s="122"/>
      <c r="B21" s="123" t="s">
        <v>68</v>
      </c>
      <c r="C21" s="113"/>
      <c r="D21" s="113"/>
      <c r="E21" s="113"/>
      <c r="F21" s="114">
        <f>+((('Input Sheet'!D31-'Input Sheet'!C31)-('Input Sheet'!D19-'Input Sheet'!C19)-('Input Sheet'!D21-'Input Sheet'!C21))/('Input Sheet'!D75-'Input Sheet'!C75))</f>
        <v>-6.0833480888235106E-2</v>
      </c>
      <c r="G21" s="114">
        <f>+((('Input Sheet'!E31-'Input Sheet'!D31)-('Input Sheet'!E19-'Input Sheet'!D19)-('Input Sheet'!E21-'Input Sheet'!D21))/('Input Sheet'!E75-'Input Sheet'!D75))</f>
        <v>-1.795309074485836E-2</v>
      </c>
      <c r="H21" s="114">
        <f>+((('Input Sheet'!F31-'Input Sheet'!E31)-('Input Sheet'!F19-'Input Sheet'!E19)-('Input Sheet'!F21-'Input Sheet'!E21))/('Input Sheet'!F75-'Input Sheet'!E75))</f>
        <v>-1.047297784925889E-3</v>
      </c>
      <c r="I21" s="115">
        <f>+((('Input Sheet'!G31-'Input Sheet'!F31)-('Input Sheet'!G19-'Input Sheet'!F19)-('Input Sheet'!G21-'Input Sheet'!F21))/('Input Sheet'!G75-'Input Sheet'!F75))</f>
        <v>-0.13222675730042893</v>
      </c>
      <c r="J21" s="106"/>
    </row>
    <row r="22" spans="1:10" s="96" customFormat="1">
      <c r="B22" s="106"/>
      <c r="I22" s="105"/>
      <c r="J22" s="106"/>
    </row>
    <row r="23" spans="1:10" s="96" customFormat="1">
      <c r="A23" s="103"/>
      <c r="B23" s="116" t="s">
        <v>69</v>
      </c>
      <c r="C23" s="117"/>
      <c r="D23" s="117"/>
      <c r="E23" s="117"/>
      <c r="F23" s="117"/>
      <c r="G23" s="117"/>
      <c r="H23" s="117"/>
      <c r="I23" s="121"/>
      <c r="J23" s="104"/>
    </row>
    <row r="24" spans="1:10" s="96" customFormat="1">
      <c r="A24" s="107"/>
      <c r="B24" s="108" t="s">
        <v>39</v>
      </c>
      <c r="F24" s="124">
        <f>+'Input Sheet'!D84</f>
        <v>43093</v>
      </c>
      <c r="G24" s="124">
        <f>+'Input Sheet'!E84</f>
        <v>86864.133620937238</v>
      </c>
      <c r="H24" s="124">
        <f>+'Input Sheet'!F84</f>
        <v>85029.872530451656</v>
      </c>
      <c r="I24" s="125">
        <f>+'Input Sheet'!G84</f>
        <v>94836.772375190645</v>
      </c>
      <c r="J24" s="106"/>
    </row>
    <row r="25" spans="1:10" s="96" customFormat="1">
      <c r="A25" s="107"/>
      <c r="B25" s="112" t="s">
        <v>40</v>
      </c>
      <c r="C25" s="113"/>
      <c r="D25" s="113"/>
      <c r="E25" s="113"/>
      <c r="F25" s="126">
        <f>+'Input Sheet'!D88</f>
        <v>-11358</v>
      </c>
      <c r="G25" s="126">
        <f>+'Input Sheet'!E88</f>
        <v>-13135.866379062762</v>
      </c>
      <c r="H25" s="126">
        <f>+'Input Sheet'!F88</f>
        <v>-14970.127469548344</v>
      </c>
      <c r="I25" s="127">
        <f>+'Input Sheet'!G88</f>
        <v>-5163.2276248093549</v>
      </c>
      <c r="J25" s="106"/>
    </row>
    <row r="26" spans="1:10" s="96" customFormat="1"/>
    <row r="30" spans="1:10">
      <c r="B30" s="99" t="s">
        <v>2</v>
      </c>
      <c r="C30" s="100"/>
      <c r="D30" s="100"/>
      <c r="E30" s="100"/>
      <c r="F30" s="101" t="s">
        <v>42</v>
      </c>
      <c r="G30" s="101" t="s">
        <v>43</v>
      </c>
      <c r="H30" s="101" t="s">
        <v>44</v>
      </c>
      <c r="I30" s="102" t="s">
        <v>45</v>
      </c>
    </row>
    <row r="31" spans="1:10">
      <c r="B31" s="104" t="s">
        <v>54</v>
      </c>
      <c r="C31" s="96"/>
      <c r="D31" s="96"/>
      <c r="E31" s="96"/>
      <c r="F31" s="96"/>
      <c r="G31" s="96"/>
      <c r="H31" s="96"/>
      <c r="I31" s="105"/>
    </row>
    <row r="32" spans="1:10">
      <c r="B32" s="108" t="s">
        <v>55</v>
      </c>
      <c r="C32" s="96"/>
      <c r="D32" s="96"/>
      <c r="E32" s="96"/>
      <c r="F32" s="109">
        <f>+'Input Sheet'!D98</f>
        <v>4.9738263536943217E-2</v>
      </c>
      <c r="G32" s="109">
        <f>+'Input Sheet'!E98</f>
        <v>5.0599999999999978E-2</v>
      </c>
      <c r="H32" s="109">
        <f>+'Input Sheet'!F98</f>
        <v>4.0300000000000002E-2</v>
      </c>
      <c r="I32" s="110">
        <f>+'Input Sheet'!G98</f>
        <v>4.0300000000000225E-2</v>
      </c>
    </row>
    <row r="33" spans="2:9">
      <c r="B33" s="108" t="s">
        <v>56</v>
      </c>
      <c r="C33" s="96"/>
      <c r="D33" s="96"/>
      <c r="E33" s="96"/>
      <c r="F33" s="109">
        <f>+'Input Sheet'!D101</f>
        <v>0.21096068077447361</v>
      </c>
      <c r="G33" s="109">
        <f>+'Input Sheet'!E101</f>
        <v>0.18000000000000002</v>
      </c>
      <c r="H33" s="109">
        <f>+'Input Sheet'!F101</f>
        <v>0.17</v>
      </c>
      <c r="I33" s="110">
        <f>+'Input Sheet'!G101</f>
        <v>0.17</v>
      </c>
    </row>
    <row r="34" spans="2:9">
      <c r="B34" s="108" t="s">
        <v>57</v>
      </c>
      <c r="C34" s="96"/>
      <c r="D34" s="96"/>
      <c r="E34" s="96"/>
      <c r="F34" s="109">
        <f>+'Input Sheet'!D107</f>
        <v>0.17831950344754569</v>
      </c>
      <c r="G34" s="109">
        <f>+'Input Sheet'!E107</f>
        <v>0.14500000000000002</v>
      </c>
      <c r="H34" s="109">
        <f>+'Input Sheet'!F107</f>
        <v>0.13</v>
      </c>
      <c r="I34" s="110">
        <f>+'Input Sheet'!G107</f>
        <v>0.13</v>
      </c>
    </row>
    <row r="35" spans="2:9">
      <c r="B35" s="108" t="s">
        <v>58</v>
      </c>
      <c r="C35" s="96"/>
      <c r="D35" s="96"/>
      <c r="E35" s="96"/>
      <c r="F35" s="109">
        <f>+'Input Sheet'!D126</f>
        <v>3.7248327283301297E-2</v>
      </c>
      <c r="G35" s="109">
        <f>+'Input Sheet'!E126</f>
        <v>-0.13325214608587499</v>
      </c>
      <c r="H35" s="109">
        <f>+'Input Sheet'!F126</f>
        <v>-6.6585383439623058E-2</v>
      </c>
      <c r="I35" s="110">
        <f>+'Input Sheet'!G126</f>
        <v>8.4470456288479046E-3</v>
      </c>
    </row>
    <row r="36" spans="2:9">
      <c r="B36" s="112" t="s">
        <v>59</v>
      </c>
      <c r="C36" s="113"/>
      <c r="D36" s="113"/>
      <c r="E36" s="113"/>
      <c r="F36" s="113"/>
      <c r="G36" s="129" t="s">
        <v>73</v>
      </c>
      <c r="H36" s="129" t="s">
        <v>73</v>
      </c>
      <c r="I36" s="144" t="s">
        <v>73</v>
      </c>
    </row>
    <row r="37" spans="2:9">
      <c r="B37" s="106"/>
      <c r="C37" s="96"/>
      <c r="D37" s="96"/>
      <c r="E37" s="96"/>
      <c r="F37" s="96"/>
      <c r="G37" s="96"/>
      <c r="H37" s="96"/>
      <c r="I37" s="105"/>
    </row>
    <row r="38" spans="2:9">
      <c r="B38" s="116" t="s">
        <v>60</v>
      </c>
      <c r="C38" s="117"/>
      <c r="D38" s="117"/>
      <c r="E38" s="117"/>
      <c r="F38" s="117"/>
      <c r="G38" s="117"/>
      <c r="H38" s="117"/>
      <c r="I38" s="118"/>
    </row>
    <row r="39" spans="2:9">
      <c r="B39" s="104" t="s">
        <v>61</v>
      </c>
      <c r="C39" s="96"/>
      <c r="D39" s="96"/>
      <c r="E39" s="96"/>
      <c r="F39" s="96"/>
      <c r="G39" s="96"/>
      <c r="H39" s="96"/>
      <c r="I39" s="105"/>
    </row>
    <row r="40" spans="2:9">
      <c r="B40" s="108" t="s">
        <v>62</v>
      </c>
      <c r="C40" s="96"/>
      <c r="D40" s="96"/>
      <c r="E40" s="96"/>
      <c r="F40" s="109">
        <f>+'Input Sheet'!D143/'Input Sheet'!D97</f>
        <v>0.23928349280713596</v>
      </c>
      <c r="G40" s="109">
        <f>+'Input Sheet'!E143/'Input Sheet'!E97</f>
        <v>0.22706445826056956</v>
      </c>
      <c r="H40" s="109">
        <f>+'Input Sheet'!F143/'Input Sheet'!F97</f>
        <v>0.22706445826056953</v>
      </c>
      <c r="I40" s="110">
        <f>+'Input Sheet'!G143/'Input Sheet'!G97</f>
        <v>0.22706445826056956</v>
      </c>
    </row>
    <row r="41" spans="2:9">
      <c r="B41" s="112" t="s">
        <v>63</v>
      </c>
      <c r="C41" s="113"/>
      <c r="D41" s="113"/>
      <c r="E41" s="113"/>
      <c r="F41" s="119">
        <f>+'Input Sheet'!D150/'Input Sheet'!D97</f>
        <v>7.2062307274916956E-2</v>
      </c>
      <c r="G41" s="119">
        <f>+'Input Sheet'!E150/'Input Sheet'!E97</f>
        <v>0.12596935528881445</v>
      </c>
      <c r="H41" s="119">
        <f>+'Input Sheet'!F150/'Input Sheet'!F97</f>
        <v>0.12108945043623422</v>
      </c>
      <c r="I41" s="120">
        <f>+'Input Sheet'!G150/'Input Sheet'!G97</f>
        <v>0.11639858736540824</v>
      </c>
    </row>
    <row r="42" spans="2:9">
      <c r="B42" s="106"/>
      <c r="C42" s="96"/>
      <c r="D42" s="96"/>
      <c r="E42" s="96"/>
      <c r="F42" s="96"/>
      <c r="G42" s="96"/>
      <c r="H42" s="96"/>
      <c r="I42" s="105"/>
    </row>
    <row r="43" spans="2:9">
      <c r="B43" s="116" t="s">
        <v>64</v>
      </c>
      <c r="C43" s="117"/>
      <c r="D43" s="117"/>
      <c r="E43" s="117"/>
      <c r="F43" s="117"/>
      <c r="G43" s="117"/>
      <c r="H43" s="117"/>
      <c r="I43" s="121"/>
    </row>
    <row r="44" spans="2:9">
      <c r="B44" s="108" t="s">
        <v>65</v>
      </c>
      <c r="C44" s="96"/>
      <c r="D44" s="96"/>
      <c r="E44" s="96"/>
      <c r="F44" s="109">
        <f>ABS(('Input Sheet'!D106*(1-'Input Sheet'!D119))/'Input Sheet'!D165)</f>
        <v>0.125331052478063</v>
      </c>
      <c r="G44" s="109">
        <f>ABS(('Input Sheet'!E106*(1-'Input Sheet'!E119))/'Input Sheet'!E165)</f>
        <v>0.13002178898248909</v>
      </c>
      <c r="H44" s="109">
        <f>ABS(('Input Sheet'!F106*(1-'Input Sheet'!F119))/'Input Sheet'!F165)</f>
        <v>0.1330987728226577</v>
      </c>
      <c r="I44" s="110">
        <f>ABS(('Input Sheet'!G106*(1-'Input Sheet'!G119))/'Input Sheet'!G165)</f>
        <v>0.15656367953971023</v>
      </c>
    </row>
    <row r="45" spans="2:9">
      <c r="B45" s="108" t="s">
        <v>66</v>
      </c>
      <c r="C45" s="96"/>
      <c r="D45" s="96"/>
      <c r="E45" s="96"/>
      <c r="F45" s="109">
        <f>+'Input Sheet'!D121/'Input Sheet'!D163</f>
        <v>0.41987633342773528</v>
      </c>
      <c r="G45" s="109">
        <f>+'Input Sheet'!E121/'Input Sheet'!E163</f>
        <v>0.401242762430077</v>
      </c>
      <c r="H45" s="109">
        <f>+'Input Sheet'!F121/'Input Sheet'!F163</f>
        <v>0.36834270581294359</v>
      </c>
      <c r="I45" s="110">
        <f>+'Input Sheet'!G121/'Input Sheet'!G163</f>
        <v>0.36494237190265783</v>
      </c>
    </row>
    <row r="46" spans="2:9">
      <c r="B46" s="108" t="s">
        <v>67</v>
      </c>
      <c r="C46" s="96"/>
      <c r="D46" s="96"/>
      <c r="E46" s="96"/>
      <c r="F46" s="109">
        <f>+('Input Sheet'!D121-'Input Sheet'!C121)/('Input Sheet'!D163-'Input Sheet'!C163)</f>
        <v>-7.9174347455658059E-2</v>
      </c>
      <c r="G46" s="109">
        <f>+('Input Sheet'!E121-'Input Sheet'!D121)/('Input Sheet'!E163-'Input Sheet'!D163)</f>
        <v>0.60160226639525438</v>
      </c>
      <c r="H46" s="109">
        <f>+('Input Sheet'!F121-'Input Sheet'!E121)/('Input Sheet'!F163-'Input Sheet'!E163)</f>
        <v>-1.5915788805064288</v>
      </c>
      <c r="I46" s="110">
        <f>+('Input Sheet'!G121-'Input Sheet'!F121)/('Input Sheet'!G163-'Input Sheet'!F163)</f>
        <v>0.17437493117797823</v>
      </c>
    </row>
    <row r="47" spans="2:9">
      <c r="B47" s="123" t="s">
        <v>68</v>
      </c>
      <c r="C47" s="113"/>
      <c r="D47" s="113"/>
      <c r="E47" s="113"/>
      <c r="F47" s="114">
        <f>+((('Input Sheet'!D121-'Input Sheet'!C121)-('Input Sheet'!D109-'Input Sheet'!C109)-('Input Sheet'!D111-'Input Sheet'!C111))/('Input Sheet'!D165-'Input Sheet'!C165))</f>
        <v>-6.0833480888235106E-2</v>
      </c>
      <c r="G47" s="114">
        <f>+((('Input Sheet'!E121-'Input Sheet'!D121)-('Input Sheet'!E109-'Input Sheet'!D109)-('Input Sheet'!E111-'Input Sheet'!D111))/('Input Sheet'!E165-'Input Sheet'!D165))</f>
        <v>9.2772617351604608E-2</v>
      </c>
      <c r="H47" s="114">
        <f>+((('Input Sheet'!F121-'Input Sheet'!E121)-('Input Sheet'!F109-'Input Sheet'!E109)-('Input Sheet'!F111-'Input Sheet'!E111))/('Input Sheet'!F165-'Input Sheet'!E165))</f>
        <v>6.7864826011461307E-2</v>
      </c>
      <c r="I47" s="115">
        <f>+((('Input Sheet'!G121-'Input Sheet'!F121)-('Input Sheet'!G109-'Input Sheet'!F109)-('Input Sheet'!G111-'Input Sheet'!F111))/('Input Sheet'!G165-'Input Sheet'!F165))</f>
        <v>-6.2123175526977541E-2</v>
      </c>
    </row>
    <row r="48" spans="2:9">
      <c r="B48" s="106"/>
      <c r="C48" s="96"/>
      <c r="D48" s="96"/>
      <c r="E48" s="96"/>
      <c r="F48" s="96"/>
      <c r="G48" s="96"/>
      <c r="H48" s="96"/>
      <c r="I48" s="105"/>
    </row>
    <row r="49" spans="2:9">
      <c r="B49" s="116" t="s">
        <v>69</v>
      </c>
      <c r="C49" s="117"/>
      <c r="D49" s="117"/>
      <c r="E49" s="117"/>
      <c r="F49" s="117"/>
      <c r="G49" s="117"/>
      <c r="H49" s="117"/>
      <c r="I49" s="121"/>
    </row>
    <row r="50" spans="2:9">
      <c r="B50" s="108" t="s">
        <v>39</v>
      </c>
      <c r="C50" s="96"/>
      <c r="D50" s="96"/>
      <c r="E50" s="96"/>
      <c r="F50" s="124">
        <f>+'Input Sheet'!D174</f>
        <v>43093</v>
      </c>
      <c r="G50" s="124">
        <f>+'Input Sheet'!E174</f>
        <v>78963.296485123428</v>
      </c>
      <c r="H50" s="124">
        <f>+'Input Sheet'!F174</f>
        <v>72869.555688304274</v>
      </c>
      <c r="I50" s="125">
        <f>+'Input Sheet'!G174</f>
        <v>77734.718045684916</v>
      </c>
    </row>
    <row r="51" spans="2:9">
      <c r="B51" s="112" t="s">
        <v>40</v>
      </c>
      <c r="C51" s="113"/>
      <c r="D51" s="113"/>
      <c r="E51" s="113"/>
      <c r="F51" s="126">
        <f>+'Input Sheet'!D178</f>
        <v>-11358</v>
      </c>
      <c r="G51" s="126">
        <f>+'Input Sheet'!E178</f>
        <v>-21036.703514876572</v>
      </c>
      <c r="H51" s="126">
        <f>+'Input Sheet'!F178</f>
        <v>-27130.444311695726</v>
      </c>
      <c r="I51" s="127">
        <f>+'Input Sheet'!G178</f>
        <v>-22265.281954315084</v>
      </c>
    </row>
    <row r="56" spans="2:9">
      <c r="B56" s="99" t="s">
        <v>2</v>
      </c>
      <c r="C56" s="100"/>
      <c r="D56" s="100"/>
      <c r="E56" s="100"/>
      <c r="F56" s="101" t="s">
        <v>42</v>
      </c>
      <c r="G56" s="101" t="s">
        <v>43</v>
      </c>
      <c r="H56" s="101" t="s">
        <v>44</v>
      </c>
      <c r="I56" s="102" t="s">
        <v>45</v>
      </c>
    </row>
    <row r="57" spans="2:9">
      <c r="B57" s="104" t="s">
        <v>54</v>
      </c>
      <c r="C57" s="96"/>
      <c r="D57" s="96"/>
      <c r="E57" s="96"/>
      <c r="F57" s="96"/>
      <c r="G57" s="96"/>
      <c r="H57" s="96"/>
      <c r="I57" s="105"/>
    </row>
    <row r="58" spans="2:9">
      <c r="B58" s="108" t="s">
        <v>55</v>
      </c>
      <c r="C58" s="96"/>
      <c r="D58" s="96"/>
      <c r="E58" s="96"/>
      <c r="F58" s="109">
        <f>+'Input Sheet'!D188</f>
        <v>4.9738263536943217E-2</v>
      </c>
      <c r="G58" s="109">
        <f>+'Input Sheet'!E188</f>
        <v>0.14450000000000007</v>
      </c>
      <c r="H58" s="109">
        <f>+'Input Sheet'!F188</f>
        <v>0.13359999999999994</v>
      </c>
      <c r="I58" s="110">
        <f>+'Input Sheet'!G188</f>
        <v>0.13359999999999994</v>
      </c>
    </row>
    <row r="59" spans="2:9">
      <c r="B59" s="108" t="s">
        <v>56</v>
      </c>
      <c r="C59" s="96"/>
      <c r="D59" s="96"/>
      <c r="E59" s="96"/>
      <c r="F59" s="109">
        <f>+'Input Sheet'!D191</f>
        <v>0.21096068077447361</v>
      </c>
      <c r="G59" s="109">
        <f>+'Input Sheet'!E191</f>
        <v>0.22</v>
      </c>
      <c r="H59" s="109">
        <f>+'Input Sheet'!F191</f>
        <v>0.21</v>
      </c>
      <c r="I59" s="110">
        <f>+'Input Sheet'!G191</f>
        <v>0.21</v>
      </c>
    </row>
    <row r="60" spans="2:9">
      <c r="B60" s="108" t="s">
        <v>57</v>
      </c>
      <c r="C60" s="96"/>
      <c r="D60" s="96"/>
      <c r="E60" s="96"/>
      <c r="F60" s="109">
        <f>+'Input Sheet'!D197</f>
        <v>0.17831950344754569</v>
      </c>
      <c r="G60" s="109">
        <f>+'Input Sheet'!E197</f>
        <v>0.185</v>
      </c>
      <c r="H60" s="109">
        <f>+'Input Sheet'!F197</f>
        <v>0.16999999999999998</v>
      </c>
      <c r="I60" s="110">
        <f>+'Input Sheet'!G197</f>
        <v>0.16999999999999998</v>
      </c>
    </row>
    <row r="61" spans="2:9">
      <c r="B61" s="108" t="s">
        <v>58</v>
      </c>
      <c r="C61" s="96"/>
      <c r="D61" s="96"/>
      <c r="E61" s="96"/>
      <c r="F61" s="109">
        <f>+'Input Sheet'!D216</f>
        <v>3.7248327283301297E-2</v>
      </c>
      <c r="G61" s="109">
        <f>+'Input Sheet'!E216</f>
        <v>7.5030139435482424E-2</v>
      </c>
      <c r="H61" s="109">
        <f>+'Input Sheet'!F216</f>
        <v>8.5575750240205473E-3</v>
      </c>
      <c r="I61" s="110">
        <f>+'Input Sheet'!G216</f>
        <v>8.3087284205322076E-2</v>
      </c>
    </row>
    <row r="62" spans="2:9">
      <c r="B62" s="112" t="s">
        <v>59</v>
      </c>
      <c r="C62" s="113"/>
      <c r="D62" s="113"/>
      <c r="E62" s="113"/>
      <c r="F62" s="113"/>
      <c r="G62" s="129" t="s">
        <v>73</v>
      </c>
      <c r="H62" s="129" t="s">
        <v>73</v>
      </c>
      <c r="I62" s="144" t="s">
        <v>73</v>
      </c>
    </row>
    <row r="63" spans="2:9">
      <c r="B63" s="106"/>
      <c r="C63" s="96"/>
      <c r="D63" s="96"/>
      <c r="E63" s="96"/>
      <c r="F63" s="96"/>
      <c r="G63" s="96"/>
      <c r="H63" s="96"/>
      <c r="I63" s="105"/>
    </row>
    <row r="64" spans="2:9">
      <c r="B64" s="116" t="s">
        <v>60</v>
      </c>
      <c r="C64" s="117"/>
      <c r="D64" s="117"/>
      <c r="E64" s="117"/>
      <c r="F64" s="117"/>
      <c r="G64" s="117"/>
      <c r="H64" s="117"/>
      <c r="I64" s="118"/>
    </row>
    <row r="65" spans="2:9">
      <c r="B65" s="104" t="s">
        <v>61</v>
      </c>
      <c r="C65" s="96"/>
      <c r="D65" s="96"/>
      <c r="E65" s="96"/>
      <c r="F65" s="96"/>
      <c r="G65" s="96"/>
      <c r="H65" s="96"/>
      <c r="I65" s="105"/>
    </row>
    <row r="66" spans="2:9">
      <c r="B66" s="108" t="s">
        <v>62</v>
      </c>
      <c r="C66" s="96"/>
      <c r="D66" s="96"/>
      <c r="E66" s="96"/>
      <c r="F66" s="109">
        <f>+'Input Sheet'!D233/'Input Sheet'!D187</f>
        <v>0.23928349280713596</v>
      </c>
      <c r="G66" s="109">
        <f>+'Input Sheet'!E233/'Input Sheet'!E187</f>
        <v>0.22706445826056956</v>
      </c>
      <c r="H66" s="109">
        <f>+'Input Sheet'!F233/'Input Sheet'!F187</f>
        <v>0.22706445826056956</v>
      </c>
      <c r="I66" s="110">
        <f>+'Input Sheet'!G233/'Input Sheet'!G187</f>
        <v>0.22706445826056956</v>
      </c>
    </row>
    <row r="67" spans="2:9">
      <c r="B67" s="112" t="s">
        <v>63</v>
      </c>
      <c r="C67" s="113"/>
      <c r="D67" s="113"/>
      <c r="E67" s="113"/>
      <c r="F67" s="119">
        <f>+'Input Sheet'!D240/'Input Sheet'!D187</f>
        <v>7.2062307274916956E-2</v>
      </c>
      <c r="G67" s="119">
        <f>+'Input Sheet'!E240/'Input Sheet'!E187</f>
        <v>0.1156342548417898</v>
      </c>
      <c r="H67" s="119">
        <f>+'Input Sheet'!F240/'Input Sheet'!F187</f>
        <v>0.10200622339607428</v>
      </c>
      <c r="I67" s="120">
        <f>+'Input Sheet'!G240/'Input Sheet'!G187</f>
        <v>8.9984318451018244E-2</v>
      </c>
    </row>
    <row r="68" spans="2:9">
      <c r="B68" s="106"/>
      <c r="C68" s="96"/>
      <c r="D68" s="96"/>
      <c r="E68" s="96"/>
      <c r="F68" s="96"/>
      <c r="G68" s="96"/>
      <c r="H68" s="96"/>
      <c r="I68" s="105"/>
    </row>
    <row r="69" spans="2:9">
      <c r="B69" s="116" t="s">
        <v>64</v>
      </c>
      <c r="C69" s="117"/>
      <c r="D69" s="117"/>
      <c r="E69" s="117"/>
      <c r="F69" s="117"/>
      <c r="G69" s="117"/>
      <c r="H69" s="117"/>
      <c r="I69" s="121"/>
    </row>
    <row r="70" spans="2:9">
      <c r="B70" s="108" t="s">
        <v>65</v>
      </c>
      <c r="C70" s="96"/>
      <c r="D70" s="96"/>
      <c r="E70" s="96"/>
      <c r="F70" s="109">
        <f>ABS(('Input Sheet'!D196*(1-'Input Sheet'!D209))/'Input Sheet'!D255)</f>
        <v>0.125331052478063</v>
      </c>
      <c r="G70" s="109">
        <f>ABS(('Input Sheet'!E196*(1-'Input Sheet'!E209))/'Input Sheet'!E255)</f>
        <v>0.18071669020484105</v>
      </c>
      <c r="H70" s="109">
        <f>ABS(('Input Sheet'!F196*(1-'Input Sheet'!F209))/'Input Sheet'!F255)</f>
        <v>0.20661376879413937</v>
      </c>
      <c r="I70" s="110">
        <f>ABS(('Input Sheet'!G196*(1-'Input Sheet'!G209))/'Input Sheet'!G255)</f>
        <v>0.2648362724686511</v>
      </c>
    </row>
    <row r="71" spans="2:9">
      <c r="B71" s="108" t="s">
        <v>66</v>
      </c>
      <c r="C71" s="96"/>
      <c r="D71" s="96"/>
      <c r="E71" s="96"/>
      <c r="F71" s="109">
        <f>+'Input Sheet'!D211/'Input Sheet'!D253</f>
        <v>0.41987633342773528</v>
      </c>
      <c r="G71" s="109">
        <f>+'Input Sheet'!E211/'Input Sheet'!E253</f>
        <v>0.49766268343759934</v>
      </c>
      <c r="H71" s="109">
        <f>+'Input Sheet'!F211/'Input Sheet'!F253</f>
        <v>0.49363510557256179</v>
      </c>
      <c r="I71" s="110">
        <f>+'Input Sheet'!G211/'Input Sheet'!G253</f>
        <v>0.52527727577200523</v>
      </c>
    </row>
    <row r="72" spans="2:9">
      <c r="B72" s="108" t="s">
        <v>67</v>
      </c>
      <c r="C72" s="96"/>
      <c r="D72" s="96"/>
      <c r="E72" s="96"/>
      <c r="F72" s="109">
        <f>+('Input Sheet'!D211-'Input Sheet'!C211)/('Input Sheet'!D253-'Input Sheet'!C253)</f>
        <v>-7.9174347455658059E-2</v>
      </c>
      <c r="G72" s="109">
        <f>+('Input Sheet'!E211-'Input Sheet'!D211)/('Input Sheet'!E253-'Input Sheet'!D253)</f>
        <v>-0.33874352690161291</v>
      </c>
      <c r="H72" s="109">
        <f>+('Input Sheet'!F211-'Input Sheet'!E211)/('Input Sheet'!F253-'Input Sheet'!E253)</f>
        <v>0.25370430879216171</v>
      </c>
      <c r="I72" s="110">
        <f>+('Input Sheet'!G211-'Input Sheet'!F211)/('Input Sheet'!G253-'Input Sheet'!F253)</f>
        <v>2.2986229391618234</v>
      </c>
    </row>
    <row r="73" spans="2:9">
      <c r="B73" s="123" t="s">
        <v>68</v>
      </c>
      <c r="C73" s="113"/>
      <c r="D73" s="113"/>
      <c r="E73" s="113"/>
      <c r="F73" s="114">
        <f>+((('Input Sheet'!D211-'Input Sheet'!C211)-('Input Sheet'!D199-'Input Sheet'!C199)-('Input Sheet'!D201-'Input Sheet'!C201))/('Input Sheet'!D255-'Input Sheet'!C255))</f>
        <v>-6.0833480888235106E-2</v>
      </c>
      <c r="G73" s="114">
        <f>+((('Input Sheet'!E211-'Input Sheet'!D211)-('Input Sheet'!E199-'Input Sheet'!D199)-('Input Sheet'!E201-'Input Sheet'!D201))/('Input Sheet'!E255-'Input Sheet'!D255))</f>
        <v>-0.14371097830619717</v>
      </c>
      <c r="H73" s="114">
        <f>+((('Input Sheet'!F211-'Input Sheet'!E211)-('Input Sheet'!F199-'Input Sheet'!E199)-('Input Sheet'!F201-'Input Sheet'!E201))/('Input Sheet'!F255-'Input Sheet'!E255))</f>
        <v>-0.11537467411302689</v>
      </c>
      <c r="I73" s="115">
        <f>+((('Input Sheet'!G211-'Input Sheet'!F211)-('Input Sheet'!G199-'Input Sheet'!F199)-('Input Sheet'!G201-'Input Sheet'!F201))/('Input Sheet'!G255-'Input Sheet'!F255))</f>
        <v>-0.25448421628372109</v>
      </c>
    </row>
    <row r="74" spans="2:9">
      <c r="B74" s="106"/>
      <c r="C74" s="96"/>
      <c r="D74" s="96"/>
      <c r="E74" s="96"/>
      <c r="F74" s="96"/>
      <c r="G74" s="96"/>
      <c r="H74" s="96"/>
      <c r="I74" s="105"/>
    </row>
    <row r="75" spans="2:9">
      <c r="B75" s="116" t="s">
        <v>69</v>
      </c>
      <c r="C75" s="117"/>
      <c r="D75" s="117"/>
      <c r="E75" s="117"/>
      <c r="F75" s="117"/>
      <c r="G75" s="117"/>
      <c r="H75" s="117"/>
      <c r="I75" s="121"/>
    </row>
    <row r="76" spans="2:9">
      <c r="B76" s="108" t="s">
        <v>39</v>
      </c>
      <c r="C76" s="96"/>
      <c r="D76" s="96"/>
      <c r="E76" s="96"/>
      <c r="F76" s="124">
        <f>+'Input Sheet'!D264</f>
        <v>43093</v>
      </c>
      <c r="G76" s="124">
        <f>+'Input Sheet'!E264</f>
        <v>94980.382622548495</v>
      </c>
      <c r="H76" s="124">
        <f>+'Input Sheet'!F264</f>
        <v>99247.273570489604</v>
      </c>
      <c r="I76" s="125">
        <f>+'Input Sheet'!G264</f>
        <v>116656.98885568551</v>
      </c>
    </row>
    <row r="77" spans="2:9">
      <c r="B77" s="112" t="s">
        <v>40</v>
      </c>
      <c r="C77" s="113"/>
      <c r="D77" s="113"/>
      <c r="E77" s="113"/>
      <c r="F77" s="126">
        <f>+'Input Sheet'!D268</f>
        <v>-11358</v>
      </c>
      <c r="G77" s="126">
        <f>+'Input Sheet'!E268</f>
        <v>-5019.6173774515046</v>
      </c>
      <c r="H77" s="126">
        <f>+'Input Sheet'!F268</f>
        <v>-752.72642951039597</v>
      </c>
      <c r="I77" s="127">
        <f>+'Input Sheet'!G268</f>
        <v>16656.988855685515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8"/>
  <sheetViews>
    <sheetView showGridLines="0" workbookViewId="0">
      <selection activeCell="J4" sqref="J4"/>
    </sheetView>
  </sheetViews>
  <sheetFormatPr defaultRowHeight="15"/>
  <cols>
    <col min="1" max="1" width="3.42578125" customWidth="1"/>
    <col min="2" max="2" width="15.42578125" bestFit="1" customWidth="1"/>
    <col min="3" max="7" width="11.140625" bestFit="1" customWidth="1"/>
  </cols>
  <sheetData>
    <row r="1" spans="2:7" s="145" customFormat="1">
      <c r="B1" s="146" t="s">
        <v>74</v>
      </c>
    </row>
    <row r="2" spans="2:7" s="145" customFormat="1"/>
    <row r="4" spans="2:7">
      <c r="B4" s="143" t="s">
        <v>2</v>
      </c>
      <c r="C4" s="1" t="s">
        <v>41</v>
      </c>
      <c r="D4" s="1" t="s">
        <v>42</v>
      </c>
      <c r="E4" s="1" t="s">
        <v>43</v>
      </c>
      <c r="F4" s="1" t="s">
        <v>44</v>
      </c>
      <c r="G4" s="131" t="s">
        <v>45</v>
      </c>
    </row>
    <row r="5" spans="2:7">
      <c r="B5" s="132" t="s">
        <v>47</v>
      </c>
      <c r="C5" s="133">
        <v>489</v>
      </c>
      <c r="D5" s="133">
        <v>534</v>
      </c>
      <c r="E5" s="134">
        <f>+D5*(1+E6)</f>
        <v>566.04000000000008</v>
      </c>
      <c r="F5" s="134">
        <f t="shared" ref="F5:G5" si="0">+E5*(1+F6)</f>
        <v>600.00240000000008</v>
      </c>
      <c r="G5" s="135">
        <f t="shared" si="0"/>
        <v>636.00254400000017</v>
      </c>
    </row>
    <row r="6" spans="2:7">
      <c r="B6" s="136" t="s">
        <v>48</v>
      </c>
      <c r="C6" s="137">
        <v>0.04</v>
      </c>
      <c r="D6" s="137">
        <f>+D5/C5-1</f>
        <v>9.2024539877300526E-2</v>
      </c>
      <c r="E6" s="137">
        <v>0.06</v>
      </c>
      <c r="F6" s="137">
        <v>0.06</v>
      </c>
      <c r="G6" s="138">
        <v>0.06</v>
      </c>
    </row>
    <row r="7" spans="2:7">
      <c r="B7" s="132" t="s">
        <v>49</v>
      </c>
      <c r="C7" s="133">
        <v>1472</v>
      </c>
      <c r="D7" s="133">
        <v>1415</v>
      </c>
      <c r="E7" s="134">
        <f>+D7*(1+E8)</f>
        <v>1457.45</v>
      </c>
      <c r="F7" s="134">
        <f t="shared" ref="F7:G7" si="1">+E7*(1+F8)</f>
        <v>1486.5990000000002</v>
      </c>
      <c r="G7" s="135">
        <f t="shared" si="1"/>
        <v>1516.3309800000002</v>
      </c>
    </row>
    <row r="8" spans="2:7">
      <c r="B8" s="136" t="s">
        <v>48</v>
      </c>
      <c r="C8" s="137">
        <v>0.01</v>
      </c>
      <c r="D8" s="137">
        <f>+D7/C7-1</f>
        <v>-3.8722826086956541E-2</v>
      </c>
      <c r="E8" s="137">
        <v>0.03</v>
      </c>
      <c r="F8" s="137">
        <v>0.02</v>
      </c>
      <c r="G8" s="138">
        <v>0.02</v>
      </c>
    </row>
    <row r="9" spans="2:7">
      <c r="B9" s="132" t="s">
        <v>50</v>
      </c>
      <c r="C9" s="134">
        <f>+C5*C7</f>
        <v>719808</v>
      </c>
      <c r="D9" s="134">
        <f t="shared" ref="D9:G9" si="2">+D5*D7</f>
        <v>755610</v>
      </c>
      <c r="E9" s="134">
        <f t="shared" si="2"/>
        <v>824974.99800000014</v>
      </c>
      <c r="F9" s="134">
        <f t="shared" si="2"/>
        <v>891962.96783760027</v>
      </c>
      <c r="G9" s="135">
        <f t="shared" si="2"/>
        <v>964390.36082601349</v>
      </c>
    </row>
    <row r="10" spans="2:7">
      <c r="B10" s="139" t="s">
        <v>48</v>
      </c>
      <c r="C10" s="140"/>
      <c r="D10" s="141">
        <f>+D9/C9-1</f>
        <v>4.9738263536943217E-2</v>
      </c>
      <c r="E10" s="141">
        <f t="shared" ref="E10:G10" si="3">+E9/D9-1</f>
        <v>9.1800000000000104E-2</v>
      </c>
      <c r="F10" s="141">
        <f t="shared" si="3"/>
        <v>8.1200000000000161E-2</v>
      </c>
      <c r="G10" s="142">
        <f t="shared" si="3"/>
        <v>8.1200000000000161E-2</v>
      </c>
    </row>
    <row r="13" spans="2:7">
      <c r="B13" s="143" t="s">
        <v>70</v>
      </c>
      <c r="C13" s="1" t="s">
        <v>41</v>
      </c>
      <c r="D13" s="1" t="s">
        <v>42</v>
      </c>
      <c r="E13" s="1" t="s">
        <v>43</v>
      </c>
      <c r="F13" s="1" t="s">
        <v>44</v>
      </c>
      <c r="G13" s="131" t="s">
        <v>45</v>
      </c>
    </row>
    <row r="14" spans="2:7">
      <c r="B14" s="132" t="s">
        <v>47</v>
      </c>
      <c r="C14" s="133">
        <v>489</v>
      </c>
      <c r="D14" s="133">
        <v>534</v>
      </c>
      <c r="E14" s="134">
        <f>+D14*(1+E15)</f>
        <v>550.02</v>
      </c>
      <c r="F14" s="134">
        <f t="shared" ref="F14" si="4">+E14*(1+F15)</f>
        <v>566.52059999999994</v>
      </c>
      <c r="G14" s="135">
        <f t="shared" ref="G14" si="5">+F14*(1+G15)</f>
        <v>583.51621799999998</v>
      </c>
    </row>
    <row r="15" spans="2:7">
      <c r="B15" s="136" t="s">
        <v>48</v>
      </c>
      <c r="C15" s="137">
        <v>0.04</v>
      </c>
      <c r="D15" s="137">
        <f>+D14/C14-1</f>
        <v>9.2024539877300526E-2</v>
      </c>
      <c r="E15" s="137">
        <f>+E6-0.03</f>
        <v>0.03</v>
      </c>
      <c r="F15" s="137">
        <f t="shared" ref="F15:G15" si="6">+F6-0.03</f>
        <v>0.03</v>
      </c>
      <c r="G15" s="138">
        <f t="shared" si="6"/>
        <v>0.03</v>
      </c>
    </row>
    <row r="16" spans="2:7">
      <c r="B16" s="132" t="s">
        <v>49</v>
      </c>
      <c r="C16" s="133">
        <v>1472</v>
      </c>
      <c r="D16" s="133">
        <v>1415</v>
      </c>
      <c r="E16" s="134">
        <f>+D16*(1+E17)</f>
        <v>1443.3</v>
      </c>
      <c r="F16" s="134">
        <f t="shared" ref="F16" si="7">+E16*(1+F17)</f>
        <v>1457.7329999999999</v>
      </c>
      <c r="G16" s="135">
        <f t="shared" ref="G16" si="8">+F16*(1+G17)</f>
        <v>1472.31033</v>
      </c>
    </row>
    <row r="17" spans="2:7">
      <c r="B17" s="136" t="s">
        <v>48</v>
      </c>
      <c r="C17" s="137">
        <v>0.01</v>
      </c>
      <c r="D17" s="137">
        <f>+D16/C16-1</f>
        <v>-3.8722826086956541E-2</v>
      </c>
      <c r="E17" s="137">
        <f>+E8-0.01</f>
        <v>1.9999999999999997E-2</v>
      </c>
      <c r="F17" s="137">
        <f t="shared" ref="F17:G17" si="9">+F8-0.01</f>
        <v>0.01</v>
      </c>
      <c r="G17" s="138">
        <f t="shared" si="9"/>
        <v>0.01</v>
      </c>
    </row>
    <row r="18" spans="2:7">
      <c r="B18" s="132" t="s">
        <v>50</v>
      </c>
      <c r="C18" s="134">
        <f>+C14*C16</f>
        <v>719808</v>
      </c>
      <c r="D18" s="134">
        <f t="shared" ref="D18:G18" si="10">+D14*D16</f>
        <v>755610</v>
      </c>
      <c r="E18" s="134">
        <f t="shared" si="10"/>
        <v>793843.86599999992</v>
      </c>
      <c r="F18" s="134">
        <f t="shared" si="10"/>
        <v>825835.77379979985</v>
      </c>
      <c r="G18" s="135">
        <f t="shared" si="10"/>
        <v>859116.95548393193</v>
      </c>
    </row>
    <row r="19" spans="2:7">
      <c r="B19" s="139" t="s">
        <v>48</v>
      </c>
      <c r="C19" s="140"/>
      <c r="D19" s="141">
        <f>+D18/C18-1</f>
        <v>4.9738263536943217E-2</v>
      </c>
      <c r="E19" s="141">
        <f t="shared" ref="E19" si="11">+E18/D18-1</f>
        <v>5.0599999999999978E-2</v>
      </c>
      <c r="F19" s="141">
        <f t="shared" ref="F19" si="12">+F18/E18-1</f>
        <v>4.0300000000000002E-2</v>
      </c>
      <c r="G19" s="142">
        <f t="shared" ref="G19" si="13">+G18/F18-1</f>
        <v>4.0300000000000225E-2</v>
      </c>
    </row>
    <row r="22" spans="2:7">
      <c r="B22" s="143" t="s">
        <v>71</v>
      </c>
      <c r="C22" s="1" t="s">
        <v>41</v>
      </c>
      <c r="D22" s="1" t="s">
        <v>42</v>
      </c>
      <c r="E22" s="1" t="s">
        <v>43</v>
      </c>
      <c r="F22" s="1" t="s">
        <v>44</v>
      </c>
      <c r="G22" s="131" t="s">
        <v>45</v>
      </c>
    </row>
    <row r="23" spans="2:7">
      <c r="B23" s="132" t="s">
        <v>47</v>
      </c>
      <c r="C23" s="133">
        <v>489</v>
      </c>
      <c r="D23" s="133">
        <v>534</v>
      </c>
      <c r="E23" s="134">
        <f>+D23*(1+E24)</f>
        <v>582.06000000000006</v>
      </c>
      <c r="F23" s="134">
        <f t="shared" ref="F23" si="14">+E23*(1+F24)</f>
        <v>634.44540000000006</v>
      </c>
      <c r="G23" s="135">
        <f t="shared" ref="G23" si="15">+F23*(1+G24)</f>
        <v>691.5454860000001</v>
      </c>
    </row>
    <row r="24" spans="2:7">
      <c r="B24" s="136" t="s">
        <v>48</v>
      </c>
      <c r="C24" s="137">
        <v>0.04</v>
      </c>
      <c r="D24" s="137">
        <f>+D23/C23-1</f>
        <v>9.2024539877300526E-2</v>
      </c>
      <c r="E24" s="137">
        <f>+E6+0.03</f>
        <v>0.09</v>
      </c>
      <c r="F24" s="137">
        <f t="shared" ref="F24:G24" si="16">+F6+0.03</f>
        <v>0.09</v>
      </c>
      <c r="G24" s="138">
        <f t="shared" si="16"/>
        <v>0.09</v>
      </c>
    </row>
    <row r="25" spans="2:7">
      <c r="B25" s="132" t="s">
        <v>49</v>
      </c>
      <c r="C25" s="133">
        <v>1472</v>
      </c>
      <c r="D25" s="133">
        <v>1415</v>
      </c>
      <c r="E25" s="134">
        <f>+D25*(1+E26)</f>
        <v>1485.75</v>
      </c>
      <c r="F25" s="134">
        <f t="shared" ref="F25" si="17">+E25*(1+F26)</f>
        <v>1545.18</v>
      </c>
      <c r="G25" s="135">
        <f t="shared" ref="G25" si="18">+F25*(1+G26)</f>
        <v>1606.9872</v>
      </c>
    </row>
    <row r="26" spans="2:7">
      <c r="B26" s="136" t="s">
        <v>48</v>
      </c>
      <c r="C26" s="137">
        <v>0.01</v>
      </c>
      <c r="D26" s="137">
        <f>+D25/C25-1</f>
        <v>-3.8722826086956541E-2</v>
      </c>
      <c r="E26" s="137">
        <f>+E8+0.02</f>
        <v>0.05</v>
      </c>
      <c r="F26" s="137">
        <f t="shared" ref="F26:G26" si="19">+F8+0.02</f>
        <v>0.04</v>
      </c>
      <c r="G26" s="138">
        <f t="shared" si="19"/>
        <v>0.04</v>
      </c>
    </row>
    <row r="27" spans="2:7">
      <c r="B27" s="132" t="s">
        <v>50</v>
      </c>
      <c r="C27" s="134">
        <f>+C23*C25</f>
        <v>719808</v>
      </c>
      <c r="D27" s="134">
        <f t="shared" ref="D27:G27" si="20">+D23*D25</f>
        <v>755610</v>
      </c>
      <c r="E27" s="134">
        <f t="shared" si="20"/>
        <v>864795.64500000014</v>
      </c>
      <c r="F27" s="134">
        <f t="shared" si="20"/>
        <v>980332.34317200014</v>
      </c>
      <c r="G27" s="135">
        <f t="shared" si="20"/>
        <v>1111304.7442197793</v>
      </c>
    </row>
    <row r="28" spans="2:7">
      <c r="B28" s="139" t="s">
        <v>48</v>
      </c>
      <c r="C28" s="140"/>
      <c r="D28" s="141">
        <f>+D27/C27-1</f>
        <v>4.9738263536943217E-2</v>
      </c>
      <c r="E28" s="141">
        <f t="shared" ref="E28" si="21">+E27/D27-1</f>
        <v>0.14450000000000007</v>
      </c>
      <c r="F28" s="141">
        <f t="shared" ref="F28" si="22">+F27/E27-1</f>
        <v>0.13359999999999994</v>
      </c>
      <c r="G28" s="142">
        <f t="shared" ref="G28" si="23">+G27/F27-1</f>
        <v>0.13359999999999994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Sheet</vt:lpstr>
      <vt:lpstr>Output Sheet</vt:lpstr>
      <vt:lpstr>Valuation</vt:lpstr>
      <vt:lpstr>Assumptions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2016-10-26T10:40:05Z</dcterms:created>
  <dcterms:modified xsi:type="dcterms:W3CDTF">2016-11-07T05:59:47Z</dcterms:modified>
</cp:coreProperties>
</file>