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boh/OneDrive - Confederation College/2018_Fall/CP350_Critical Thinking and Analysis II/Assigment-1/"/>
    </mc:Choice>
  </mc:AlternateContent>
  <xr:revisionPtr revIDLastSave="1" documentId="8_{9D8D9356-3BB6-5B4E-B26A-35FD5A3731A6}" xr6:coauthVersionLast="40" xr6:coauthVersionMax="40" xr10:uidLastSave="{49D4B63A-71DB-4E4D-94A2-68FCDA999DE5}"/>
  <bookViews>
    <workbookView xWindow="0" yWindow="460" windowWidth="28800" windowHeight="17540" xr2:uid="{D7BD8061-66B8-124B-8019-55BFCD26A11E}"/>
    <workbookView xWindow="420" yWindow="460" windowWidth="27980" windowHeight="17220" xr2:uid="{9DE88EB9-86E1-FB4C-985D-1E6F6572FD52}"/>
  </bookViews>
  <sheets>
    <sheet name="Planner" sheetId="5" r:id="rId1"/>
    <sheet name="ListControl" sheetId="6" r:id="rId2"/>
    <sheet name="ListControlNum" sheetId="7" r:id="rId3"/>
    <sheet name="ListMethod" sheetId="8" r:id="rId4"/>
    <sheet name="ListMethodNum" sheetId="9" r:id="rId5"/>
  </sheets>
  <definedNames>
    <definedName name="GPA" localSheetId="3">#REF!</definedName>
    <definedName name="GPA" localSheetId="4">#REF!</definedName>
    <definedName name="GPA">#REF!</definedName>
    <definedName name="Requirement" localSheetId="3">#REF!</definedName>
    <definedName name="Requirement" localSheetId="4">#REF!</definedName>
    <definedName name="Requirement">#REF!</definedName>
    <definedName name="showGPA" localSheetId="3">#REF!</definedName>
    <definedName name="showGPA" localSheetId="4">#REF!</definedName>
    <definedName name="showGPA">#REF!</definedName>
    <definedName name="StartTime" localSheetId="1">#REF!</definedName>
    <definedName name="StartTime" localSheetId="3">#REF!</definedName>
    <definedName name="StartTime" localSheetId="4">#REF!</definedName>
    <definedName name="StartTime">#REF!</definedName>
    <definedName name="termSelect" localSheetId="3">#REF!</definedName>
    <definedName name="termSelect" localSheetId="4">#REF!</definedName>
    <definedName name="termSelect">#REF!</definedName>
    <definedName name="TimeInterval" localSheetId="1">#REF!</definedName>
    <definedName name="TimeInterval" localSheetId="3">#REF!</definedName>
    <definedName name="TimeInterval" localSheetId="4">#REF!</definedName>
    <definedName name="TimeInterv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E19" i="5"/>
  <c r="F19" i="5"/>
  <c r="G19" i="5"/>
  <c r="E20" i="5"/>
  <c r="F20" i="5"/>
  <c r="G20" i="5"/>
  <c r="H20" i="5" s="1"/>
  <c r="E21" i="5"/>
  <c r="F21" i="5"/>
  <c r="G21" i="5"/>
  <c r="E22" i="5"/>
  <c r="F22" i="5"/>
  <c r="G22" i="5"/>
  <c r="D14" i="5"/>
  <c r="E23" i="5"/>
  <c r="H23" i="5" s="1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H32" i="5" s="1"/>
  <c r="F32" i="5"/>
  <c r="E33" i="5"/>
  <c r="H33" i="5" s="1"/>
  <c r="F33" i="5"/>
  <c r="E34" i="5"/>
  <c r="H34" i="5" s="1"/>
  <c r="F34" i="5"/>
  <c r="E35" i="5"/>
  <c r="H35" i="5" s="1"/>
  <c r="F35" i="5"/>
  <c r="E36" i="5"/>
  <c r="H36" i="5" s="1"/>
  <c r="F36" i="5"/>
  <c r="E37" i="5"/>
  <c r="H37" i="5" s="1"/>
  <c r="F37" i="5"/>
  <c r="E38" i="5"/>
  <c r="H38" i="5" s="1"/>
  <c r="F38" i="5"/>
  <c r="E39" i="5"/>
  <c r="H39" i="5" s="1"/>
  <c r="F39" i="5"/>
  <c r="G39" i="5"/>
  <c r="E40" i="5"/>
  <c r="H40" i="5" s="1"/>
  <c r="F40" i="5"/>
  <c r="G40" i="5"/>
  <c r="E41" i="5"/>
  <c r="H41" i="5" s="1"/>
  <c r="F41" i="5"/>
  <c r="G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C46" i="5"/>
  <c r="C14" i="5"/>
  <c r="D36" i="8"/>
  <c r="D45" i="8"/>
  <c r="D44" i="8"/>
  <c r="D43" i="8"/>
  <c r="D42" i="8"/>
  <c r="D41" i="8"/>
  <c r="D40" i="8"/>
  <c r="D38" i="8"/>
  <c r="D37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39" i="8"/>
  <c r="H29" i="5" l="1"/>
  <c r="H25" i="5"/>
  <c r="D13" i="5"/>
  <c r="D15" i="5" s="1"/>
  <c r="H30" i="5"/>
  <c r="H24" i="5"/>
  <c r="H28" i="5"/>
  <c r="H26" i="5"/>
  <c r="H31" i="5"/>
  <c r="H27" i="5"/>
  <c r="H21" i="5"/>
  <c r="H19" i="5"/>
  <c r="H22" i="5"/>
  <c r="H46" i="5" s="1"/>
  <c r="E46" i="5" s="1"/>
  <c r="C13" i="5"/>
  <c r="G46" i="5"/>
  <c r="E14" i="5"/>
  <c r="C46" i="8"/>
  <c r="G45" i="8"/>
  <c r="F45" i="8"/>
  <c r="E45" i="8"/>
  <c r="H45" i="8" s="1"/>
  <c r="G44" i="8"/>
  <c r="F44" i="8"/>
  <c r="E44" i="8"/>
  <c r="H44" i="8" s="1"/>
  <c r="H43" i="8"/>
  <c r="G43" i="8"/>
  <c r="F43" i="8"/>
  <c r="E43" i="8"/>
  <c r="G42" i="8"/>
  <c r="F42" i="8"/>
  <c r="E42" i="8"/>
  <c r="H42" i="8" s="1"/>
  <c r="G41" i="8"/>
  <c r="F41" i="8"/>
  <c r="E41" i="8"/>
  <c r="H41" i="8" s="1"/>
  <c r="G40" i="8"/>
  <c r="F40" i="8"/>
  <c r="E40" i="8"/>
  <c r="H40" i="8" s="1"/>
  <c r="G39" i="8"/>
  <c r="F39" i="8"/>
  <c r="E39" i="8"/>
  <c r="H39" i="8" s="1"/>
  <c r="F38" i="8"/>
  <c r="E38" i="8"/>
  <c r="H38" i="8" s="1"/>
  <c r="F37" i="8"/>
  <c r="E37" i="8"/>
  <c r="H37" i="8" s="1"/>
  <c r="F36" i="8"/>
  <c r="E36" i="8"/>
  <c r="H36" i="8" s="1"/>
  <c r="F35" i="8"/>
  <c r="E35" i="8"/>
  <c r="H35" i="8" s="1"/>
  <c r="F34" i="8"/>
  <c r="E34" i="8"/>
  <c r="H34" i="8" s="1"/>
  <c r="F33" i="8"/>
  <c r="E33" i="8"/>
  <c r="H33" i="8" s="1"/>
  <c r="F32" i="8"/>
  <c r="E32" i="8"/>
  <c r="H32" i="8" s="1"/>
  <c r="G31" i="8"/>
  <c r="F31" i="8"/>
  <c r="E31" i="8"/>
  <c r="G30" i="8"/>
  <c r="F30" i="8"/>
  <c r="E30" i="8"/>
  <c r="H30" i="8" s="1"/>
  <c r="G29" i="8"/>
  <c r="F29" i="8"/>
  <c r="E29" i="8"/>
  <c r="H29" i="8" s="1"/>
  <c r="G28" i="8"/>
  <c r="H28" i="8" s="1"/>
  <c r="F28" i="8"/>
  <c r="E28" i="8"/>
  <c r="G27" i="8"/>
  <c r="F27" i="8"/>
  <c r="E27" i="8"/>
  <c r="G26" i="8"/>
  <c r="F26" i="8"/>
  <c r="E26" i="8"/>
  <c r="H26" i="8" s="1"/>
  <c r="G25" i="8"/>
  <c r="F25" i="8"/>
  <c r="E25" i="8"/>
  <c r="H25" i="8" s="1"/>
  <c r="G24" i="8"/>
  <c r="F24" i="8"/>
  <c r="E24" i="8"/>
  <c r="H23" i="8"/>
  <c r="G23" i="8"/>
  <c r="F23" i="8"/>
  <c r="E23" i="8"/>
  <c r="G22" i="8"/>
  <c r="F22" i="8"/>
  <c r="E22" i="8"/>
  <c r="G21" i="8"/>
  <c r="F21" i="8"/>
  <c r="E21" i="8"/>
  <c r="H21" i="8" s="1"/>
  <c r="G20" i="8"/>
  <c r="F20" i="8"/>
  <c r="E20" i="8"/>
  <c r="G19" i="8"/>
  <c r="F19" i="8"/>
  <c r="E19" i="8"/>
  <c r="E13" i="5" l="1"/>
  <c r="G46" i="8"/>
  <c r="H22" i="8"/>
  <c r="D13" i="8"/>
  <c r="E13" i="8" s="1"/>
  <c r="H20" i="8"/>
  <c r="C13" i="8"/>
  <c r="H19" i="8"/>
  <c r="C14" i="8"/>
  <c r="H27" i="8"/>
  <c r="C15" i="5"/>
  <c r="H31" i="8"/>
  <c r="E15" i="5"/>
  <c r="D14" i="8"/>
  <c r="E14" i="8" s="1"/>
  <c r="H24" i="8"/>
  <c r="C14" i="6"/>
  <c r="G45" i="6"/>
  <c r="F45" i="6"/>
  <c r="E45" i="6"/>
  <c r="H45" i="6" s="1"/>
  <c r="G44" i="6"/>
  <c r="F44" i="6"/>
  <c r="E44" i="6"/>
  <c r="G43" i="6"/>
  <c r="F43" i="6"/>
  <c r="E43" i="6"/>
  <c r="G42" i="6"/>
  <c r="F42" i="6"/>
  <c r="E42" i="6"/>
  <c r="G41" i="6"/>
  <c r="F41" i="6"/>
  <c r="E41" i="6"/>
  <c r="H41" i="6" s="1"/>
  <c r="G40" i="6"/>
  <c r="F40" i="6"/>
  <c r="E40" i="6"/>
  <c r="G39" i="6"/>
  <c r="H39" i="6" s="1"/>
  <c r="F39" i="6"/>
  <c r="E39" i="6"/>
  <c r="F38" i="6"/>
  <c r="E38" i="6"/>
  <c r="H38" i="6" s="1"/>
  <c r="F37" i="6"/>
  <c r="E37" i="6"/>
  <c r="H37" i="6" s="1"/>
  <c r="F36" i="6"/>
  <c r="E36" i="6"/>
  <c r="H36" i="6" s="1"/>
  <c r="F35" i="6"/>
  <c r="E35" i="6"/>
  <c r="H35" i="6" s="1"/>
  <c r="F34" i="6"/>
  <c r="E34" i="6"/>
  <c r="H34" i="6" s="1"/>
  <c r="F33" i="6"/>
  <c r="E33" i="6"/>
  <c r="H33" i="6" s="1"/>
  <c r="F32" i="6"/>
  <c r="E32" i="6"/>
  <c r="H32" i="6" s="1"/>
  <c r="G31" i="6"/>
  <c r="F31" i="6"/>
  <c r="E31" i="6"/>
  <c r="H31" i="6" s="1"/>
  <c r="G30" i="6"/>
  <c r="F30" i="6"/>
  <c r="E30" i="6"/>
  <c r="H30" i="6" s="1"/>
  <c r="G29" i="6"/>
  <c r="F29" i="6"/>
  <c r="E29" i="6"/>
  <c r="G28" i="6"/>
  <c r="F28" i="6"/>
  <c r="E28" i="6"/>
  <c r="G27" i="6"/>
  <c r="F27" i="6"/>
  <c r="E27" i="6"/>
  <c r="H27" i="6" s="1"/>
  <c r="G26" i="6"/>
  <c r="F26" i="6"/>
  <c r="E26" i="6"/>
  <c r="G25" i="6"/>
  <c r="F25" i="6"/>
  <c r="E25" i="6"/>
  <c r="G24" i="6"/>
  <c r="D14" i="6" s="1"/>
  <c r="F24" i="6"/>
  <c r="E24" i="6"/>
  <c r="G23" i="6"/>
  <c r="F23" i="6"/>
  <c r="E23" i="6"/>
  <c r="H23" i="6" s="1"/>
  <c r="G22" i="6"/>
  <c r="F22" i="6"/>
  <c r="E22" i="6"/>
  <c r="G21" i="6"/>
  <c r="F21" i="6"/>
  <c r="E21" i="6"/>
  <c r="G20" i="6"/>
  <c r="F20" i="6"/>
  <c r="E20" i="6"/>
  <c r="G19" i="6"/>
  <c r="C13" i="6" s="1"/>
  <c r="C15" i="6" s="1"/>
  <c r="F19" i="6"/>
  <c r="E19" i="6"/>
  <c r="H19" i="6" s="1"/>
  <c r="E14" i="6"/>
  <c r="H22" i="6" l="1"/>
  <c r="H26" i="6"/>
  <c r="G46" i="6"/>
  <c r="D13" i="6"/>
  <c r="D15" i="6" s="1"/>
  <c r="D9" i="6" s="1"/>
  <c r="E9" i="6" s="1"/>
  <c r="H46" i="8"/>
  <c r="E46" i="8" s="1"/>
  <c r="C15" i="8"/>
  <c r="H44" i="6"/>
  <c r="H43" i="6"/>
  <c r="H42" i="6"/>
  <c r="H40" i="6"/>
  <c r="H29" i="6"/>
  <c r="H28" i="6"/>
  <c r="H25" i="6"/>
  <c r="H21" i="6"/>
  <c r="H20" i="6"/>
  <c r="H24" i="6"/>
  <c r="D15" i="8"/>
  <c r="D9" i="8" s="1"/>
  <c r="E9" i="8" s="1"/>
  <c r="E15" i="8"/>
  <c r="B9" i="8" s="1"/>
  <c r="D7" i="8"/>
  <c r="E7" i="8" s="1"/>
  <c r="B7" i="8"/>
  <c r="E13" i="6" l="1"/>
  <c r="E15" i="6" s="1"/>
  <c r="B9" i="6" s="1"/>
  <c r="H46" i="6"/>
  <c r="E46" i="6" s="1"/>
  <c r="B7" i="6" s="1"/>
  <c r="D7" i="6" l="1"/>
  <c r="E7" i="6" s="1"/>
  <c r="D9" i="5"/>
  <c r="E9" i="5" s="1"/>
  <c r="B9" i="5" l="1"/>
  <c r="D7" i="5" l="1"/>
  <c r="E7" i="5" s="1"/>
  <c r="B7" i="5" l="1"/>
</calcChain>
</file>

<file path=xl/sharedStrings.xml><?xml version="1.0" encoding="utf-8"?>
<sst xmlns="http://schemas.openxmlformats.org/spreadsheetml/2006/main" count="268" uniqueCount="126">
  <si>
    <t>TOTAL</t>
  </si>
  <si>
    <t>No</t>
  </si>
  <si>
    <t>Confederation College</t>
  </si>
  <si>
    <t>GPA PLANNER</t>
  </si>
  <si>
    <t>Current GPA / Outstanding GPA</t>
  </si>
  <si>
    <t>Control Name</t>
  </si>
  <si>
    <t>Control Type</t>
  </si>
  <si>
    <t>Label</t>
  </si>
  <si>
    <t>Property</t>
  </si>
  <si>
    <t>Lable</t>
  </si>
  <si>
    <t>Status Bar</t>
  </si>
  <si>
    <t>Graphics, Text</t>
  </si>
  <si>
    <t>Persuasive Writing</t>
  </si>
  <si>
    <t>Critical Thinking &amp; Analysis I</t>
  </si>
  <si>
    <t>OOP with NET I</t>
  </si>
  <si>
    <t>Web Programming &amp; Design</t>
  </si>
  <si>
    <t>OOP with Net II</t>
  </si>
  <si>
    <t>Event-driven Programming .NET</t>
  </si>
  <si>
    <t>Advanced Web Applications</t>
  </si>
  <si>
    <t>Database Design and SQL</t>
  </si>
  <si>
    <t>User Experience Theory</t>
  </si>
  <si>
    <t>Communications for Technology</t>
  </si>
  <si>
    <t>Mathematics I</t>
  </si>
  <si>
    <t>Design Patterns and Testing</t>
  </si>
  <si>
    <t>Critical Thinking &amp; Analysis II</t>
  </si>
  <si>
    <t>Req Analysis and Process Modelling</t>
  </si>
  <si>
    <t>Software Config Management</t>
  </si>
  <si>
    <t>ASP.NET</t>
  </si>
  <si>
    <t>OOP with JAVA</t>
  </si>
  <si>
    <t>Mobile Computing</t>
  </si>
  <si>
    <t>Major Project</t>
  </si>
  <si>
    <t>OO Analysis and Design</t>
  </si>
  <si>
    <t>Open Source Programming</t>
  </si>
  <si>
    <t>Preparing for the Workplace</t>
  </si>
  <si>
    <t>CP Work Placement</t>
  </si>
  <si>
    <t>Networks and Data Security</t>
  </si>
  <si>
    <t>Quality Points</t>
  </si>
  <si>
    <t>Letter Grade</t>
  </si>
  <si>
    <t>A</t>
  </si>
  <si>
    <t>B</t>
  </si>
  <si>
    <t>C</t>
  </si>
  <si>
    <t>D</t>
  </si>
  <si>
    <t>F</t>
  </si>
  <si>
    <t>Numeric Grade</t>
  </si>
  <si>
    <t>Percentage grade</t>
  </si>
  <si>
    <t>Course title</t>
  </si>
  <si>
    <t>General Elective 1</t>
  </si>
  <si>
    <t>General Elective 2</t>
  </si>
  <si>
    <t>General Elective 3</t>
  </si>
  <si>
    <t>Passed</t>
  </si>
  <si>
    <t>Requirement</t>
  </si>
  <si>
    <t>Total Creadit Hours</t>
  </si>
  <si>
    <t>Major</t>
  </si>
  <si>
    <t>Elective</t>
  </si>
  <si>
    <t>Major : Computer Programmer</t>
  </si>
  <si>
    <t xml:space="preserve">GPA PLANNER </t>
  </si>
  <si>
    <t>Summary</t>
  </si>
  <si>
    <t>Earned Hours</t>
  </si>
  <si>
    <t>Requried Hours</t>
  </si>
  <si>
    <t>Term</t>
  </si>
  <si>
    <t>Credit Hours</t>
  </si>
  <si>
    <t>Avg, GPA, Sum, Sum</t>
  </si>
  <si>
    <t>Enter Percentage Grade</t>
  </si>
  <si>
    <t>Major: Computer Program Diploma</t>
  </si>
  <si>
    <t>Required hours / Total creadit hours</t>
  </si>
  <si>
    <t>Text</t>
  </si>
  <si>
    <t>lbSchoolName</t>
  </si>
  <si>
    <t>lbProgramName</t>
  </si>
  <si>
    <t>lbDiplomaName</t>
  </si>
  <si>
    <t>lbSummary</t>
  </si>
  <si>
    <t>lbGPA</t>
  </si>
  <si>
    <t>lbRequreHours</t>
  </si>
  <si>
    <t>sbGpaNumber</t>
  </si>
  <si>
    <t>sbCreditHours</t>
  </si>
  <si>
    <t>lbStatusGPA</t>
  </si>
  <si>
    <t>lbStatusHours</t>
  </si>
  <si>
    <t>lstHourSummary</t>
  </si>
  <si>
    <t>ListBox</t>
  </si>
  <si>
    <t>lbIcon</t>
  </si>
  <si>
    <t>Text, Icon</t>
  </si>
  <si>
    <t>lstGradeTable</t>
  </si>
  <si>
    <t>lstCourseTitle</t>
  </si>
  <si>
    <t>txtInputGrade</t>
  </si>
  <si>
    <t>TextBox</t>
  </si>
  <si>
    <t>lstIsPassed</t>
  </si>
  <si>
    <t>lstNumericGrade</t>
  </si>
  <si>
    <t>lstLetterGrade</t>
  </si>
  <si>
    <t>lstCreditHours</t>
  </si>
  <si>
    <t>lstTerm</t>
  </si>
  <si>
    <t>lstQualityPoint</t>
  </si>
  <si>
    <t>Method Name</t>
  </si>
  <si>
    <t>Description</t>
  </si>
  <si>
    <t>Calculate current GPA and show with outstand GPA for graduation</t>
  </si>
  <si>
    <t>GpaBar</t>
  </si>
  <si>
    <t>Calcuate and show how much GPA need, if not enough, bar colour will be red and number show minus. If enough, bar show gree and number show plus</t>
  </si>
  <si>
    <t>Summary (You have to meet both GPA and Required hour creadit for graduation)</t>
  </si>
  <si>
    <t>GpaCompare</t>
  </si>
  <si>
    <t>IsGpaEnough</t>
  </si>
  <si>
    <t>Calculate currently need requried hours and show with Total Credit hours  for graduation</t>
  </si>
  <si>
    <t>RequiredHourCompare</t>
  </si>
  <si>
    <t>HoursBar</t>
  </si>
  <si>
    <t>Calcuate and show how much creadit hours need, if not enough, bar colour will be orange and number show required hours. If enough, bar show green and number show 0</t>
  </si>
  <si>
    <t>IsHoursEnough</t>
  </si>
  <si>
    <t>If GPA is not enough show the message "You need to increase GPA [numbr] for graduation", if enough "your GPA meets to grduation"</t>
  </si>
  <si>
    <t>If credit hours are not enough, show the message "You need to obtain [number] more credit hours for graduation", if enough "You've obtained all credit hours to graduate"</t>
  </si>
  <si>
    <t>CreditHours</t>
  </si>
  <si>
    <t>Show Sum of total credit hours of Major and Elective</t>
  </si>
  <si>
    <t>Show Sum of earned hours of Major and Elective</t>
  </si>
  <si>
    <t>Show Sum of requried credit hours of Major and Elective</t>
  </si>
  <si>
    <t>PrtCoursTitle</t>
  </si>
  <si>
    <t>List all course title</t>
  </si>
  <si>
    <t>getPctGrade</t>
  </si>
  <si>
    <t>PrtNumericGrade</t>
  </si>
  <si>
    <t>PrtLetterGrade</t>
  </si>
  <si>
    <t>PrtCreditHours</t>
  </si>
  <si>
    <t>List all credit hours</t>
  </si>
  <si>
    <t>QualityPoints</t>
  </si>
  <si>
    <t>Show Credit hours * Numeric grade</t>
  </si>
  <si>
    <t>IsPassed</t>
  </si>
  <si>
    <t>If number is exist and if percentage grade is greater than 50 show passed, other wise show fail. If number does not exist show required</t>
  </si>
  <si>
    <t>0.0</t>
  </si>
  <si>
    <t>Get Percentage grade from user, vaildation check for number</t>
  </si>
  <si>
    <t>PrtTerm</t>
  </si>
  <si>
    <t>List all courses term</t>
  </si>
  <si>
    <t>Base on grade table, show to Numeric grade</t>
  </si>
  <si>
    <t>Base on grade table, show to 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</si>
</sst>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4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12"/>
      <color theme="0" tint="-0.34998626667073579"/>
      <name val="Arial"/>
      <family val="2"/>
      <scheme val="minor"/>
    </font>
    <font>
      <sz val="10"/>
      <color theme="1"/>
      <name val="Arial (Body)_x0000_"/>
    </font>
    <font>
      <sz val="10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ajor"/>
    </font>
    <font>
      <sz val="12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12"/>
      <name val="Arial"/>
      <family val="2"/>
      <scheme val="minor"/>
    </font>
    <font>
      <b/>
      <sz val="22"/>
      <color theme="4" tint="-0.499984740745262"/>
      <name val="Arial"/>
      <family val="2"/>
      <scheme val="minor"/>
    </font>
    <font>
      <sz val="10"/>
      <color theme="3"/>
      <name val="Arial"/>
      <family val="2"/>
      <scheme val="minor"/>
    </font>
    <font>
      <b/>
      <sz val="12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theme="0" tint="-0.34998626667073579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FA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</borders>
  <cellStyleXfs count="5">
    <xf numFmtId="0" fontId="0" fillId="3" borderId="0">
      <alignment horizontal="left" vertical="center"/>
    </xf>
    <xf numFmtId="0" fontId="4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Protection="0">
      <alignment vertical="center"/>
    </xf>
  </cellStyleXfs>
  <cellXfs count="191">
    <xf numFmtId="0" fontId="0" fillId="3" borderId="0" xfId="0">
      <alignment horizontal="left" vertical="center"/>
    </xf>
    <xf numFmtId="0" fontId="3" fillId="0" borderId="0" xfId="0" applyFont="1" applyFill="1">
      <alignment horizontal="left" vertical="center"/>
    </xf>
    <xf numFmtId="0" fontId="7" fillId="0" borderId="0" xfId="0" applyFont="1" applyFill="1">
      <alignment horizontal="left" vertical="center"/>
    </xf>
    <xf numFmtId="0" fontId="8" fillId="0" borderId="0" xfId="0" applyFont="1" applyFill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0" fillId="2" borderId="0" xfId="2" applyFont="1" applyAlignment="1">
      <alignment horizontal="center" vertical="center" wrapText="1"/>
    </xf>
    <xf numFmtId="0" fontId="6" fillId="9" borderId="0" xfId="0" applyFont="1" applyFill="1">
      <alignment horizontal="left" vertical="center"/>
    </xf>
    <xf numFmtId="164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9" fillId="3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164" fontId="8" fillId="0" borderId="0" xfId="0" applyNumberFormat="1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1" fontId="17" fillId="0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164" fontId="21" fillId="5" borderId="0" xfId="0" applyNumberFormat="1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" fontId="6" fillId="1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164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horizontal="left" vertical="center"/>
    </xf>
    <xf numFmtId="0" fontId="3" fillId="6" borderId="0" xfId="0" applyFont="1" applyFill="1">
      <alignment horizontal="left" vertical="center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>
      <alignment horizontal="left" vertical="center"/>
    </xf>
    <xf numFmtId="16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>
      <alignment horizontal="left" vertical="center"/>
    </xf>
    <xf numFmtId="164" fontId="3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2" fontId="17" fillId="11" borderId="0" xfId="0" applyNumberFormat="1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/>
    </xf>
    <xf numFmtId="164" fontId="8" fillId="0" borderId="0" xfId="0" applyNumberFormat="1" applyFont="1" applyFill="1" applyAlignment="1" applyProtection="1">
      <alignment horizontal="left" vertical="center" wrapText="1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2" xfId="4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 vertical="center"/>
      <protection locked="0"/>
    </xf>
    <xf numFmtId="0" fontId="15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164" fontId="8" fillId="0" borderId="0" xfId="0" applyNumberFormat="1" applyFont="1" applyFill="1" applyAlignment="1" applyProtection="1">
      <alignment horizontal="left" vertical="center" wrapText="1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left" vertical="center"/>
      <protection locked="0"/>
    </xf>
    <xf numFmtId="0" fontId="12" fillId="2" borderId="0" xfId="0" applyFont="1" applyFill="1" applyAlignment="1" applyProtection="1">
      <alignment horizontal="left" vertical="center" wrapText="1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horizontal="left" vertical="center" wrapText="1"/>
      <protection locked="0"/>
    </xf>
    <xf numFmtId="2" fontId="17" fillId="11" borderId="0" xfId="0" applyNumberFormat="1" applyFont="1" applyFill="1" applyAlignment="1" applyProtection="1">
      <alignment horizontal="center" vertical="center" wrapText="1"/>
      <protection locked="0"/>
    </xf>
    <xf numFmtId="164" fontId="21" fillId="5" borderId="0" xfId="0" applyNumberFormat="1" applyFont="1" applyFill="1" applyAlignment="1" applyProtection="1">
      <alignment horizontal="left" vertical="center"/>
      <protection locked="0"/>
    </xf>
    <xf numFmtId="0" fontId="19" fillId="5" borderId="0" xfId="0" applyFont="1" applyFill="1" applyAlignment="1" applyProtection="1">
      <alignment horizontal="center" vertical="center" wrapText="1"/>
      <protection locked="0"/>
    </xf>
    <xf numFmtId="0" fontId="20" fillId="5" borderId="0" xfId="0" applyFont="1" applyFill="1" applyAlignment="1" applyProtection="1">
      <alignment horizontal="left" vertical="center"/>
      <protection locked="0"/>
    </xf>
    <xf numFmtId="1" fontId="17" fillId="0" borderId="0" xfId="0" applyNumberFormat="1" applyFont="1" applyFill="1" applyAlignment="1" applyProtection="1">
      <alignment horizontal="center" vertical="center" wrapText="1"/>
      <protection locked="0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5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164" fontId="8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Font="1" applyFill="1" applyProtection="1">
      <alignment horizontal="left" vertical="center"/>
      <protection locked="0"/>
    </xf>
    <xf numFmtId="0" fontId="10" fillId="2" borderId="0" xfId="2" applyFont="1" applyAlignment="1" applyProtection="1">
      <alignment horizontal="center" vertical="center" wrapText="1"/>
      <protection locked="0"/>
    </xf>
    <xf numFmtId="0" fontId="9" fillId="3" borderId="0" xfId="0" applyFont="1" applyAlignment="1" applyProtection="1">
      <alignment horizontal="center" vertical="center" wrapText="1"/>
      <protection locked="0"/>
    </xf>
    <xf numFmtId="0" fontId="3" fillId="5" borderId="0" xfId="0" applyFont="1" applyFill="1" applyAlignment="1" applyProtection="1">
      <alignment horizontal="left" vertical="center"/>
      <protection locked="0"/>
    </xf>
    <xf numFmtId="164" fontId="3" fillId="5" borderId="0" xfId="0" applyNumberFormat="1" applyFont="1" applyFill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164" fontId="9" fillId="0" borderId="0" xfId="0" applyNumberFormat="1" applyFont="1" applyFill="1" applyAlignment="1" applyProtection="1">
      <alignment horizontal="center" vertical="center" wrapText="1"/>
      <protection locked="0"/>
    </xf>
    <xf numFmtId="0" fontId="3" fillId="5" borderId="0" xfId="0" applyFont="1" applyFill="1" applyProtection="1">
      <alignment horizontal="left" vertical="center"/>
      <protection locked="0"/>
    </xf>
    <xf numFmtId="0" fontId="3" fillId="6" borderId="0" xfId="0" applyFont="1" applyFill="1" applyProtection="1">
      <alignment horizontal="left" vertical="center"/>
      <protection locked="0"/>
    </xf>
    <xf numFmtId="164" fontId="3" fillId="6" borderId="0" xfId="0" applyNumberFormat="1" applyFont="1" applyFill="1" applyAlignment="1" applyProtection="1">
      <alignment horizontal="center" vertical="center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3" fillId="7" borderId="0" xfId="0" applyFont="1" applyFill="1" applyProtection="1">
      <alignment horizontal="left" vertical="center"/>
      <protection locked="0"/>
    </xf>
    <xf numFmtId="164" fontId="3" fillId="7" borderId="0" xfId="0" applyNumberFormat="1" applyFont="1" applyFill="1" applyAlignment="1" applyProtection="1">
      <alignment horizontal="center" vertical="center"/>
      <protection locked="0"/>
    </xf>
    <xf numFmtId="0" fontId="3" fillId="7" borderId="0" xfId="0" applyFont="1" applyFill="1" applyAlignment="1" applyProtection="1">
      <alignment horizontal="center" vertical="center"/>
      <protection locked="0"/>
    </xf>
    <xf numFmtId="0" fontId="3" fillId="8" borderId="0" xfId="0" applyFont="1" applyFill="1" applyProtection="1">
      <alignment horizontal="left" vertical="center"/>
      <protection locked="0"/>
    </xf>
    <xf numFmtId="164" fontId="3" fillId="8" borderId="0" xfId="0" applyNumberFormat="1" applyFont="1" applyFill="1" applyAlignment="1" applyProtection="1">
      <alignment horizontal="center" vertical="center"/>
      <protection locked="0"/>
    </xf>
    <xf numFmtId="0" fontId="3" fillId="8" borderId="0" xfId="0" applyFont="1" applyFill="1" applyAlignment="1" applyProtection="1">
      <alignment horizontal="center" vertical="center"/>
      <protection locked="0"/>
    </xf>
    <xf numFmtId="0" fontId="6" fillId="9" borderId="0" xfId="0" applyFont="1" applyFill="1" applyProtection="1">
      <alignment horizontal="left" vertical="center"/>
      <protection locked="0"/>
    </xf>
    <xf numFmtId="164" fontId="6" fillId="9" borderId="0" xfId="0" applyNumberFormat="1" applyFont="1" applyFill="1" applyAlignment="1" applyProtection="1">
      <alignment horizontal="center" vertical="center"/>
      <protection locked="0"/>
    </xf>
    <xf numFmtId="2" fontId="6" fillId="10" borderId="0" xfId="0" applyNumberFormat="1" applyFont="1" applyFill="1" applyAlignment="1" applyProtection="1">
      <alignment horizontal="center" vertical="center"/>
      <protection locked="0"/>
    </xf>
    <xf numFmtId="0" fontId="6" fillId="9" borderId="0" xfId="0" applyFont="1" applyFill="1" applyAlignment="1" applyProtection="1">
      <alignment horizontal="center" vertical="center"/>
      <protection locked="0"/>
    </xf>
    <xf numFmtId="0" fontId="7" fillId="4" borderId="0" xfId="0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22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 wrapText="1"/>
    </xf>
    <xf numFmtId="0" fontId="14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3" fillId="0" borderId="0" xfId="0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left" vertical="center"/>
    </xf>
    <xf numFmtId="0" fontId="12" fillId="0" borderId="0" xfId="0" applyFont="1" applyFill="1" applyAlignment="1" applyProtection="1">
      <alignment horizontal="left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22" fillId="2" borderId="0" xfId="0" applyFont="1" applyFill="1" applyAlignment="1" applyProtection="1">
      <alignment horizontal="left" vertical="center"/>
    </xf>
    <xf numFmtId="0" fontId="12" fillId="2" borderId="0" xfId="0" applyFont="1" applyFill="1" applyAlignment="1" applyProtection="1">
      <alignment horizontal="left" vertical="center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0" xfId="0" applyFont="1" applyFill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left" vertical="center" wrapText="1"/>
    </xf>
    <xf numFmtId="2" fontId="17" fillId="11" borderId="0" xfId="0" applyNumberFormat="1" applyFont="1" applyFill="1" applyAlignment="1" applyProtection="1">
      <alignment horizontal="center" vertical="center" wrapText="1"/>
    </xf>
    <xf numFmtId="164" fontId="21" fillId="5" borderId="0" xfId="0" applyNumberFormat="1" applyFont="1" applyFill="1" applyAlignment="1" applyProtection="1">
      <alignment horizontal="left" vertical="center"/>
    </xf>
    <xf numFmtId="0" fontId="19" fillId="5" borderId="0" xfId="0" applyFont="1" applyFill="1" applyAlignment="1" applyProtection="1">
      <alignment horizontal="center" vertical="center" wrapText="1"/>
    </xf>
    <xf numFmtId="0" fontId="20" fillId="5" borderId="0" xfId="0" applyFont="1" applyFill="1" applyAlignment="1" applyProtection="1">
      <alignment horizontal="left" vertical="center"/>
    </xf>
    <xf numFmtId="1" fontId="17" fillId="0" borderId="0" xfId="0" applyNumberFormat="1" applyFont="1" applyFill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</xf>
    <xf numFmtId="0" fontId="12" fillId="5" borderId="0" xfId="0" applyFont="1" applyFill="1" applyAlignment="1" applyProtection="1">
      <alignment horizontal="left" vertical="center" wrapText="1"/>
    </xf>
    <xf numFmtId="0" fontId="8" fillId="0" borderId="0" xfId="0" applyFont="1" applyFill="1" applyAlignment="1" applyProtection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0" fontId="16" fillId="0" borderId="0" xfId="0" applyFont="1" applyFill="1" applyAlignment="1" applyProtection="1">
      <alignment horizontal="center" vertical="center" wrapText="1"/>
    </xf>
    <xf numFmtId="164" fontId="8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center" vertical="center" wrapText="1"/>
    </xf>
    <xf numFmtId="0" fontId="8" fillId="0" borderId="0" xfId="0" applyFont="1" applyFill="1" applyProtection="1">
      <alignment horizontal="left" vertical="center"/>
    </xf>
    <xf numFmtId="0" fontId="10" fillId="2" borderId="0" xfId="2" applyFont="1" applyAlignment="1" applyProtection="1">
      <alignment horizontal="center" vertical="center" wrapText="1"/>
    </xf>
    <xf numFmtId="0" fontId="9" fillId="3" borderId="0" xfId="0" applyFont="1" applyAlignment="1" applyProtection="1">
      <alignment horizontal="center" vertical="center" wrapText="1"/>
    </xf>
    <xf numFmtId="0" fontId="3" fillId="5" borderId="0" xfId="0" applyFont="1" applyFill="1" applyAlignment="1" applyProtection="1">
      <alignment horizontal="left" vertical="center"/>
    </xf>
    <xf numFmtId="164" fontId="3" fillId="5" borderId="0" xfId="0" applyNumberFormat="1" applyFont="1" applyFill="1" applyAlignment="1" applyProtection="1">
      <alignment horizontal="center" vertical="center"/>
    </xf>
    <xf numFmtId="0" fontId="3" fillId="5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 wrapText="1"/>
    </xf>
    <xf numFmtId="164" fontId="9" fillId="0" borderId="0" xfId="0" applyNumberFormat="1" applyFont="1" applyFill="1" applyAlignment="1" applyProtection="1">
      <alignment horizontal="center" vertical="center" wrapText="1"/>
    </xf>
    <xf numFmtId="0" fontId="3" fillId="5" borderId="0" xfId="0" applyFont="1" applyFill="1" applyProtection="1">
      <alignment horizontal="left" vertical="center"/>
    </xf>
    <xf numFmtId="0" fontId="3" fillId="6" borderId="0" xfId="0" applyFont="1" applyFill="1" applyProtection="1">
      <alignment horizontal="left" vertical="center"/>
    </xf>
    <xf numFmtId="164" fontId="3" fillId="6" borderId="0" xfId="0" applyNumberFormat="1" applyFont="1" applyFill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/>
    </xf>
    <xf numFmtId="0" fontId="3" fillId="7" borderId="0" xfId="0" applyFont="1" applyFill="1" applyProtection="1">
      <alignment horizontal="left" vertical="center"/>
    </xf>
    <xf numFmtId="164" fontId="3" fillId="7" borderId="0" xfId="0" applyNumberFormat="1" applyFont="1" applyFill="1" applyAlignment="1" applyProtection="1">
      <alignment horizontal="center" vertical="center"/>
    </xf>
    <xf numFmtId="0" fontId="3" fillId="7" borderId="0" xfId="0" applyFont="1" applyFill="1" applyAlignment="1" applyProtection="1">
      <alignment horizontal="center" vertical="center"/>
    </xf>
    <xf numFmtId="0" fontId="3" fillId="8" borderId="0" xfId="0" applyFont="1" applyFill="1" applyProtection="1">
      <alignment horizontal="left" vertical="center"/>
    </xf>
    <xf numFmtId="164" fontId="3" fillId="8" borderId="0" xfId="0" applyNumberFormat="1" applyFont="1" applyFill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/>
    </xf>
    <xf numFmtId="0" fontId="6" fillId="9" borderId="0" xfId="0" applyFont="1" applyFill="1" applyProtection="1">
      <alignment horizontal="left" vertical="center"/>
    </xf>
    <xf numFmtId="164" fontId="6" fillId="9" borderId="0" xfId="0" applyNumberFormat="1" applyFont="1" applyFill="1" applyAlignment="1" applyProtection="1">
      <alignment horizontal="center" vertical="center"/>
    </xf>
    <xf numFmtId="2" fontId="6" fillId="10" borderId="0" xfId="0" applyNumberFormat="1" applyFont="1" applyFill="1" applyAlignment="1" applyProtection="1">
      <alignment horizontal="center" vertical="center"/>
    </xf>
    <xf numFmtId="0" fontId="6" fillId="9" borderId="0" xfId="0" applyFont="1" applyFill="1" applyAlignment="1" applyProtection="1">
      <alignment horizontal="center" vertical="center"/>
    </xf>
    <xf numFmtId="164" fontId="23" fillId="5" borderId="5" xfId="0" applyNumberFormat="1" applyFont="1" applyFill="1" applyBorder="1" applyAlignment="1" applyProtection="1">
      <alignment horizontal="center" vertical="center"/>
      <protection locked="0"/>
    </xf>
    <xf numFmtId="164" fontId="23" fillId="5" borderId="6" xfId="0" applyNumberFormat="1" applyFont="1" applyFill="1" applyBorder="1" applyAlignment="1" applyProtection="1">
      <alignment horizontal="center" vertical="center"/>
      <protection locked="0"/>
    </xf>
    <xf numFmtId="164" fontId="23" fillId="6" borderId="6" xfId="0" applyNumberFormat="1" applyFont="1" applyFill="1" applyBorder="1" applyAlignment="1" applyProtection="1">
      <alignment horizontal="center" vertical="center"/>
      <protection locked="0"/>
    </xf>
    <xf numFmtId="164" fontId="23" fillId="7" borderId="6" xfId="0" applyNumberFormat="1" applyFont="1" applyFill="1" applyBorder="1" applyAlignment="1" applyProtection="1">
      <alignment horizontal="center" vertical="center"/>
      <protection locked="0"/>
    </xf>
    <xf numFmtId="164" fontId="23" fillId="8" borderId="6" xfId="0" applyNumberFormat="1" applyFont="1" applyFill="1" applyBorder="1" applyAlignment="1" applyProtection="1">
      <alignment horizontal="center" vertical="center"/>
      <protection locked="0"/>
    </xf>
    <xf numFmtId="164" fontId="23" fillId="8" borderId="7" xfId="0" applyNumberFormat="1" applyFont="1" applyFill="1" applyBorder="1" applyAlignment="1" applyProtection="1">
      <alignment horizontal="center" vertical="center"/>
      <protection locked="0"/>
    </xf>
    <xf numFmtId="0" fontId="10" fillId="12" borderId="4" xfId="2" applyFont="1" applyFill="1" applyBorder="1" applyAlignment="1" applyProtection="1">
      <alignment horizontal="center" vertical="center" wrapText="1"/>
    </xf>
    <xf numFmtId="164" fontId="23" fillId="6" borderId="8" xfId="0" applyNumberFormat="1" applyFont="1" applyFill="1" applyBorder="1" applyAlignment="1" applyProtection="1">
      <alignment horizontal="center" vertical="center"/>
      <protection locked="0"/>
    </xf>
    <xf numFmtId="164" fontId="23" fillId="5" borderId="11" xfId="0" applyNumberFormat="1" applyFont="1" applyFill="1" applyBorder="1" applyAlignment="1" applyProtection="1">
      <alignment horizontal="center" vertical="center"/>
      <protection locked="0"/>
    </xf>
    <xf numFmtId="164" fontId="23" fillId="6" borderId="11" xfId="0" applyNumberFormat="1" applyFont="1" applyFill="1" applyBorder="1" applyAlignment="1" applyProtection="1">
      <alignment horizontal="center" vertical="center"/>
      <protection locked="0"/>
    </xf>
    <xf numFmtId="164" fontId="23" fillId="7" borderId="11" xfId="0" applyNumberFormat="1" applyFont="1" applyFill="1" applyBorder="1" applyAlignment="1" applyProtection="1">
      <alignment horizontal="center" vertical="center"/>
      <protection locked="0"/>
    </xf>
    <xf numFmtId="164" fontId="23" fillId="8" borderId="11" xfId="0" applyNumberFormat="1" applyFont="1" applyFill="1" applyBorder="1" applyAlignment="1">
      <alignment horizontal="center" vertical="center"/>
    </xf>
    <xf numFmtId="164" fontId="23" fillId="8" borderId="12" xfId="0" applyNumberFormat="1" applyFont="1" applyFill="1" applyBorder="1" applyAlignment="1">
      <alignment horizontal="center" vertical="center"/>
    </xf>
    <xf numFmtId="0" fontId="10" fillId="12" borderId="9" xfId="2" applyFont="1" applyFill="1" applyBorder="1" applyAlignment="1">
      <alignment horizontal="center" vertical="center" wrapText="1"/>
    </xf>
    <xf numFmtId="164" fontId="23" fillId="5" borderId="10" xfId="0" applyNumberFormat="1" applyFont="1" applyFill="1" applyBorder="1" applyAlignment="1" applyProtection="1">
      <alignment horizontal="center" vertical="center"/>
      <protection locked="0"/>
    </xf>
    <xf numFmtId="164" fontId="23" fillId="8" borderId="11" xfId="0" applyNumberFormat="1" applyFont="1" applyFill="1" applyBorder="1" applyAlignment="1" applyProtection="1">
      <alignment horizontal="center" vertical="center"/>
      <protection locked="0"/>
    </xf>
    <xf numFmtId="164" fontId="23" fillId="8" borderId="12" xfId="0" applyNumberFormat="1" applyFont="1" applyFill="1" applyBorder="1" applyAlignment="1" applyProtection="1">
      <alignment horizontal="center" vertical="center"/>
      <protection locked="0"/>
    </xf>
    <xf numFmtId="0" fontId="10" fillId="12" borderId="9" xfId="2" applyFont="1" applyFill="1" applyBorder="1" applyAlignment="1" applyProtection="1">
      <alignment horizontal="center" vertical="center" wrapText="1"/>
      <protection locked="0"/>
    </xf>
    <xf numFmtId="0" fontId="20" fillId="5" borderId="0" xfId="0" applyFont="1" applyFill="1" applyAlignment="1" applyProtection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0" fillId="5" borderId="0" xfId="0" applyFont="1" applyFill="1" applyAlignment="1" applyProtection="1">
      <alignment horizontal="left" vertical="center"/>
      <protection locked="0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38C8CC"/>
        </left>
        <top style="thin">
          <color rgb="FF38C8CC"/>
        </top>
        <bottom style="thin">
          <color rgb="FF38C8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numFmt numFmtId="0" formatCode="General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-0.249977111117893"/>
        </left>
        <right style="medium">
          <color theme="4" tint="-0.249977111117893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2"/>
        <color rgb="FFA6A6A6"/>
        <name val="Arial"/>
        <family val="2"/>
        <scheme val="none"/>
      </font>
      <fill>
        <patternFill patternType="solid">
          <fgColor rgb="FF000000"/>
          <bgColor rgb="FFBFBFBF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A6A6A6"/>
        <name val="Arial"/>
        <family val="2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ajor"/>
      </font>
      <alignment horizontal="center" vertical="center" textRotation="0" wrapText="1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(Body)_x0000_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-0.249977111117893"/>
        </left>
        <right style="medium">
          <color theme="4" tint="-0.24997711111789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A6A6A6"/>
        <name val="Arial"/>
        <family val="2"/>
        <scheme val="none"/>
      </font>
      <fill>
        <patternFill patternType="solid">
          <fgColor rgb="FF000000"/>
          <bgColor rgb="FFBFBFBF"/>
        </patternFill>
      </fill>
    </dxf>
    <dxf>
      <font>
        <strike val="0"/>
        <outline val="0"/>
        <shadow val="0"/>
        <u val="none"/>
        <vertAlign val="baseline"/>
        <sz val="10"/>
        <color rgb="FFA6A6A6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aj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numFmt numFmtId="0" formatCode="General"/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0" tint="-0.34998626667073579"/>
        <name val="Arial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2"/>
        <color theme="0" tint="-0.34998626667073579"/>
        <name val="Arial"/>
        <family val="2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color theme="0" tint="-0.34998626667073579"/>
        <name val="Arial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major"/>
      </font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</tableStyle>
    <tableStyle name="College course manager table style 2" pivot="0" count="5" xr9:uid="{00000000-0011-0000-FFFF-FFFF01000000}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</tableStyle>
  </tableStyles>
  <colors>
    <mruColors>
      <color rgb="FF8EFA00"/>
      <color rgb="FFDDDD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111760</xdr:rowOff>
    </xdr:from>
    <xdr:to>
      <xdr:col>8</xdr:col>
      <xdr:colOff>257744</xdr:colOff>
      <xdr:row>14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6877897" y="2334260"/>
          <a:ext cx="1994680" cy="866140"/>
          <a:chOff x="6156886" y="2023546"/>
          <a:chExt cx="1996216" cy="8626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023546"/>
            <a:ext cx="302698" cy="2743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455270" y="2055986"/>
            <a:ext cx="719506" cy="254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6455270" y="2339218"/>
            <a:ext cx="1697832" cy="251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Passed, but low grade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6453310" y="2614150"/>
            <a:ext cx="719506" cy="2556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Failed</a:t>
            </a:r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297867"/>
            <a:ext cx="294640" cy="302204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589910"/>
            <a:ext cx="294640" cy="29627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111760</xdr:rowOff>
    </xdr:from>
    <xdr:to>
      <xdr:col>8</xdr:col>
      <xdr:colOff>257744</xdr:colOff>
      <xdr:row>14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9256EBC-F669-7D4D-8614-23355526CB7E}"/>
            </a:ext>
          </a:extLst>
        </xdr:cNvPr>
        <xdr:cNvGrpSpPr/>
      </xdr:nvGrpSpPr>
      <xdr:grpSpPr>
        <a:xfrm>
          <a:off x="6871706" y="2328269"/>
          <a:ext cx="2000472" cy="855357"/>
          <a:chOff x="6156886" y="2023546"/>
          <a:chExt cx="1996216" cy="8626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90539B4-2F8F-B747-BE71-2818D5F743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023546"/>
            <a:ext cx="302698" cy="2743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39AFB5F-1C01-1A4F-A693-3DB08F628B5A}"/>
              </a:ext>
            </a:extLst>
          </xdr:cNvPr>
          <xdr:cNvSpPr txBox="1"/>
        </xdr:nvSpPr>
        <xdr:spPr>
          <a:xfrm>
            <a:off x="6455270" y="2055986"/>
            <a:ext cx="719506" cy="254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4B63715-A077-7F46-AE4E-14A8D246066D}"/>
              </a:ext>
            </a:extLst>
          </xdr:cNvPr>
          <xdr:cNvSpPr txBox="1"/>
        </xdr:nvSpPr>
        <xdr:spPr>
          <a:xfrm>
            <a:off x="6455270" y="2339218"/>
            <a:ext cx="1697832" cy="251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Passed, but low grade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4B95590-799E-3945-B8FE-35B8F24BB941}"/>
              </a:ext>
            </a:extLst>
          </xdr:cNvPr>
          <xdr:cNvSpPr txBox="1"/>
        </xdr:nvSpPr>
        <xdr:spPr>
          <a:xfrm>
            <a:off x="6453310" y="2614150"/>
            <a:ext cx="719506" cy="2556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Failed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1BD84EB-DAAB-EB45-A271-04260A11A6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297867"/>
            <a:ext cx="294640" cy="302204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11FB748-45F5-374E-82C7-1D83033F1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589910"/>
            <a:ext cx="294640" cy="296272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558047</xdr:colOff>
      <xdr:row>0</xdr:row>
      <xdr:rowOff>97085</xdr:rowOff>
    </xdr:from>
    <xdr:to>
      <xdr:col>2</xdr:col>
      <xdr:colOff>818444</xdr:colOff>
      <xdr:row>0</xdr:row>
      <xdr:rowOff>351085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C0E6D67-995B-8647-BF3A-0848CE32EBCC}"/>
            </a:ext>
          </a:extLst>
        </xdr:cNvPr>
        <xdr:cNvSpPr/>
      </xdr:nvSpPr>
      <xdr:spPr>
        <a:xfrm>
          <a:off x="3436714" y="97085"/>
          <a:ext cx="260397" cy="254000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1588347</xdr:colOff>
      <xdr:row>0</xdr:row>
      <xdr:rowOff>323615</xdr:rowOff>
    </xdr:from>
    <xdr:to>
      <xdr:col>1</xdr:col>
      <xdr:colOff>1890889</xdr:colOff>
      <xdr:row>1</xdr:row>
      <xdr:rowOff>244593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19AAB28-46FC-2541-9489-27D46754C0D5}"/>
            </a:ext>
          </a:extLst>
        </xdr:cNvPr>
        <xdr:cNvSpPr/>
      </xdr:nvSpPr>
      <xdr:spPr>
        <a:xfrm>
          <a:off x="1889384" y="323615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2098228</xdr:colOff>
      <xdr:row>1</xdr:row>
      <xdr:rowOff>212608</xdr:rowOff>
    </xdr:from>
    <xdr:to>
      <xdr:col>1</xdr:col>
      <xdr:colOff>2400770</xdr:colOff>
      <xdr:row>3</xdr:row>
      <xdr:rowOff>11289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97A6516-DF8A-6A4D-8B8C-56010CF48C39}"/>
            </a:ext>
          </a:extLst>
        </xdr:cNvPr>
        <xdr:cNvSpPr/>
      </xdr:nvSpPr>
      <xdr:spPr>
        <a:xfrm>
          <a:off x="2399265" y="570089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867739</xdr:colOff>
      <xdr:row>4</xdr:row>
      <xdr:rowOff>50901</xdr:rowOff>
    </xdr:from>
    <xdr:to>
      <xdr:col>1</xdr:col>
      <xdr:colOff>1170281</xdr:colOff>
      <xdr:row>4</xdr:row>
      <xdr:rowOff>329360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0D08F55-90BD-8D44-9A43-619A0A94DC59}"/>
            </a:ext>
          </a:extLst>
        </xdr:cNvPr>
        <xdr:cNvSpPr/>
      </xdr:nvSpPr>
      <xdr:spPr>
        <a:xfrm>
          <a:off x="1171190" y="1028689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</xdr:col>
      <xdr:colOff>433217</xdr:colOff>
      <xdr:row>4</xdr:row>
      <xdr:rowOff>222949</xdr:rowOff>
    </xdr:from>
    <xdr:to>
      <xdr:col>2</xdr:col>
      <xdr:colOff>735759</xdr:colOff>
      <xdr:row>6</xdr:row>
      <xdr:rowOff>102301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4AFDFD6C-864C-B846-862F-2F5C5BE78E03}"/>
            </a:ext>
          </a:extLst>
        </xdr:cNvPr>
        <xdr:cNvSpPr/>
      </xdr:nvSpPr>
      <xdr:spPr>
        <a:xfrm>
          <a:off x="3310385" y="1200737"/>
          <a:ext cx="302542" cy="272714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2473091</xdr:colOff>
      <xdr:row>8</xdr:row>
      <xdr:rowOff>9459</xdr:rowOff>
    </xdr:from>
    <xdr:to>
      <xdr:col>2</xdr:col>
      <xdr:colOff>198003</xdr:colOff>
      <xdr:row>8</xdr:row>
      <xdr:rowOff>288500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625D319B-601B-5346-83D0-607AD4C1BDFF}"/>
            </a:ext>
          </a:extLst>
        </xdr:cNvPr>
        <xdr:cNvSpPr/>
      </xdr:nvSpPr>
      <xdr:spPr>
        <a:xfrm>
          <a:off x="2776542" y="1717778"/>
          <a:ext cx="298629" cy="279041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2</xdr:col>
      <xdr:colOff>1108568</xdr:colOff>
      <xdr:row>5</xdr:row>
      <xdr:rowOff>22578</xdr:rowOff>
    </xdr:from>
    <xdr:to>
      <xdr:col>2</xdr:col>
      <xdr:colOff>1411110</xdr:colOff>
      <xdr:row>6</xdr:row>
      <xdr:rowOff>272815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8A94B5F-143D-BC4D-AA1B-A5D84F61CFA6}"/>
            </a:ext>
          </a:extLst>
        </xdr:cNvPr>
        <xdr:cNvSpPr/>
      </xdr:nvSpPr>
      <xdr:spPr>
        <a:xfrm>
          <a:off x="3987235" y="1367837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1110449</xdr:colOff>
      <xdr:row>7</xdr:row>
      <xdr:rowOff>33866</xdr:rowOff>
    </xdr:from>
    <xdr:to>
      <xdr:col>2</xdr:col>
      <xdr:colOff>1412991</xdr:colOff>
      <xdr:row>8</xdr:row>
      <xdr:rowOff>274696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B4D28A1-527A-FC46-9BEB-85CAE94D8C16}"/>
            </a:ext>
          </a:extLst>
        </xdr:cNvPr>
        <xdr:cNvSpPr/>
      </xdr:nvSpPr>
      <xdr:spPr>
        <a:xfrm>
          <a:off x="3989116" y="1708385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6</xdr:col>
      <xdr:colOff>273191</xdr:colOff>
      <xdr:row>5</xdr:row>
      <xdr:rowOff>15052</xdr:rowOff>
    </xdr:from>
    <xdr:to>
      <xdr:col>6</xdr:col>
      <xdr:colOff>575733</xdr:colOff>
      <xdr:row>6</xdr:row>
      <xdr:rowOff>265289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DC62A45-A2C6-1B41-A8E6-A4C50CF99100}"/>
            </a:ext>
          </a:extLst>
        </xdr:cNvPr>
        <xdr:cNvSpPr/>
      </xdr:nvSpPr>
      <xdr:spPr>
        <a:xfrm>
          <a:off x="7112376" y="1360311"/>
          <a:ext cx="302542" cy="278459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8</xdr:col>
      <xdr:colOff>322110</xdr:colOff>
      <xdr:row>8</xdr:row>
      <xdr:rowOff>16934</xdr:rowOff>
    </xdr:from>
    <xdr:to>
      <xdr:col>9</xdr:col>
      <xdr:colOff>9407</xdr:colOff>
      <xdr:row>9</xdr:row>
      <xdr:rowOff>37629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587E351-8F30-F14E-B623-E45AF6788094}"/>
            </a:ext>
          </a:extLst>
        </xdr:cNvPr>
        <xdr:cNvSpPr/>
      </xdr:nvSpPr>
      <xdr:spPr>
        <a:xfrm>
          <a:off x="8920480" y="1729082"/>
          <a:ext cx="327001" cy="312325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0</xdr:col>
      <xdr:colOff>295769</xdr:colOff>
      <xdr:row>10</xdr:row>
      <xdr:rowOff>112889</xdr:rowOff>
    </xdr:from>
    <xdr:to>
      <xdr:col>1</xdr:col>
      <xdr:colOff>321733</xdr:colOff>
      <xdr:row>11</xdr:row>
      <xdr:rowOff>255881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8B5829E-F71E-6C40-AD34-978174B0D3B7}"/>
            </a:ext>
          </a:extLst>
        </xdr:cNvPr>
        <xdr:cNvSpPr/>
      </xdr:nvSpPr>
      <xdr:spPr>
        <a:xfrm>
          <a:off x="295769" y="2163704"/>
          <a:ext cx="327001" cy="312325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5</xdr:col>
      <xdr:colOff>441876</xdr:colOff>
      <xdr:row>10</xdr:row>
      <xdr:rowOff>73262</xdr:rowOff>
    </xdr:from>
    <xdr:to>
      <xdr:col>6</xdr:col>
      <xdr:colOff>7043</xdr:colOff>
      <xdr:row>11</xdr:row>
      <xdr:rowOff>216254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30C8C23-6A15-764B-B7DD-CBE3649F19AE}"/>
            </a:ext>
          </a:extLst>
        </xdr:cNvPr>
        <xdr:cNvSpPr/>
      </xdr:nvSpPr>
      <xdr:spPr>
        <a:xfrm>
          <a:off x="6522141" y="2129988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9</xdr:col>
      <xdr:colOff>178435</xdr:colOff>
      <xdr:row>15</xdr:row>
      <xdr:rowOff>23361</xdr:rowOff>
    </xdr:from>
    <xdr:to>
      <xdr:col>10</xdr:col>
      <xdr:colOff>204399</xdr:colOff>
      <xdr:row>17</xdr:row>
      <xdr:rowOff>9008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EB1D9E4-41E5-6049-BFFA-2820348AED70}"/>
            </a:ext>
          </a:extLst>
        </xdr:cNvPr>
        <xdr:cNvSpPr/>
      </xdr:nvSpPr>
      <xdr:spPr>
        <a:xfrm>
          <a:off x="9428081" y="3282653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</xdr:col>
      <xdr:colOff>1218711</xdr:colOff>
      <xdr:row>16</xdr:row>
      <xdr:rowOff>18416</xdr:rowOff>
    </xdr:from>
    <xdr:to>
      <xdr:col>1</xdr:col>
      <xdr:colOff>1548126</xdr:colOff>
      <xdr:row>17</xdr:row>
      <xdr:rowOff>116452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DF6757F-B596-A740-8ABA-CE7991993266}"/>
            </a:ext>
          </a:extLst>
        </xdr:cNvPr>
        <xdr:cNvSpPr/>
      </xdr:nvSpPr>
      <xdr:spPr>
        <a:xfrm>
          <a:off x="1522162" y="3390097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2</xdr:col>
      <xdr:colOff>516952</xdr:colOff>
      <xdr:row>15</xdr:row>
      <xdr:rowOff>80904</xdr:rowOff>
    </xdr:from>
    <xdr:to>
      <xdr:col>2</xdr:col>
      <xdr:colOff>846367</xdr:colOff>
      <xdr:row>17</xdr:row>
      <xdr:rowOff>66551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ACDC9E4-9C8D-064D-8934-0B482871BE77}"/>
            </a:ext>
          </a:extLst>
        </xdr:cNvPr>
        <xdr:cNvSpPr/>
      </xdr:nvSpPr>
      <xdr:spPr>
        <a:xfrm>
          <a:off x="3394120" y="3340196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3</xdr:col>
      <xdr:colOff>298468</xdr:colOff>
      <xdr:row>16</xdr:row>
      <xdr:rowOff>8527</xdr:rowOff>
    </xdr:from>
    <xdr:to>
      <xdr:col>3</xdr:col>
      <xdr:colOff>627883</xdr:colOff>
      <xdr:row>17</xdr:row>
      <xdr:rowOff>106563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DA751BC-AA0E-5F45-815E-E1CDCE5E87CD}"/>
            </a:ext>
          </a:extLst>
        </xdr:cNvPr>
        <xdr:cNvSpPr/>
      </xdr:nvSpPr>
      <xdr:spPr>
        <a:xfrm>
          <a:off x="4602981" y="3380208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4</xdr:col>
      <xdr:colOff>258495</xdr:colOff>
      <xdr:row>15</xdr:row>
      <xdr:rowOff>89911</xdr:rowOff>
    </xdr:from>
    <xdr:to>
      <xdr:col>4</xdr:col>
      <xdr:colOff>587910</xdr:colOff>
      <xdr:row>17</xdr:row>
      <xdr:rowOff>75558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A2D7789-5E2A-574A-AB53-8804AD451D92}"/>
            </a:ext>
          </a:extLst>
        </xdr:cNvPr>
        <xdr:cNvSpPr/>
      </xdr:nvSpPr>
      <xdr:spPr>
        <a:xfrm>
          <a:off x="5439645" y="3349203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5</xdr:col>
      <xdr:colOff>242311</xdr:colOff>
      <xdr:row>15</xdr:row>
      <xdr:rowOff>73727</xdr:rowOff>
    </xdr:from>
    <xdr:to>
      <xdr:col>5</xdr:col>
      <xdr:colOff>571726</xdr:colOff>
      <xdr:row>17</xdr:row>
      <xdr:rowOff>59374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1BFF000-2C42-B646-8E0A-FEA1A88B16F4}"/>
            </a:ext>
          </a:extLst>
        </xdr:cNvPr>
        <xdr:cNvSpPr/>
      </xdr:nvSpPr>
      <xdr:spPr>
        <a:xfrm>
          <a:off x="6322576" y="3333019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6</xdr:col>
      <xdr:colOff>282321</xdr:colOff>
      <xdr:row>15</xdr:row>
      <xdr:rowOff>46304</xdr:rowOff>
    </xdr:from>
    <xdr:to>
      <xdr:col>6</xdr:col>
      <xdr:colOff>611736</xdr:colOff>
      <xdr:row>17</xdr:row>
      <xdr:rowOff>31951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9E788EE-19D9-704D-884F-11F092C9AC56}"/>
            </a:ext>
          </a:extLst>
        </xdr:cNvPr>
        <xdr:cNvSpPr/>
      </xdr:nvSpPr>
      <xdr:spPr>
        <a:xfrm>
          <a:off x="7126834" y="3305596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7</xdr:col>
      <xdr:colOff>311093</xdr:colOff>
      <xdr:row>15</xdr:row>
      <xdr:rowOff>63837</xdr:rowOff>
    </xdr:from>
    <xdr:to>
      <xdr:col>7</xdr:col>
      <xdr:colOff>640508</xdr:colOff>
      <xdr:row>17</xdr:row>
      <xdr:rowOff>49484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990D986-CEE2-CE4C-8203-F74DB4349D03}"/>
            </a:ext>
          </a:extLst>
        </xdr:cNvPr>
        <xdr:cNvSpPr/>
      </xdr:nvSpPr>
      <xdr:spPr>
        <a:xfrm>
          <a:off x="7964810" y="3323129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8</xdr:col>
      <xdr:colOff>137563</xdr:colOff>
      <xdr:row>15</xdr:row>
      <xdr:rowOff>70131</xdr:rowOff>
    </xdr:from>
    <xdr:to>
      <xdr:col>8</xdr:col>
      <xdr:colOff>466978</xdr:colOff>
      <xdr:row>17</xdr:row>
      <xdr:rowOff>55778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3472E59-CC8B-2942-8598-CE2E277646D6}"/>
            </a:ext>
          </a:extLst>
        </xdr:cNvPr>
        <xdr:cNvSpPr/>
      </xdr:nvSpPr>
      <xdr:spPr>
        <a:xfrm>
          <a:off x="8746590" y="3329423"/>
          <a:ext cx="329415" cy="311576"/>
        </a:xfrm>
        <a:prstGeom prst="ellipse">
          <a:avLst/>
        </a:prstGeom>
        <a:solidFill>
          <a:sysClr val="window" lastClr="FFFFFF"/>
        </a:solidFill>
        <a:ln w="28575">
          <a:solidFill>
            <a:schemeClr val="accent2">
              <a:lumMod val="75000"/>
            </a:schemeClr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 anchorCtr="1"/>
        <a:lstStyle/>
        <a:p>
          <a:pPr algn="l"/>
          <a:r>
            <a:rPr lang="en-US" sz="1000" b="1">
              <a:solidFill>
                <a:schemeClr val="tx1"/>
              </a:solidFill>
            </a:rPr>
            <a:t>21</a:t>
          </a:r>
        </a:p>
      </xdr:txBody>
    </xdr:sp>
    <xdr:clientData/>
  </xdr:twoCellAnchor>
  <xdr:twoCellAnchor editAs="oneCell">
    <xdr:from>
      <xdr:col>9</xdr:col>
      <xdr:colOff>292099</xdr:colOff>
      <xdr:row>23</xdr:row>
      <xdr:rowOff>215900</xdr:rowOff>
    </xdr:from>
    <xdr:to>
      <xdr:col>18</xdr:col>
      <xdr:colOff>309116</xdr:colOff>
      <xdr:row>45</xdr:row>
      <xdr:rowOff>38100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F8E8DF2-3DCB-0A41-9189-7BDF308DB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699" y="5499100"/>
          <a:ext cx="6481317" cy="485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11</xdr:row>
      <xdr:rowOff>111760</xdr:rowOff>
    </xdr:from>
    <xdr:to>
      <xdr:col>8</xdr:col>
      <xdr:colOff>257744</xdr:colOff>
      <xdr:row>14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F5A8E8D-45D9-4848-8FF3-E2884B9EC2ED}"/>
            </a:ext>
          </a:extLst>
        </xdr:cNvPr>
        <xdr:cNvGrpSpPr/>
      </xdr:nvGrpSpPr>
      <xdr:grpSpPr>
        <a:xfrm>
          <a:off x="6875780" y="2321560"/>
          <a:ext cx="1992564" cy="853440"/>
          <a:chOff x="6156886" y="2023546"/>
          <a:chExt cx="1996216" cy="8626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01154F8-C964-E34A-B866-22D852454B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023546"/>
            <a:ext cx="302698" cy="27432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AE81BA3-75A2-EB45-9E17-497A605C9067}"/>
              </a:ext>
            </a:extLst>
          </xdr:cNvPr>
          <xdr:cNvSpPr txBox="1"/>
        </xdr:nvSpPr>
        <xdr:spPr>
          <a:xfrm>
            <a:off x="6455270" y="2055986"/>
            <a:ext cx="719506" cy="2540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7D42DC7-B409-954A-99EA-C538760D6222}"/>
              </a:ext>
            </a:extLst>
          </xdr:cNvPr>
          <xdr:cNvSpPr txBox="1"/>
        </xdr:nvSpPr>
        <xdr:spPr>
          <a:xfrm>
            <a:off x="6455270" y="2339218"/>
            <a:ext cx="1697832" cy="251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Passed, but low grade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8EB6CA8-3E6A-1D47-BC1A-D9D1E9CB8F72}"/>
              </a:ext>
            </a:extLst>
          </xdr:cNvPr>
          <xdr:cNvSpPr txBox="1"/>
        </xdr:nvSpPr>
        <xdr:spPr>
          <a:xfrm>
            <a:off x="6453310" y="2614150"/>
            <a:ext cx="719506" cy="2556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Failed</a:t>
            </a:r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7CE4C30-8D82-6E43-B817-7C225E7625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297867"/>
            <a:ext cx="294640" cy="302204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C2D14B99-0F54-BF4D-819F-19465F58F2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56886" y="2589910"/>
            <a:ext cx="294640" cy="29627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91440</xdr:colOff>
      <xdr:row>6</xdr:row>
      <xdr:rowOff>0</xdr:rowOff>
    </xdr:from>
    <xdr:to>
      <xdr:col>1</xdr:col>
      <xdr:colOff>47037</xdr:colOff>
      <xdr:row>6</xdr:row>
      <xdr:rowOff>254000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9A5A67D-0008-DD4B-B54A-3894FAD32AD8}"/>
            </a:ext>
          </a:extLst>
        </xdr:cNvPr>
        <xdr:cNvSpPr/>
      </xdr:nvSpPr>
      <xdr:spPr>
        <a:xfrm>
          <a:off x="91440" y="136144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</xdr:col>
      <xdr:colOff>1137920</xdr:colOff>
      <xdr:row>6</xdr:row>
      <xdr:rowOff>20320</xdr:rowOff>
    </xdr:from>
    <xdr:to>
      <xdr:col>2</xdr:col>
      <xdr:colOff>1398317</xdr:colOff>
      <xdr:row>6</xdr:row>
      <xdr:rowOff>274320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7038B42-E95D-284D-8609-53B7E8526CCD}"/>
            </a:ext>
          </a:extLst>
        </xdr:cNvPr>
        <xdr:cNvSpPr/>
      </xdr:nvSpPr>
      <xdr:spPr>
        <a:xfrm>
          <a:off x="4023360" y="138176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8</xdr:col>
      <xdr:colOff>0</xdr:colOff>
      <xdr:row>6</xdr:row>
      <xdr:rowOff>20320</xdr:rowOff>
    </xdr:from>
    <xdr:to>
      <xdr:col>8</xdr:col>
      <xdr:colOff>260397</xdr:colOff>
      <xdr:row>6</xdr:row>
      <xdr:rowOff>274320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ECC887C-4521-8B42-B698-10A6C48D12E8}"/>
            </a:ext>
          </a:extLst>
        </xdr:cNvPr>
        <xdr:cNvSpPr/>
      </xdr:nvSpPr>
      <xdr:spPr>
        <a:xfrm>
          <a:off x="8615680" y="138176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81280</xdr:colOff>
      <xdr:row>8</xdr:row>
      <xdr:rowOff>40640</xdr:rowOff>
    </xdr:from>
    <xdr:to>
      <xdr:col>1</xdr:col>
      <xdr:colOff>36877</xdr:colOff>
      <xdr:row>9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502D5EE-AD77-8D4C-B7A5-287BD1E433B5}"/>
            </a:ext>
          </a:extLst>
        </xdr:cNvPr>
        <xdr:cNvSpPr/>
      </xdr:nvSpPr>
      <xdr:spPr>
        <a:xfrm>
          <a:off x="81280" y="174752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2</xdr:col>
      <xdr:colOff>1127760</xdr:colOff>
      <xdr:row>8</xdr:row>
      <xdr:rowOff>50800</xdr:rowOff>
    </xdr:from>
    <xdr:to>
      <xdr:col>2</xdr:col>
      <xdr:colOff>1388157</xdr:colOff>
      <xdr:row>9</xdr:row>
      <xdr:rowOff>10160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7C8BA37-CEB0-A34E-B11A-C84EC3CBE7B5}"/>
            </a:ext>
          </a:extLst>
        </xdr:cNvPr>
        <xdr:cNvSpPr/>
      </xdr:nvSpPr>
      <xdr:spPr>
        <a:xfrm>
          <a:off x="4013200" y="17576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8</xdr:col>
      <xdr:colOff>447040</xdr:colOff>
      <xdr:row>8</xdr:row>
      <xdr:rowOff>50800</xdr:rowOff>
    </xdr:from>
    <xdr:to>
      <xdr:col>9</xdr:col>
      <xdr:colOff>67357</xdr:colOff>
      <xdr:row>9</xdr:row>
      <xdr:rowOff>10160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22FA7A48-8962-6C44-8965-9B19FFC055F8}"/>
            </a:ext>
          </a:extLst>
        </xdr:cNvPr>
        <xdr:cNvSpPr/>
      </xdr:nvSpPr>
      <xdr:spPr>
        <a:xfrm>
          <a:off x="9062720" y="17576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0</xdr:col>
      <xdr:colOff>121920</xdr:colOff>
      <xdr:row>10</xdr:row>
      <xdr:rowOff>152400</xdr:rowOff>
    </xdr:from>
    <xdr:to>
      <xdr:col>1</xdr:col>
      <xdr:colOff>77517</xdr:colOff>
      <xdr:row>11</xdr:row>
      <xdr:rowOff>243840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760B0DA-9ECB-E840-9BC2-5FBB0C7126E2}"/>
            </a:ext>
          </a:extLst>
        </xdr:cNvPr>
        <xdr:cNvSpPr/>
      </xdr:nvSpPr>
      <xdr:spPr>
        <a:xfrm>
          <a:off x="121920" y="220472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0</xdr:col>
      <xdr:colOff>172720</xdr:colOff>
      <xdr:row>16</xdr:row>
      <xdr:rowOff>0</xdr:rowOff>
    </xdr:from>
    <xdr:to>
      <xdr:col>1</xdr:col>
      <xdr:colOff>128317</xdr:colOff>
      <xdr:row>17</xdr:row>
      <xdr:rowOff>40640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3961340-2BD8-8645-9079-CD607B53DB50}"/>
            </a:ext>
          </a:extLst>
        </xdr:cNvPr>
        <xdr:cNvSpPr/>
      </xdr:nvSpPr>
      <xdr:spPr>
        <a:xfrm>
          <a:off x="172720" y="33832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</xdr:col>
      <xdr:colOff>447040</xdr:colOff>
      <xdr:row>16</xdr:row>
      <xdr:rowOff>0</xdr:rowOff>
    </xdr:from>
    <xdr:to>
      <xdr:col>2</xdr:col>
      <xdr:colOff>707437</xdr:colOff>
      <xdr:row>17</xdr:row>
      <xdr:rowOff>40640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48FFC79B-6C15-1D46-B899-5E7C788081C3}"/>
            </a:ext>
          </a:extLst>
        </xdr:cNvPr>
        <xdr:cNvSpPr/>
      </xdr:nvSpPr>
      <xdr:spPr>
        <a:xfrm>
          <a:off x="3332480" y="3383280"/>
          <a:ext cx="260397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8</xdr:col>
      <xdr:colOff>81280</xdr:colOff>
      <xdr:row>16</xdr:row>
      <xdr:rowOff>10160</xdr:rowOff>
    </xdr:from>
    <xdr:to>
      <xdr:col>8</xdr:col>
      <xdr:colOff>619760</xdr:colOff>
      <xdr:row>17</xdr:row>
      <xdr:rowOff>50800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BB2ADF17-FB05-5B45-8E0D-200CAAEB3E2D}"/>
            </a:ext>
          </a:extLst>
        </xdr:cNvPr>
        <xdr:cNvSpPr/>
      </xdr:nvSpPr>
      <xdr:spPr>
        <a:xfrm>
          <a:off x="8696960" y="3393440"/>
          <a:ext cx="538480" cy="25400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3</xdr:col>
      <xdr:colOff>294640</xdr:colOff>
      <xdr:row>15</xdr:row>
      <xdr:rowOff>101600</xdr:rowOff>
    </xdr:from>
    <xdr:to>
      <xdr:col>3</xdr:col>
      <xdr:colOff>792480</xdr:colOff>
      <xdr:row>17</xdr:row>
      <xdr:rowOff>60960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2FFD4BC0-4269-824B-96C8-390C22645C01}"/>
            </a:ext>
          </a:extLst>
        </xdr:cNvPr>
        <xdr:cNvSpPr/>
      </xdr:nvSpPr>
      <xdr:spPr>
        <a:xfrm>
          <a:off x="4602480" y="3373120"/>
          <a:ext cx="49784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4</xdr:col>
      <xdr:colOff>243840</xdr:colOff>
      <xdr:row>15</xdr:row>
      <xdr:rowOff>91440</xdr:rowOff>
    </xdr:from>
    <xdr:to>
      <xdr:col>4</xdr:col>
      <xdr:colOff>731520</xdr:colOff>
      <xdr:row>17</xdr:row>
      <xdr:rowOff>50800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5F8654F-6B3B-0F47-A351-1DF4CE007724}"/>
            </a:ext>
          </a:extLst>
        </xdr:cNvPr>
        <xdr:cNvSpPr/>
      </xdr:nvSpPr>
      <xdr:spPr>
        <a:xfrm>
          <a:off x="542544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5</xdr:col>
      <xdr:colOff>132080</xdr:colOff>
      <xdr:row>15</xdr:row>
      <xdr:rowOff>91440</xdr:rowOff>
    </xdr:from>
    <xdr:to>
      <xdr:col>5</xdr:col>
      <xdr:colOff>619760</xdr:colOff>
      <xdr:row>17</xdr:row>
      <xdr:rowOff>50800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27B3EF4-4E9E-0840-8F1C-927BCDC32955}"/>
            </a:ext>
          </a:extLst>
        </xdr:cNvPr>
        <xdr:cNvSpPr/>
      </xdr:nvSpPr>
      <xdr:spPr>
        <a:xfrm>
          <a:off x="621792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233680</xdr:colOff>
      <xdr:row>15</xdr:row>
      <xdr:rowOff>81280</xdr:rowOff>
    </xdr:from>
    <xdr:to>
      <xdr:col>6</xdr:col>
      <xdr:colOff>721360</xdr:colOff>
      <xdr:row>17</xdr:row>
      <xdr:rowOff>40640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408770A7-241C-E44B-B129-FFFC9A63D53D}"/>
            </a:ext>
          </a:extLst>
        </xdr:cNvPr>
        <xdr:cNvSpPr/>
      </xdr:nvSpPr>
      <xdr:spPr>
        <a:xfrm>
          <a:off x="7081520" y="335280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7</xdr:col>
      <xdr:colOff>172720</xdr:colOff>
      <xdr:row>15</xdr:row>
      <xdr:rowOff>91440</xdr:rowOff>
    </xdr:from>
    <xdr:to>
      <xdr:col>7</xdr:col>
      <xdr:colOff>660400</xdr:colOff>
      <xdr:row>17</xdr:row>
      <xdr:rowOff>50800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4B6C9841-2D7A-8C46-8CF6-7E3E72941182}"/>
            </a:ext>
          </a:extLst>
        </xdr:cNvPr>
        <xdr:cNvSpPr/>
      </xdr:nvSpPr>
      <xdr:spPr>
        <a:xfrm>
          <a:off x="7833360" y="3362960"/>
          <a:ext cx="487680" cy="284480"/>
        </a:xfrm>
        <a:prstGeom prst="ellipse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lIns="90000" rtlCol="0" anchor="ctr" anchorCtr="1"/>
        <a:lstStyle/>
        <a:p>
          <a:pPr algn="l"/>
          <a:r>
            <a:rPr lang="en-US" sz="11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 editAs="oneCell">
    <xdr:from>
      <xdr:col>9</xdr:col>
      <xdr:colOff>241300</xdr:colOff>
      <xdr:row>23</xdr:row>
      <xdr:rowOff>127000</xdr:rowOff>
    </xdr:from>
    <xdr:to>
      <xdr:col>21</xdr:col>
      <xdr:colOff>321924</xdr:colOff>
      <xdr:row>45</xdr:row>
      <xdr:rowOff>190500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CB5F39A-F7FD-184C-8065-79D32F289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5397500"/>
          <a:ext cx="8640424" cy="509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18D27-C25A-3E47-987E-CB35D1C533F4}" name="MainTable" displayName="MainTable" ref="B18:I46" totalsRowCount="1" headerRowDxfId="117" dataDxfId="116" totalsRowDxfId="115" headerRowCellStyle="Heading 1">
  <autoFilter ref="B18:I45" xr:uid="{9A4E6DA8-E206-5245-A8D4-003FEFBA9A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E57104-0C09-4F4C-939F-FFF3917819F9}" name="Course title" totalsRowLabel="Avg, GPA, Sum, Sum" dataDxfId="114" totalsRowDxfId="7"/>
    <tableColumn id="6" xr3:uid="{CD3EF8D6-D61D-474B-9A6A-684AB7E171CC}" name="Enter Percentage Grade" totalsRowFunction="average" dataDxfId="113" totalsRowDxfId="6"/>
    <tableColumn id="5" xr3:uid="{AA2043A8-6391-7B4B-9063-8AABABBB6DE2}" name="Passed" dataDxfId="112" totalsRowDxfId="5">
      <calculatedColumnFormula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calculatedColumnFormula>
    </tableColumn>
    <tableColumn id="2" xr3:uid="{C3CD6789-03AD-C644-9916-C74C646A76C1}" name="Numeric Grade" totalsRowFunction="custom" dataDxfId="111" totalsRowDxfId="4">
      <calculatedColumnFormula>IF(ISNUMBER(MainTable[[#This Row],[Enter Percentage Grade]]), VLOOKUP(MainTable[[#This Row],[Enter Percentage Grade]],GradeTable[],3,TRUE)," ")</calculatedColumnFormula>
      <totalsRowFormula>MainTable[[#Totals],[Quality Points]] / MainTable[[#Totals],[Credit Hours]]</totalsRowFormula>
    </tableColumn>
    <tableColumn id="10" xr3:uid="{879BCA7C-7B96-6542-A488-9A0904E49B39}" name="Letter Grade" dataDxfId="110" totalsRowDxfId="3">
      <calculatedColumnFormula>IF(ISNUMBER(MainTable[[#This Row],[Enter Percentage Grade]]), VLOOKUP(MainTable[[#This Row],[Enter Percentage Grade]],GradeTable[],2,TRUE), " ")</calculatedColumnFormula>
    </tableColumn>
    <tableColumn id="3" xr3:uid="{BFA49CA2-76E1-104A-B157-814539389E62}" name="Credit Hours" totalsRowFunction="sum" dataDxfId="109" totalsRowDxfId="2">
      <calculatedColumnFormula>3 * 15</calculatedColumnFormula>
    </tableColumn>
    <tableColumn id="4" xr3:uid="{940CB8EE-39B0-2D42-A1FD-9BB031B8CF8C}" name="Quality Points" totalsRowFunction="sum" dataDxfId="108" totalsRowDxfId="1">
      <calculatedColumnFormula>IF(ISNUMBER(MainTable[[#This Row],[Enter Percentage Grade]]),  MainTable[[#This Row],[Credit Hours]]*MainTable[[#This Row],[Numeric Grade]],  " ")</calculatedColumnFormula>
    </tableColumn>
    <tableColumn id="7" xr3:uid="{C69EA087-82E0-3641-8B23-59FB741CD061}" name="Term" dataDxfId="107" totalsRow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9010D8-853A-4547-89E9-9E7368D7410A}" name="Summary11" displayName="Summary11" ref="B12:E15" totalsRowCount="1" headerRowDxfId="22" dataDxfId="21" totalsRowDxfId="20">
  <autoFilter ref="B12:E14" xr:uid="{9587D20E-670A-8143-A460-EB2E9BD95BC3}">
    <filterColumn colId="0" hiddenButton="1"/>
    <filterColumn colId="1" hiddenButton="1"/>
    <filterColumn colId="2" hiddenButton="1"/>
    <filterColumn colId="3" hiddenButton="1"/>
  </autoFilter>
  <tableColumns count="4">
    <tableColumn id="1" xr3:uid="{1ACA360F-6B52-B546-85EA-C6FFC4AE54F8}" name="Requirement" totalsRowLabel="TOTAL" dataDxfId="19" totalsRowDxfId="18"/>
    <tableColumn id="2" xr3:uid="{1A8041BF-9CB1-FB40-A308-8A75EE649D42}" name="Total Creadit Hours" totalsRowFunction="sum" dataDxfId="17" totalsRowDxfId="16"/>
    <tableColumn id="3" xr3:uid="{F0EFBE37-6B5D-AE44-A6CD-665C7A8E5A1E}" name="Earned Hours" totalsRowFunction="sum" dataDxfId="15">
      <calculatedColumnFormula xml:space="preserve"> SUMIF(D19:D22, "Passed", G19:G22) + SUMIF(D25:D36, "Passed", G25:G36) + SUMIF(D38:D45, "Passed", G38:G45)</calculatedColumnFormula>
    </tableColumn>
    <tableColumn id="4" xr3:uid="{B4865D82-B517-C844-899B-9EBED7EC9620}" name="Requried Hours" totalsRowFunction="sum" dataDxfId="14" totalsRowDxfId="13">
      <calculatedColumnFormula>Summary11[[#This Row],[Total Creadit Hours]]-Summary11[[#This Row],[Earned Hours]]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EC13D5-F9B8-3644-AE21-35B606FC397C}" name="Table812" displayName="Table812" ref="A1:C18" totalsRowShown="0" headerRowDxfId="12" tableBorderDxfId="11">
  <autoFilter ref="A1:C18" xr:uid="{C9E406FE-7D8F-3241-BA06-FE15A5CBFFC8}">
    <filterColumn colId="0" hiddenButton="1"/>
    <filterColumn colId="1" hiddenButton="1"/>
    <filterColumn colId="2" hiddenButton="1"/>
  </autoFilter>
  <tableColumns count="3">
    <tableColumn id="1" xr3:uid="{B3CB8E4F-01E4-4642-95CB-84D492126258}" name="No" dataDxfId="10"/>
    <tableColumn id="2" xr3:uid="{F7B5D8FF-8F78-1846-913A-E21F8EAAD197}" name="Method Name" dataDxfId="9"/>
    <tableColumn id="3" xr3:uid="{9910C9CA-187C-D040-93E6-7082D7B71898}" name="Description" dataDxfId="8" dataCellStyle="Heading 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A6FAA-393B-7343-AA5D-D1A816E01796}" name="GradeTable" displayName="GradeTable" ref="K18:M23" totalsRowShown="0" headerRowDxfId="106" dataDxfId="105">
  <autoFilter ref="K18:M23" xr:uid="{A94FFCAE-FCAE-224F-AD05-BDA4D48D5772}">
    <filterColumn colId="0" hiddenButton="1"/>
    <filterColumn colId="1" hiddenButton="1"/>
    <filterColumn colId="2" hiddenButton="1"/>
  </autoFilter>
  <tableColumns count="3">
    <tableColumn id="2" xr3:uid="{982F78F3-8950-3544-B13E-2DF5FB69A57E}" name="Percentage grade" dataDxfId="104"/>
    <tableColumn id="1" xr3:uid="{507C2859-A138-7B40-B983-8BC22A21FAC9}" name="Letter Grade" dataDxfId="103"/>
    <tableColumn id="3" xr3:uid="{9738A945-13C2-5442-95A7-E874E23C7999}" name="Numeric Grade" dataDxfId="102"/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458F3-DB57-844F-8D06-BE503ED614D1}" name="Summary" displayName="Summary" ref="B12:E15" totalsRowCount="1" headerRowDxfId="101" dataDxfId="100" totalsRowDxfId="99">
  <autoFilter ref="B12:E14" xr:uid="{9587D20E-670A-8143-A460-EB2E9BD95BC3}">
    <filterColumn colId="0" hiddenButton="1"/>
    <filterColumn colId="1" hiddenButton="1"/>
    <filterColumn colId="2" hiddenButton="1"/>
    <filterColumn colId="3" hiddenButton="1"/>
  </autoFilter>
  <tableColumns count="4">
    <tableColumn id="1" xr3:uid="{9E00B97F-B24F-8F40-B3EF-1FAE6D920C2E}" name="Requirement" totalsRowLabel="TOTAL" dataDxfId="98" totalsRowDxfId="97"/>
    <tableColumn id="2" xr3:uid="{3C2E71B7-12F1-DA40-991C-394C9D9BC5CE}" name="Total Creadit Hours" totalsRowFunction="sum" dataDxfId="96" totalsRowDxfId="95"/>
    <tableColumn id="3" xr3:uid="{45B4BD6C-6E66-EB4B-A794-92277F0D5D06}" name="Earned Hours" totalsRowFunction="sum" dataDxfId="94" totalsRowDxfId="93"/>
    <tableColumn id="4" xr3:uid="{B088BE35-4986-2C48-B142-A740A05F1310}" name="Requried Hours" totalsRowFunction="sum" dataDxfId="92" totalsRowDxfId="91">
      <calculatedColumnFormula>Summary[[#This Row],[Total Creadit Hours]]-Summary[[#This Row],[Earned Hours]]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45A25E-7640-A647-8EC0-A74FD9A77B60}" name="MainTable6" displayName="MainTable6" ref="B18:I46" totalsRowCount="1" headerRowDxfId="88" dataDxfId="87" totalsRowDxfId="86" headerRowCellStyle="Heading 1">
  <autoFilter ref="B18:I45" xr:uid="{9A4E6DA8-E206-5245-A8D4-003FEFBA9A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8EB647-C443-5745-98E9-BED830181E53}" name="Course title" totalsRowLabel="Avg, GPA, Sum, Sum" dataDxfId="85" totalsRowDxfId="84"/>
    <tableColumn id="6" xr3:uid="{17148B81-7D9C-864F-AF4A-4730748DC4D2}" name="Enter Percentage Grade" totalsRowLabel="0.0" dataDxfId="83" totalsRowDxfId="82"/>
    <tableColumn id="5" xr3:uid="{4A128321-AA1C-8149-BD8A-13C4F677B6C6}" name="Passed" dataDxfId="81" totalsRowDxfId="80">
      <calculatedColumnFormula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calculatedColumnFormula>
    </tableColumn>
    <tableColumn id="2" xr3:uid="{D8E215D0-D964-9E4C-BA4D-01471B187DE9}" name="Numeric Grade" totalsRowFunction="custom" dataDxfId="79" totalsRowDxfId="78">
      <calculatedColumnFormula>IF(ISNUMBER(MainTable6[[#This Row],[Enter Percentage Grade]]), VLOOKUP(MainTable6[[#This Row],[Enter Percentage Grade]],GradeTable7[],3,TRUE)," ")</calculatedColumnFormula>
      <totalsRowFormula>MainTable6[[#Totals],[Quality Points]] / MainTable6[[#Totals],[Credit Hours]]</totalsRowFormula>
    </tableColumn>
    <tableColumn id="10" xr3:uid="{28BEC820-D01F-AE45-9A83-5E68C7E40793}" name="Letter Grade" dataDxfId="77" totalsRowDxfId="76">
      <calculatedColumnFormula>IF(ISNUMBER(MainTable6[[#This Row],[Enter Percentage Grade]]), VLOOKUP(MainTable6[[#This Row],[Enter Percentage Grade]],GradeTable7[],2,TRUE), " ")</calculatedColumnFormula>
    </tableColumn>
    <tableColumn id="3" xr3:uid="{7ACFC809-A63E-E143-A5E3-5C8F9D9BC69D}" name="Credit Hours" totalsRowFunction="sum" dataDxfId="75" totalsRowDxfId="74">
      <calculatedColumnFormula>3 * 15</calculatedColumnFormula>
    </tableColumn>
    <tableColumn id="4" xr3:uid="{186A68EC-9C9A-5441-BA26-2A9BA0295CEB}" name="Quality Points" totalsRowFunction="sum" dataDxfId="73" totalsRowDxfId="72">
      <calculatedColumnFormula>IF(ISNUMBER(MainTable6[[#This Row],[Enter Percentage Grade]]),  MainTable6[[#This Row],[Credit Hours]]*MainTable6[[#This Row],[Numeric Grade]],  " ")</calculatedColumnFormula>
    </tableColumn>
    <tableColumn id="7" xr3:uid="{4225C0B1-0689-E54A-9D56-2B0A42F3A285}" name="Term" dataDxfId="71" totalsRowDxfId="7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3660E0-0DEA-6448-871A-A9BD719E1F12}" name="GradeTable7" displayName="GradeTable7" ref="K18:M23" totalsRowShown="0" headerRowDxfId="69" dataDxfId="68">
  <autoFilter ref="K18:M23" xr:uid="{A94FFCAE-FCAE-224F-AD05-BDA4D48D5772}">
    <filterColumn colId="0" hiddenButton="1"/>
    <filterColumn colId="1" hiddenButton="1"/>
    <filterColumn colId="2" hiddenButton="1"/>
  </autoFilter>
  <tableColumns count="3">
    <tableColumn id="2" xr3:uid="{A73628BD-FF41-964D-B04A-EB7AC7E6897F}" name="Percentage grade" dataDxfId="67"/>
    <tableColumn id="1" xr3:uid="{F3C8C37C-9D8E-444F-8BAB-0D6D6A036643}" name="Letter Grade" dataDxfId="66"/>
    <tableColumn id="3" xr3:uid="{ADAF2D05-41FA-BD4F-8689-A5C54CA0C874}" name="Numeric Grade" dataDxfId="65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95C5E6-9A0D-9548-9E4E-090D68ABDD8C}" name="Summary8" displayName="Summary8" ref="B12:E15" totalsRowCount="1" headerRowDxfId="64" dataDxfId="63">
  <autoFilter ref="B12:E14" xr:uid="{9587D20E-670A-8143-A460-EB2E9BD95BC3}">
    <filterColumn colId="0" hiddenButton="1"/>
    <filterColumn colId="1" hiddenButton="1"/>
    <filterColumn colId="2" hiddenButton="1"/>
    <filterColumn colId="3" hiddenButton="1"/>
  </autoFilter>
  <tableColumns count="4">
    <tableColumn id="1" xr3:uid="{4DE03171-4B34-9C49-A21A-6879BE16DB3A}" name="Requirement" totalsRowLabel="TOTAL" dataDxfId="62" totalsRowDxfId="61"/>
    <tableColumn id="2" xr3:uid="{92782191-20D6-DB44-968A-CFAB580A3DC2}" name="Total Creadit Hours" totalsRowFunction="sum" dataDxfId="60" totalsRowDxfId="59"/>
    <tableColumn id="3" xr3:uid="{CFAE6B78-63A7-FC44-9DF2-C9FC25888AA7}" name="Earned Hours" totalsRowFunction="sum" dataDxfId="58" totalsRowDxfId="57"/>
    <tableColumn id="4" xr3:uid="{0613E48D-2BA7-B246-A08D-9E563B5B92B2}" name="Requried Hours" totalsRowFunction="sum" dataDxfId="56" totalsRowDxfId="55">
      <calculatedColumnFormula>Summary8[[#This Row],[Total Creadit Hours]]-Summary8[[#This Row],[Earned Hours]]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E8C3FD-AB95-8040-AA1C-A9E871303303}" name="Table8" displayName="Table8" ref="A1:D24" totalsRowShown="0" headerRowDxfId="54" tableBorderDxfId="53">
  <autoFilter ref="A1:D24" xr:uid="{C9E406FE-7D8F-3241-BA06-FE15A5CBFFC8}">
    <filterColumn colId="0" hiddenButton="1"/>
    <filterColumn colId="1" hiddenButton="1"/>
    <filterColumn colId="2" hiddenButton="1"/>
    <filterColumn colId="3" hiddenButton="1"/>
  </autoFilter>
  <tableColumns count="4">
    <tableColumn id="1" xr3:uid="{EADDB0EB-7D49-334F-B6E2-749BDA361BD6}" name="No" dataDxfId="52"/>
    <tableColumn id="2" xr3:uid="{511BD388-26D4-1449-AE8A-6A0E390789FF}" name="Control Name" dataDxfId="51"/>
    <tableColumn id="3" xr3:uid="{D3C14012-A3EC-BB47-950E-B88C942B065D}" name="Control Type" dataDxfId="50" dataCellStyle="Heading 3"/>
    <tableColumn id="4" xr3:uid="{7696E987-3BE1-BC44-BD14-D45DC72B7E7C}" name="Property" dataDxfId="4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72431-DAF3-FB43-B80E-5C2E5F4DCB93}" name="MainTable2" displayName="MainTable2" ref="B18:I46" totalsRowCount="1" headerRowDxfId="46" dataDxfId="45" totalsRowDxfId="44" headerRowCellStyle="Heading 1">
  <autoFilter ref="B18:I45" xr:uid="{9A4E6DA8-E206-5245-A8D4-003FEFBA9A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9DF9CB4-15B6-534A-AFE8-FC197247BBC2}" name="Course title" totalsRowLabel="Avg, GPA, Sum, Sum" dataDxfId="43" totalsRowDxfId="42"/>
    <tableColumn id="6" xr3:uid="{A865D6A6-C6D5-2649-B331-600E1559B8AF}" name="Enter Percentage Grade" totalsRowFunction="average" dataDxfId="41" totalsRowDxfId="40"/>
    <tableColumn id="5" xr3:uid="{8EF86A2A-30C9-5849-BE17-864C570FA547}" name="Passed" dataDxfId="39" totalsRowDxfId="38">
      <calculatedColumnFormula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calculatedColumnFormula>
    </tableColumn>
    <tableColumn id="2" xr3:uid="{680E81EA-33D1-2940-93C0-8C10C73C2BBA}" name="Numeric Grade" totalsRowFunction="custom" dataDxfId="37" totalsRowDxfId="36">
      <calculatedColumnFormula>IF(ISNUMBER(MainTable2[[#This Row],[Enter Percentage Grade]]), VLOOKUP(MainTable2[[#This Row],[Enter Percentage Grade]],GradeTable10[],3,TRUE)," ")</calculatedColumnFormula>
      <totalsRowFormula>MainTable2[[#Totals],[Quality Points]] / MainTable2[[#Totals],[Credit Hours]]</totalsRowFormula>
    </tableColumn>
    <tableColumn id="10" xr3:uid="{1ACA6E6D-B561-6942-936D-C13FE0CEE549}" name="Letter Grade" dataDxfId="35" totalsRowDxfId="34">
      <calculatedColumnFormula>IF(ISNUMBER(MainTable2[[#This Row],[Enter Percentage Grade]]), VLOOKUP(MainTable2[[#This Row],[Enter Percentage Grade]],GradeTable10[],2,TRUE), " ")</calculatedColumnFormula>
    </tableColumn>
    <tableColumn id="3" xr3:uid="{33199AEC-D22E-4340-8297-F9E7DA5F83E5}" name="Credit Hours" totalsRowFunction="sum" dataDxfId="33" totalsRowDxfId="32">
      <calculatedColumnFormula>3 * 15</calculatedColumnFormula>
    </tableColumn>
    <tableColumn id="4" xr3:uid="{8E3549A4-81A9-884F-8377-D873F92DCA86}" name="Quality Points" totalsRowFunction="sum" dataDxfId="31" totalsRowDxfId="30">
      <calculatedColumnFormula>IF(ISNUMBER(MainTable2[[#This Row],[Enter Percentage Grade]]),  MainTable2[[#This Row],[Credit Hours]]*MainTable2[[#This Row],[Numeric Grade]],  " ")</calculatedColumnFormula>
    </tableColumn>
    <tableColumn id="7" xr3:uid="{7FBF669C-555E-DB4C-8B98-CBC1E9105044}" name="Term" dataDxfId="29" totalsRowDxfId="2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7032FF-CD22-3447-9F63-6503725D0F68}" name="GradeTable10" displayName="GradeTable10" ref="K18:M23" totalsRowShown="0" headerRowDxfId="27" dataDxfId="26">
  <autoFilter ref="K18:M23" xr:uid="{A94FFCAE-FCAE-224F-AD05-BDA4D48D5772}">
    <filterColumn colId="0" hiddenButton="1"/>
    <filterColumn colId="1" hiddenButton="1"/>
    <filterColumn colId="2" hiddenButton="1"/>
  </autoFilter>
  <tableColumns count="3">
    <tableColumn id="2" xr3:uid="{DFA18D6D-F4B1-5042-ABE8-DB79C5DE8586}" name="Percentage grade" dataDxfId="25"/>
    <tableColumn id="1" xr3:uid="{92B04FCD-388F-0742-90A2-3F8EC3360EBF}" name="Letter Grade" dataDxfId="24"/>
    <tableColumn id="3" xr3:uid="{8949A82C-0D44-944C-BA4E-DC267FC026A6}" name="Numeric Grade" dataDxfId="23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4D6C-8D69-664C-B6F5-8CDF65331264}">
  <sheetPr codeName="Sheet1"/>
  <dimension ref="B1:M46"/>
  <sheetViews>
    <sheetView showGridLines="0" tabSelected="1" zoomScale="120" zoomScaleNormal="120" workbookViewId="0">
      <selection activeCell="J12" sqref="J12"/>
    </sheetView>
    <sheetView tabSelected="1" workbookViewId="1"/>
  </sheetViews>
  <sheetFormatPr baseColWidth="10" defaultColWidth="11" defaultRowHeight="13"/>
  <cols>
    <col min="1" max="1" width="4.796875" style="148" customWidth="1"/>
    <col min="2" max="2" width="40.59765625" style="148" customWidth="1"/>
    <col min="3" max="3" width="22.3984375" style="148" customWidth="1"/>
    <col min="4" max="4" width="13.796875" style="148" customWidth="1"/>
    <col min="5" max="5" width="14.19921875" style="144" customWidth="1"/>
    <col min="6" max="6" width="12" style="144" customWidth="1"/>
    <col min="7" max="7" width="12.796875" style="144" customWidth="1"/>
    <col min="8" max="8" width="15" style="144" customWidth="1"/>
    <col min="9" max="9" width="10" style="144" customWidth="1"/>
    <col min="10" max="10" width="4.796875" style="148" customWidth="1"/>
    <col min="11" max="11" width="13.796875" style="123" customWidth="1"/>
    <col min="12" max="12" width="11.796875" style="54" customWidth="1"/>
    <col min="13" max="13" width="16.3984375" style="123" customWidth="1"/>
    <col min="14" max="16384" width="11" style="148"/>
  </cols>
  <sheetData>
    <row r="1" spans="2:12" s="123" customFormat="1" ht="28" customHeight="1">
      <c r="B1" s="119" t="s">
        <v>2</v>
      </c>
      <c r="C1" s="120"/>
      <c r="D1" s="121"/>
      <c r="E1" s="122"/>
      <c r="F1" s="122"/>
      <c r="G1" s="122"/>
      <c r="H1" s="122"/>
      <c r="I1" s="122"/>
      <c r="L1" s="54"/>
    </row>
    <row r="2" spans="2:12" s="123" customFormat="1" ht="21" customHeight="1">
      <c r="B2" s="124" t="s">
        <v>55</v>
      </c>
      <c r="C2" s="120"/>
      <c r="D2" s="121"/>
      <c r="E2" s="122"/>
      <c r="F2" s="122"/>
      <c r="G2" s="122"/>
      <c r="H2" s="122"/>
      <c r="I2" s="122"/>
      <c r="L2" s="54"/>
    </row>
    <row r="3" spans="2:12" s="123" customFormat="1" ht="16">
      <c r="B3" s="125" t="s">
        <v>54</v>
      </c>
      <c r="C3" s="121"/>
      <c r="D3" s="121"/>
      <c r="E3" s="122"/>
      <c r="F3" s="122"/>
      <c r="G3" s="122"/>
      <c r="H3" s="122"/>
      <c r="I3" s="122"/>
      <c r="L3" s="54"/>
    </row>
    <row r="4" spans="2:12" s="123" customFormat="1" ht="11" customHeight="1">
      <c r="B4" s="126"/>
      <c r="C4" s="127"/>
      <c r="D4" s="128"/>
      <c r="E4" s="129"/>
      <c r="F4" s="129"/>
      <c r="G4" s="129"/>
      <c r="H4" s="129"/>
      <c r="I4" s="129"/>
      <c r="L4" s="54"/>
    </row>
    <row r="5" spans="2:12" s="123" customFormat="1" ht="29" customHeight="1">
      <c r="B5" s="130" t="s">
        <v>95</v>
      </c>
      <c r="C5" s="131"/>
      <c r="D5" s="132"/>
      <c r="E5" s="133"/>
      <c r="F5" s="133"/>
      <c r="G5" s="133"/>
      <c r="H5" s="133"/>
      <c r="I5" s="133"/>
      <c r="L5" s="54"/>
    </row>
    <row r="6" spans="2:12" s="123" customFormat="1" ht="2" customHeight="1">
      <c r="B6" s="134"/>
      <c r="C6" s="134"/>
      <c r="D6" s="134"/>
      <c r="E6" s="134"/>
      <c r="F6" s="134"/>
      <c r="G6" s="134"/>
      <c r="H6" s="134"/>
      <c r="I6" s="134"/>
      <c r="L6" s="54"/>
    </row>
    <row r="7" spans="2:12" s="123" customFormat="1" ht="24" customHeight="1">
      <c r="B7" s="188" t="str">
        <f>CONCATENATE("Current GPA (", TEXT( MainTable[[#Totals],[Numeric Grade]],  "0.0"),   ") / Outstanding GPA (2.0)")</f>
        <v>Current GPA (1.6) / Outstanding GPA (2.0)</v>
      </c>
      <c r="C7" s="188"/>
      <c r="D7" s="135">
        <f>MainTable[[#Totals],[Numeric Grade]] - 2</f>
        <v>-0.37697516930022568</v>
      </c>
      <c r="E7" s="136" t="str">
        <f>IF(D7&lt;0,CONCATENATE("  You need to Increase your GPA ",TEXT(D7*-1,"0.00"), " for graduation"),"  Your GPA meets to graduate ")</f>
        <v xml:space="preserve">  You need to Increase your GPA 0.38 for graduation</v>
      </c>
      <c r="F7" s="137"/>
      <c r="G7" s="137"/>
      <c r="H7" s="134"/>
      <c r="I7" s="137"/>
      <c r="L7" s="54"/>
    </row>
    <row r="8" spans="2:12" s="123" customFormat="1" ht="3" customHeight="1">
      <c r="B8" s="138"/>
      <c r="C8" s="138"/>
      <c r="D8" s="138"/>
      <c r="E8" s="138"/>
      <c r="F8" s="138"/>
      <c r="G8" s="137"/>
      <c r="H8" s="134"/>
      <c r="I8" s="137"/>
      <c r="L8" s="54"/>
    </row>
    <row r="9" spans="2:12" s="123" customFormat="1" ht="23" customHeight="1">
      <c r="B9" s="188" t="str">
        <f>CONCATENATE("Required Hours : ",  TEXT(Summary[[#Totals],[Requried Hours]], "0 "), "/1350 hours")</f>
        <v>Required Hours : 420 /1350 hours</v>
      </c>
      <c r="C9" s="188"/>
      <c r="D9" s="139">
        <f>(Summary[[#Totals],[Earned Hours]] - Summary[[#Totals],[Total Creadit Hours]]) * -1</f>
        <v>420</v>
      </c>
      <c r="E9" s="136" t="str">
        <f>IF(AND(D9&lt;1350, D9 &gt; 0),CONCATENATE("  You need to obtain ",TEXT(D9,"0")," more creadit hours for graduration")," You've obtained all creadit hours to graduate ")</f>
        <v xml:space="preserve">  You need to obtain 420 more creadit hours for graduration</v>
      </c>
      <c r="F9" s="137"/>
      <c r="G9" s="137"/>
      <c r="H9" s="134"/>
      <c r="I9" s="137"/>
      <c r="L9" s="54"/>
    </row>
    <row r="10" spans="2:12" s="123" customFormat="1" ht="4" customHeight="1">
      <c r="B10" s="140"/>
      <c r="C10" s="141"/>
      <c r="D10" s="141"/>
      <c r="E10" s="140"/>
      <c r="F10" s="140"/>
      <c r="G10" s="140"/>
      <c r="H10" s="140"/>
      <c r="I10" s="140"/>
      <c r="L10" s="54"/>
    </row>
    <row r="11" spans="2:12" s="123" customFormat="1">
      <c r="E11" s="142"/>
      <c r="F11" s="142"/>
      <c r="G11" s="142"/>
      <c r="H11" s="142"/>
      <c r="I11" s="142"/>
      <c r="L11" s="54"/>
    </row>
    <row r="12" spans="2:12" s="123" customFormat="1" ht="28" customHeight="1">
      <c r="B12" s="143" t="s">
        <v>50</v>
      </c>
      <c r="C12" s="143" t="s">
        <v>51</v>
      </c>
      <c r="D12" s="143" t="s">
        <v>57</v>
      </c>
      <c r="E12" s="143" t="s">
        <v>58</v>
      </c>
      <c r="F12" s="142"/>
      <c r="G12" s="144"/>
      <c r="H12" s="144"/>
      <c r="I12" s="144"/>
      <c r="L12" s="54"/>
    </row>
    <row r="13" spans="2:12" s="123" customFormat="1" ht="18" customHeight="1">
      <c r="B13" s="145" t="s">
        <v>52</v>
      </c>
      <c r="C13" s="142">
        <f>SUM(G19:G22,G25:G36,G38:G45)</f>
        <v>1197</v>
      </c>
      <c r="D13" s="146">
        <f t="shared" ref="D13" si="0" xml:space="preserve"> SUMIF(D19:D22, "Passed", G19:G22) + SUMIF(D25:D36, "Passed", G25:G36) + SUMIF(D38:D45, "Passed", G38:G45)</f>
        <v>777</v>
      </c>
      <c r="E13" s="142">
        <f>Summary[[#This Row],[Total Creadit Hours]]-Summary[[#This Row],[Earned Hours]]</f>
        <v>420</v>
      </c>
      <c r="F13" s="142"/>
      <c r="G13" s="144"/>
      <c r="H13" s="144"/>
      <c r="I13" s="144"/>
      <c r="L13" s="54"/>
    </row>
    <row r="14" spans="2:12" s="123" customFormat="1" ht="18" customHeight="1">
      <c r="B14" s="145" t="s">
        <v>53</v>
      </c>
      <c r="C14" s="142">
        <f>SUM(G23,G24,G37)</f>
        <v>132</v>
      </c>
      <c r="D14" s="146">
        <f>SUMIF(D23:D24, "Passed", G23:G24) + SUMIF(D37, "Passed", G37)</f>
        <v>132</v>
      </c>
      <c r="E14" s="142">
        <f>Summary[[#This Row],[Total Creadit Hours]]-Summary[[#This Row],[Earned Hours]]</f>
        <v>0</v>
      </c>
      <c r="F14" s="142"/>
      <c r="G14" s="144"/>
      <c r="H14" s="144"/>
      <c r="I14" s="144"/>
      <c r="L14" s="54"/>
    </row>
    <row r="15" spans="2:12" s="123" customFormat="1" ht="18" customHeight="1">
      <c r="B15" s="142" t="s">
        <v>0</v>
      </c>
      <c r="C15" s="142">
        <f>SUBTOTAL(109,Summary[Total Creadit Hours])</f>
        <v>1329</v>
      </c>
      <c r="D15" s="147">
        <f>SUBTOTAL(109,Summary[Earned Hours])</f>
        <v>909</v>
      </c>
      <c r="E15" s="147">
        <f>SUBTOTAL(109,Summary[Requried Hours])</f>
        <v>420</v>
      </c>
      <c r="F15" s="142"/>
      <c r="G15" s="144"/>
      <c r="H15" s="144"/>
      <c r="I15" s="144"/>
      <c r="L15" s="54"/>
    </row>
    <row r="16" spans="2:12" s="123" customFormat="1" ht="9" customHeight="1">
      <c r="B16" s="142"/>
      <c r="C16" s="142"/>
      <c r="D16" s="147"/>
      <c r="E16" s="147"/>
      <c r="F16" s="142"/>
      <c r="G16" s="144"/>
      <c r="H16" s="144"/>
      <c r="I16" s="144"/>
      <c r="L16" s="54"/>
    </row>
    <row r="17" spans="2:13" ht="17" customHeight="1" thickBot="1"/>
    <row r="18" spans="2:13" ht="42" customHeight="1" thickBot="1">
      <c r="B18" s="149" t="s">
        <v>45</v>
      </c>
      <c r="C18" s="176" t="s">
        <v>62</v>
      </c>
      <c r="D18" s="149" t="s">
        <v>49</v>
      </c>
      <c r="E18" s="149" t="s">
        <v>43</v>
      </c>
      <c r="F18" s="149" t="s">
        <v>37</v>
      </c>
      <c r="G18" s="149" t="s">
        <v>60</v>
      </c>
      <c r="H18" s="149" t="s">
        <v>36</v>
      </c>
      <c r="I18" s="149" t="s">
        <v>59</v>
      </c>
      <c r="K18" s="150" t="s">
        <v>44</v>
      </c>
      <c r="L18" s="150" t="s">
        <v>37</v>
      </c>
      <c r="M18" s="150" t="s">
        <v>43</v>
      </c>
    </row>
    <row r="19" spans="2:13" ht="18" customHeight="1">
      <c r="B19" s="151" t="s">
        <v>12</v>
      </c>
      <c r="C19" s="170">
        <v>79.2</v>
      </c>
      <c r="D19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19" s="152">
        <f>IF(ISNUMBER(MainTable[[#This Row],[Enter Percentage Grade]]), VLOOKUP(MainTable[[#This Row],[Enter Percentage Grade]],GradeTable[],3,TRUE)," ")</f>
        <v>3</v>
      </c>
      <c r="F19" s="153" t="str">
        <f>IF(ISNUMBER(MainTable[[#This Row],[Enter Percentage Grade]]), VLOOKUP(MainTable[[#This Row],[Enter Percentage Grade]],GradeTable[],2,TRUE), " ")</f>
        <v>B</v>
      </c>
      <c r="G19" s="153">
        <f>3 * 15</f>
        <v>45</v>
      </c>
      <c r="H19" s="153">
        <f>IF(ISNUMBER(MainTable[[#This Row],[Enter Percentage Grade]]),  MainTable[[#This Row],[Credit Hours]]*MainTable[[#This Row],[Numeric Grade]],  " ")</f>
        <v>135</v>
      </c>
      <c r="I19" s="153">
        <v>1</v>
      </c>
      <c r="K19" s="154">
        <v>0</v>
      </c>
      <c r="L19" s="154" t="s">
        <v>42</v>
      </c>
      <c r="M19" s="155">
        <v>0</v>
      </c>
    </row>
    <row r="20" spans="2:13" ht="19" customHeight="1">
      <c r="B20" s="156" t="s">
        <v>13</v>
      </c>
      <c r="C20" s="171">
        <v>79.2</v>
      </c>
      <c r="D20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0" s="152">
        <f>IF(ISNUMBER(MainTable[[#This Row],[Enter Percentage Grade]]), VLOOKUP(MainTable[[#This Row],[Enter Percentage Grade]],GradeTable[],3,TRUE)," ")</f>
        <v>3</v>
      </c>
      <c r="F20" s="153" t="str">
        <f>IF(ISNUMBER(MainTable[[#This Row],[Enter Percentage Grade]]), VLOOKUP(MainTable[[#This Row],[Enter Percentage Grade]],GradeTable[],2,TRUE), " ")</f>
        <v>B</v>
      </c>
      <c r="G20" s="153">
        <f t="shared" ref="G20:G45" si="1">3 * 15</f>
        <v>45</v>
      </c>
      <c r="H20" s="153">
        <f>IF(ISNUMBER(MainTable[[#This Row],[Enter Percentage Grade]]),  MainTable[[#This Row],[Credit Hours]]*MainTable[[#This Row],[Numeric Grade]],  " ")</f>
        <v>135</v>
      </c>
      <c r="I20" s="153">
        <v>1</v>
      </c>
      <c r="K20" s="154">
        <v>50</v>
      </c>
      <c r="L20" s="154" t="s">
        <v>41</v>
      </c>
      <c r="M20" s="155">
        <v>1</v>
      </c>
    </row>
    <row r="21" spans="2:13" ht="18" customHeight="1">
      <c r="B21" s="156" t="s">
        <v>14</v>
      </c>
      <c r="C21" s="171">
        <v>99</v>
      </c>
      <c r="D21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1" s="152">
        <f>IF(ISNUMBER(MainTable[[#This Row],[Enter Percentage Grade]]), VLOOKUP(MainTable[[#This Row],[Enter Percentage Grade]],GradeTable[],3,TRUE)," ")</f>
        <v>4</v>
      </c>
      <c r="F21" s="153" t="str">
        <f>IF(ISNUMBER(MainTable[[#This Row],[Enter Percentage Grade]]), VLOOKUP(MainTable[[#This Row],[Enter Percentage Grade]],GradeTable[],2,TRUE), " ")</f>
        <v>A</v>
      </c>
      <c r="G21" s="153">
        <f t="shared" si="1"/>
        <v>45</v>
      </c>
      <c r="H21" s="153">
        <f>IF(ISNUMBER(MainTable[[#This Row],[Enter Percentage Grade]]),  MainTable[[#This Row],[Credit Hours]]*MainTable[[#This Row],[Numeric Grade]],  " ")</f>
        <v>180</v>
      </c>
      <c r="I21" s="153">
        <v>1</v>
      </c>
      <c r="K21" s="154">
        <v>60</v>
      </c>
      <c r="L21" s="154" t="s">
        <v>40</v>
      </c>
      <c r="M21" s="155">
        <v>2</v>
      </c>
    </row>
    <row r="22" spans="2:13" ht="18" customHeight="1">
      <c r="B22" s="156" t="s">
        <v>15</v>
      </c>
      <c r="C22" s="171">
        <v>97</v>
      </c>
      <c r="D22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2" s="152">
        <f>IF(ISNUMBER(MainTable[[#This Row],[Enter Percentage Grade]]), VLOOKUP(MainTable[[#This Row],[Enter Percentage Grade]],GradeTable[],3,TRUE)," ")</f>
        <v>4</v>
      </c>
      <c r="F22" s="153" t="str">
        <f>IF(ISNUMBER(MainTable[[#This Row],[Enter Percentage Grade]]), VLOOKUP(MainTable[[#This Row],[Enter Percentage Grade]],GradeTable[],2,TRUE), " ")</f>
        <v>A</v>
      </c>
      <c r="G22" s="153">
        <f t="shared" si="1"/>
        <v>45</v>
      </c>
      <c r="H22" s="153">
        <f>IF(ISNUMBER(MainTable[[#This Row],[Enter Percentage Grade]]),  MainTable[[#This Row],[Credit Hours]]*MainTable[[#This Row],[Numeric Grade]],  " ")</f>
        <v>180</v>
      </c>
      <c r="I22" s="153">
        <v>1</v>
      </c>
      <c r="K22" s="154">
        <v>70</v>
      </c>
      <c r="L22" s="154" t="s">
        <v>39</v>
      </c>
      <c r="M22" s="155">
        <v>3</v>
      </c>
    </row>
    <row r="23" spans="2:13" ht="18" customHeight="1">
      <c r="B23" s="156" t="s">
        <v>46</v>
      </c>
      <c r="C23" s="171">
        <v>50</v>
      </c>
      <c r="D23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3" s="152">
        <f>IF(ISNUMBER(MainTable[[#This Row],[Enter Percentage Grade]]), VLOOKUP(MainTable[[#This Row],[Enter Percentage Grade]],GradeTable[],3,TRUE)," ")</f>
        <v>1</v>
      </c>
      <c r="F23" s="153" t="str">
        <f>IF(ISNUMBER(MainTable[[#This Row],[Enter Percentage Grade]]), VLOOKUP(MainTable[[#This Row],[Enter Percentage Grade]],GradeTable[],2,TRUE), " ")</f>
        <v>D</v>
      </c>
      <c r="G23" s="153">
        <f t="shared" si="1"/>
        <v>45</v>
      </c>
      <c r="H23" s="153">
        <f>IF(ISNUMBER(MainTable[[#This Row],[Enter Percentage Grade]]),  MainTable[[#This Row],[Credit Hours]]*MainTable[[#This Row],[Numeric Grade]],  " ")</f>
        <v>45</v>
      </c>
      <c r="I23" s="153">
        <v>1</v>
      </c>
      <c r="K23" s="154">
        <v>80</v>
      </c>
      <c r="L23" s="154" t="s">
        <v>38</v>
      </c>
      <c r="M23" s="155">
        <v>4</v>
      </c>
    </row>
    <row r="24" spans="2:13" ht="18" customHeight="1">
      <c r="B24" s="156" t="s">
        <v>47</v>
      </c>
      <c r="C24" s="171">
        <v>50</v>
      </c>
      <c r="D24" s="152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4" s="152">
        <f>IF(ISNUMBER(MainTable[[#This Row],[Enter Percentage Grade]]), VLOOKUP(MainTable[[#This Row],[Enter Percentage Grade]],GradeTable[],3,TRUE)," ")</f>
        <v>1</v>
      </c>
      <c r="F24" s="153" t="str">
        <f>IF(ISNUMBER(MainTable[[#This Row],[Enter Percentage Grade]]), VLOOKUP(MainTable[[#This Row],[Enter Percentage Grade]],GradeTable[],2,TRUE), " ")</f>
        <v>D</v>
      </c>
      <c r="G24" s="153">
        <f t="shared" si="1"/>
        <v>45</v>
      </c>
      <c r="H24" s="153">
        <f>IF(ISNUMBER(MainTable[[#This Row],[Enter Percentage Grade]]),  MainTable[[#This Row],[Credit Hours]]*MainTable[[#This Row],[Numeric Grade]],  " ")</f>
        <v>45</v>
      </c>
      <c r="I24" s="153">
        <v>1</v>
      </c>
    </row>
    <row r="25" spans="2:13" ht="18" customHeight="1">
      <c r="B25" s="157" t="s">
        <v>16</v>
      </c>
      <c r="C25" s="172">
        <v>61</v>
      </c>
      <c r="D25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5" s="158">
        <f>IF(ISNUMBER(MainTable[[#This Row],[Enter Percentage Grade]]), VLOOKUP(MainTable[[#This Row],[Enter Percentage Grade]],GradeTable[],3,TRUE)," ")</f>
        <v>2</v>
      </c>
      <c r="F25" s="159" t="str">
        <f>IF(ISNUMBER(MainTable[[#This Row],[Enter Percentage Grade]]), VLOOKUP(MainTable[[#This Row],[Enter Percentage Grade]],GradeTable[],2,TRUE), " ")</f>
        <v>C</v>
      </c>
      <c r="G25" s="159">
        <f t="shared" si="1"/>
        <v>45</v>
      </c>
      <c r="H25" s="159">
        <f>IF(ISNUMBER(MainTable[[#This Row],[Enter Percentage Grade]]),  MainTable[[#This Row],[Credit Hours]]*MainTable[[#This Row],[Numeric Grade]],  " ")</f>
        <v>90</v>
      </c>
      <c r="I25" s="159">
        <v>2</v>
      </c>
    </row>
    <row r="26" spans="2:13" ht="18" customHeight="1">
      <c r="B26" s="157" t="s">
        <v>17</v>
      </c>
      <c r="C26" s="172">
        <v>80</v>
      </c>
      <c r="D26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6" s="158">
        <f>IF(ISNUMBER(MainTable[[#This Row],[Enter Percentage Grade]]), VLOOKUP(MainTable[[#This Row],[Enter Percentage Grade]],GradeTable[],3,TRUE)," ")</f>
        <v>4</v>
      </c>
      <c r="F26" s="159" t="str">
        <f>IF(ISNUMBER(MainTable[[#This Row],[Enter Percentage Grade]]), VLOOKUP(MainTable[[#This Row],[Enter Percentage Grade]],GradeTable[],2,TRUE), " ")</f>
        <v>A</v>
      </c>
      <c r="G26" s="159">
        <f t="shared" si="1"/>
        <v>45</v>
      </c>
      <c r="H26" s="159">
        <f>IF(ISNUMBER(MainTable[[#This Row],[Enter Percentage Grade]]),  MainTable[[#This Row],[Credit Hours]]*MainTable[[#This Row],[Numeric Grade]],  " ")</f>
        <v>180</v>
      </c>
      <c r="I26" s="159">
        <v>2</v>
      </c>
    </row>
    <row r="27" spans="2:13" ht="18" customHeight="1">
      <c r="B27" s="157" t="s">
        <v>18</v>
      </c>
      <c r="C27" s="172">
        <v>49</v>
      </c>
      <c r="D27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Failed</v>
      </c>
      <c r="E27" s="158">
        <f>IF(ISNUMBER(MainTable[[#This Row],[Enter Percentage Grade]]), VLOOKUP(MainTable[[#This Row],[Enter Percentage Grade]],GradeTable[],3,TRUE)," ")</f>
        <v>0</v>
      </c>
      <c r="F27" s="159" t="str">
        <f>IF(ISNUMBER(MainTable[[#This Row],[Enter Percentage Grade]]), VLOOKUP(MainTable[[#This Row],[Enter Percentage Grade]],GradeTable[],2,TRUE), " ")</f>
        <v>F</v>
      </c>
      <c r="G27" s="159">
        <f t="shared" si="1"/>
        <v>45</v>
      </c>
      <c r="H27" s="159">
        <f>IF(ISNUMBER(MainTable[[#This Row],[Enter Percentage Grade]]),  MainTable[[#This Row],[Credit Hours]]*MainTable[[#This Row],[Numeric Grade]],  " ")</f>
        <v>0</v>
      </c>
      <c r="I27" s="159">
        <v>2</v>
      </c>
    </row>
    <row r="28" spans="2:13" ht="18" customHeight="1">
      <c r="B28" s="157" t="s">
        <v>19</v>
      </c>
      <c r="C28" s="172">
        <v>50</v>
      </c>
      <c r="D28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8" s="158">
        <f>IF(ISNUMBER(MainTable[[#This Row],[Enter Percentage Grade]]), VLOOKUP(MainTable[[#This Row],[Enter Percentage Grade]],GradeTable[],3,TRUE)," ")</f>
        <v>1</v>
      </c>
      <c r="F28" s="159" t="str">
        <f>IF(ISNUMBER(MainTable[[#This Row],[Enter Percentage Grade]]), VLOOKUP(MainTable[[#This Row],[Enter Percentage Grade]],GradeTable[],2,TRUE), " ")</f>
        <v>D</v>
      </c>
      <c r="G28" s="159">
        <f t="shared" si="1"/>
        <v>45</v>
      </c>
      <c r="H28" s="159">
        <f>IF(ISNUMBER(MainTable[[#This Row],[Enter Percentage Grade]]),  MainTable[[#This Row],[Credit Hours]]*MainTable[[#This Row],[Numeric Grade]],  " ")</f>
        <v>45</v>
      </c>
      <c r="I28" s="159">
        <v>2</v>
      </c>
    </row>
    <row r="29" spans="2:13" ht="18" customHeight="1">
      <c r="B29" s="157" t="s">
        <v>20</v>
      </c>
      <c r="C29" s="172">
        <v>70</v>
      </c>
      <c r="D29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29" s="158">
        <f>IF(ISNUMBER(MainTable[[#This Row],[Enter Percentage Grade]]), VLOOKUP(MainTable[[#This Row],[Enter Percentage Grade]],GradeTable[],3,TRUE)," ")</f>
        <v>3</v>
      </c>
      <c r="F29" s="159" t="str">
        <f>IF(ISNUMBER(MainTable[[#This Row],[Enter Percentage Grade]]), VLOOKUP(MainTable[[#This Row],[Enter Percentage Grade]],GradeTable[],2,TRUE), " ")</f>
        <v>B</v>
      </c>
      <c r="G29" s="159">
        <f t="shared" si="1"/>
        <v>45</v>
      </c>
      <c r="H29" s="159">
        <f>IF(ISNUMBER(MainTable[[#This Row],[Enter Percentage Grade]]),  MainTable[[#This Row],[Credit Hours]]*MainTable[[#This Row],[Numeric Grade]],  " ")</f>
        <v>135</v>
      </c>
      <c r="I29" s="159">
        <v>2</v>
      </c>
    </row>
    <row r="30" spans="2:13" ht="18" customHeight="1">
      <c r="B30" s="157" t="s">
        <v>21</v>
      </c>
      <c r="C30" s="172">
        <v>59</v>
      </c>
      <c r="D30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0" s="158">
        <f>IF(ISNUMBER(MainTable[[#This Row],[Enter Percentage Grade]]), VLOOKUP(MainTable[[#This Row],[Enter Percentage Grade]],GradeTable[],3,TRUE)," ")</f>
        <v>1</v>
      </c>
      <c r="F30" s="159" t="str">
        <f>IF(ISNUMBER(MainTable[[#This Row],[Enter Percentage Grade]]), VLOOKUP(MainTable[[#This Row],[Enter Percentage Grade]],GradeTable[],2,TRUE), " ")</f>
        <v>D</v>
      </c>
      <c r="G30" s="159">
        <f t="shared" si="1"/>
        <v>45</v>
      </c>
      <c r="H30" s="159">
        <f>IF(ISNUMBER(MainTable[[#This Row],[Enter Percentage Grade]]),  MainTable[[#This Row],[Credit Hours]]*MainTable[[#This Row],[Numeric Grade]],  " ")</f>
        <v>45</v>
      </c>
      <c r="I30" s="159">
        <v>2</v>
      </c>
    </row>
    <row r="31" spans="2:13" ht="18" customHeight="1">
      <c r="B31" s="157" t="s">
        <v>22</v>
      </c>
      <c r="C31" s="177">
        <v>70</v>
      </c>
      <c r="D31" s="158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1" s="158">
        <f>IF(ISNUMBER(MainTable[[#This Row],[Enter Percentage Grade]]), VLOOKUP(MainTable[[#This Row],[Enter Percentage Grade]],GradeTable[],3,TRUE)," ")</f>
        <v>3</v>
      </c>
      <c r="F31" s="159" t="str">
        <f>IF(ISNUMBER(MainTable[[#This Row],[Enter Percentage Grade]]), VLOOKUP(MainTable[[#This Row],[Enter Percentage Grade]],GradeTable[],2,TRUE), " ")</f>
        <v>B</v>
      </c>
      <c r="G31" s="159">
        <f>5 * 15</f>
        <v>75</v>
      </c>
      <c r="H31" s="159">
        <f>IF(ISNUMBER(MainTable[[#This Row],[Enter Percentage Grade]]),  MainTable[[#This Row],[Credit Hours]]*MainTable[[#This Row],[Numeric Grade]],  " ")</f>
        <v>225</v>
      </c>
      <c r="I31" s="159">
        <v>2</v>
      </c>
    </row>
    <row r="32" spans="2:13" ht="18" customHeight="1">
      <c r="B32" s="160" t="s">
        <v>23</v>
      </c>
      <c r="C32" s="173">
        <v>59</v>
      </c>
      <c r="D32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2" s="161">
        <f>IF(ISNUMBER(MainTable[[#This Row],[Enter Percentage Grade]]), VLOOKUP(MainTable[[#This Row],[Enter Percentage Grade]],GradeTable[],3,TRUE)," ")</f>
        <v>1</v>
      </c>
      <c r="F32" s="162" t="str">
        <f>IF(ISNUMBER(MainTable[[#This Row],[Enter Percentage Grade]]), VLOOKUP(MainTable[[#This Row],[Enter Percentage Grade]],GradeTable[],2,TRUE), " ")</f>
        <v>D</v>
      </c>
      <c r="G32" s="162">
        <v>42</v>
      </c>
      <c r="H32" s="162">
        <f>IF(ISNUMBER(MainTable[[#This Row],[Enter Percentage Grade]]),  MainTable[[#This Row],[Credit Hours]]*MainTable[[#This Row],[Numeric Grade]],  " ")</f>
        <v>42</v>
      </c>
      <c r="I32" s="162">
        <v>3</v>
      </c>
    </row>
    <row r="33" spans="2:9" ht="18" customHeight="1">
      <c r="B33" s="160" t="s">
        <v>24</v>
      </c>
      <c r="C33" s="173">
        <v>59</v>
      </c>
      <c r="D33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3" s="161">
        <f>IF(ISNUMBER(MainTable[[#This Row],[Enter Percentage Grade]]), VLOOKUP(MainTable[[#This Row],[Enter Percentage Grade]],GradeTable[],3,TRUE)," ")</f>
        <v>1</v>
      </c>
      <c r="F33" s="162" t="str">
        <f>IF(ISNUMBER(MainTable[[#This Row],[Enter Percentage Grade]]), VLOOKUP(MainTable[[#This Row],[Enter Percentage Grade]],GradeTable[],2,TRUE), " ")</f>
        <v>D</v>
      </c>
      <c r="G33" s="162">
        <v>42</v>
      </c>
      <c r="H33" s="162">
        <f>IF(ISNUMBER(MainTable[[#This Row],[Enter Percentage Grade]]),  MainTable[[#This Row],[Credit Hours]]*MainTable[[#This Row],[Numeric Grade]],  " ")</f>
        <v>42</v>
      </c>
      <c r="I33" s="162">
        <v>3</v>
      </c>
    </row>
    <row r="34" spans="2:9" ht="18" customHeight="1">
      <c r="B34" s="160" t="s">
        <v>25</v>
      </c>
      <c r="C34" s="173">
        <v>90</v>
      </c>
      <c r="D34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4" s="161">
        <f>IF(ISNUMBER(MainTable[[#This Row],[Enter Percentage Grade]]), VLOOKUP(MainTable[[#This Row],[Enter Percentage Grade]],GradeTable[],3,TRUE)," ")</f>
        <v>4</v>
      </c>
      <c r="F34" s="162" t="str">
        <f>IF(ISNUMBER(MainTable[[#This Row],[Enter Percentage Grade]]), VLOOKUP(MainTable[[#This Row],[Enter Percentage Grade]],GradeTable[],2,TRUE), " ")</f>
        <v>A</v>
      </c>
      <c r="G34" s="162">
        <v>42</v>
      </c>
      <c r="H34" s="162">
        <f>IF(ISNUMBER(MainTable[[#This Row],[Enter Percentage Grade]]),  MainTable[[#This Row],[Credit Hours]]*MainTable[[#This Row],[Numeric Grade]],  " ")</f>
        <v>168</v>
      </c>
      <c r="I34" s="162">
        <v>3</v>
      </c>
    </row>
    <row r="35" spans="2:9" ht="18" customHeight="1">
      <c r="B35" s="160" t="s">
        <v>26</v>
      </c>
      <c r="C35" s="173">
        <v>50</v>
      </c>
      <c r="D35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5" s="161">
        <f>IF(ISNUMBER(MainTable[[#This Row],[Enter Percentage Grade]]), VLOOKUP(MainTable[[#This Row],[Enter Percentage Grade]],GradeTable[],3,TRUE)," ")</f>
        <v>1</v>
      </c>
      <c r="F35" s="162" t="str">
        <f>IF(ISNUMBER(MainTable[[#This Row],[Enter Percentage Grade]]), VLOOKUP(MainTable[[#This Row],[Enter Percentage Grade]],GradeTable[],2,TRUE), " ")</f>
        <v>D</v>
      </c>
      <c r="G35" s="162">
        <v>42</v>
      </c>
      <c r="H35" s="162">
        <f>IF(ISNUMBER(MainTable[[#This Row],[Enter Percentage Grade]]),  MainTable[[#This Row],[Credit Hours]]*MainTable[[#This Row],[Numeric Grade]],  " ")</f>
        <v>42</v>
      </c>
      <c r="I35" s="162">
        <v>3</v>
      </c>
    </row>
    <row r="36" spans="2:9" ht="18" customHeight="1">
      <c r="B36" s="160" t="s">
        <v>27</v>
      </c>
      <c r="C36" s="173">
        <v>100</v>
      </c>
      <c r="D36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6" s="161">
        <f>IF(ISNUMBER(MainTable[[#This Row],[Enter Percentage Grade]]), VLOOKUP(MainTable[[#This Row],[Enter Percentage Grade]],GradeTable[],3,TRUE)," ")</f>
        <v>4</v>
      </c>
      <c r="F36" s="162" t="str">
        <f>IF(ISNUMBER(MainTable[[#This Row],[Enter Percentage Grade]]), VLOOKUP(MainTable[[#This Row],[Enter Percentage Grade]],GradeTable[],2,TRUE), " ")</f>
        <v>A</v>
      </c>
      <c r="G36" s="162">
        <v>42</v>
      </c>
      <c r="H36" s="162">
        <f>IF(ISNUMBER(MainTable[[#This Row],[Enter Percentage Grade]]),  MainTable[[#This Row],[Credit Hours]]*MainTable[[#This Row],[Numeric Grade]],  " ")</f>
        <v>168</v>
      </c>
      <c r="I36" s="162">
        <v>3</v>
      </c>
    </row>
    <row r="37" spans="2:9" ht="18" customHeight="1">
      <c r="B37" s="160" t="s">
        <v>48</v>
      </c>
      <c r="C37" s="173">
        <v>100</v>
      </c>
      <c r="D37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7" s="161">
        <f>IF(ISNUMBER(MainTable[[#This Row],[Enter Percentage Grade]]), VLOOKUP(MainTable[[#This Row],[Enter Percentage Grade]],GradeTable[],3,TRUE)," ")</f>
        <v>4</v>
      </c>
      <c r="F37" s="162" t="str">
        <f>IF(ISNUMBER(MainTable[[#This Row],[Enter Percentage Grade]]), VLOOKUP(MainTable[[#This Row],[Enter Percentage Grade]],GradeTable[],2,TRUE), " ")</f>
        <v>A</v>
      </c>
      <c r="G37" s="162">
        <v>42</v>
      </c>
      <c r="H37" s="162">
        <f>IF(ISNUMBER(MainTable[[#This Row],[Enter Percentage Grade]]),  MainTable[[#This Row],[Credit Hours]]*MainTable[[#This Row],[Numeric Grade]],  " ")</f>
        <v>168</v>
      </c>
      <c r="I37" s="162">
        <v>3</v>
      </c>
    </row>
    <row r="38" spans="2:9" ht="18" customHeight="1">
      <c r="B38" s="160" t="s">
        <v>28</v>
      </c>
      <c r="C38" s="173">
        <v>50</v>
      </c>
      <c r="D38" s="161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8" s="161">
        <f>IF(ISNUMBER(MainTable[[#This Row],[Enter Percentage Grade]]), VLOOKUP(MainTable[[#This Row],[Enter Percentage Grade]],GradeTable[],3,TRUE)," ")</f>
        <v>1</v>
      </c>
      <c r="F38" s="162" t="str">
        <f>IF(ISNUMBER(MainTable[[#This Row],[Enter Percentage Grade]]), VLOOKUP(MainTable[[#This Row],[Enter Percentage Grade]],GradeTable[],2,TRUE), " ")</f>
        <v>D</v>
      </c>
      <c r="G38" s="162">
        <v>42</v>
      </c>
      <c r="H38" s="162">
        <f>IF(ISNUMBER(MainTable[[#This Row],[Enter Percentage Grade]]),  MainTable[[#This Row],[Credit Hours]]*MainTable[[#This Row],[Numeric Grade]],  " ")</f>
        <v>42</v>
      </c>
      <c r="I38" s="162">
        <v>3</v>
      </c>
    </row>
    <row r="39" spans="2:9" ht="18" customHeight="1">
      <c r="B39" s="163" t="s">
        <v>29</v>
      </c>
      <c r="C39" s="174">
        <v>50</v>
      </c>
      <c r="D39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Passed</v>
      </c>
      <c r="E39" s="164">
        <f>IF(ISNUMBER(MainTable[[#This Row],[Enter Percentage Grade]]), VLOOKUP(MainTable[[#This Row],[Enter Percentage Grade]],GradeTable[],3,TRUE)," ")</f>
        <v>1</v>
      </c>
      <c r="F39" s="165" t="str">
        <f>IF(ISNUMBER(MainTable[[#This Row],[Enter Percentage Grade]]), VLOOKUP(MainTable[[#This Row],[Enter Percentage Grade]],GradeTable[],2,TRUE), " ")</f>
        <v>D</v>
      </c>
      <c r="G39" s="165">
        <f t="shared" si="1"/>
        <v>45</v>
      </c>
      <c r="H39" s="165">
        <f>IF(ISNUMBER(MainTable[[#This Row],[Enter Percentage Grade]]),  MainTable[[#This Row],[Credit Hours]]*MainTable[[#This Row],[Numeric Grade]],  " ")</f>
        <v>45</v>
      </c>
      <c r="I39" s="165">
        <v>4</v>
      </c>
    </row>
    <row r="40" spans="2:9" ht="18" customHeight="1">
      <c r="B40" s="163" t="s">
        <v>30</v>
      </c>
      <c r="C40" s="174"/>
      <c r="D40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0" s="164" t="str">
        <f>IF(ISNUMBER(MainTable[[#This Row],[Enter Percentage Grade]]), VLOOKUP(MainTable[[#This Row],[Enter Percentage Grade]],GradeTable[],3,TRUE)," ")</f>
        <v xml:space="preserve"> </v>
      </c>
      <c r="F40" s="165" t="str">
        <f>IF(ISNUMBER(MainTable[[#This Row],[Enter Percentage Grade]]), VLOOKUP(MainTable[[#This Row],[Enter Percentage Grade]],GradeTable[],2,TRUE), " ")</f>
        <v xml:space="preserve"> </v>
      </c>
      <c r="G40" s="165">
        <f t="shared" si="1"/>
        <v>45</v>
      </c>
      <c r="H40" s="165" t="str">
        <f>IF(ISNUMBER(MainTable[[#This Row],[Enter Percentage Grade]]),  MainTable[[#This Row],[Credit Hours]]*MainTable[[#This Row],[Numeric Grade]],  " ")</f>
        <v xml:space="preserve"> </v>
      </c>
      <c r="I40" s="165">
        <v>4</v>
      </c>
    </row>
    <row r="41" spans="2:9" ht="18" customHeight="1">
      <c r="B41" s="163" t="s">
        <v>31</v>
      </c>
      <c r="C41" s="174"/>
      <c r="D41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1" s="164" t="str">
        <f>IF(ISNUMBER(MainTable[[#This Row],[Enter Percentage Grade]]), VLOOKUP(MainTable[[#This Row],[Enter Percentage Grade]],GradeTable[],3,TRUE)," ")</f>
        <v xml:space="preserve"> </v>
      </c>
      <c r="F41" s="165" t="str">
        <f>IF(ISNUMBER(MainTable[[#This Row],[Enter Percentage Grade]]), VLOOKUP(MainTable[[#This Row],[Enter Percentage Grade]],GradeTable[],2,TRUE), " ")</f>
        <v xml:space="preserve"> </v>
      </c>
      <c r="G41" s="165">
        <f t="shared" si="1"/>
        <v>45</v>
      </c>
      <c r="H41" s="165" t="str">
        <f>IF(ISNUMBER(MainTable[[#This Row],[Enter Percentage Grade]]),  MainTable[[#This Row],[Credit Hours]]*MainTable[[#This Row],[Numeric Grade]],  " ")</f>
        <v xml:space="preserve"> </v>
      </c>
      <c r="I41" s="165">
        <v>4</v>
      </c>
    </row>
    <row r="42" spans="2:9" ht="18" customHeight="1">
      <c r="B42" s="163" t="s">
        <v>32</v>
      </c>
      <c r="C42" s="174"/>
      <c r="D42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2" s="164" t="str">
        <f>IF(ISNUMBER(MainTable[[#This Row],[Enter Percentage Grade]]), VLOOKUP(MainTable[[#This Row],[Enter Percentage Grade]],GradeTable[],3,TRUE)," ")</f>
        <v xml:space="preserve"> </v>
      </c>
      <c r="F42" s="165" t="str">
        <f>IF(ISNUMBER(MainTable[[#This Row],[Enter Percentage Grade]]), VLOOKUP(MainTable[[#This Row],[Enter Percentage Grade]],GradeTable[],2,TRUE), " ")</f>
        <v xml:space="preserve"> </v>
      </c>
      <c r="G42" s="165">
        <f t="shared" si="1"/>
        <v>45</v>
      </c>
      <c r="H42" s="165" t="str">
        <f>IF(ISNUMBER(MainTable[[#This Row],[Enter Percentage Grade]]),  MainTable[[#This Row],[Credit Hours]]*MainTable[[#This Row],[Numeric Grade]],  " ")</f>
        <v xml:space="preserve"> </v>
      </c>
      <c r="I42" s="165">
        <v>4</v>
      </c>
    </row>
    <row r="43" spans="2:9" ht="18" customHeight="1">
      <c r="B43" s="163" t="s">
        <v>33</v>
      </c>
      <c r="C43" s="174"/>
      <c r="D43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3" s="164" t="str">
        <f>IF(ISNUMBER(MainTable[[#This Row],[Enter Percentage Grade]]), VLOOKUP(MainTable[[#This Row],[Enter Percentage Grade]],GradeTable[],3,TRUE)," ")</f>
        <v xml:space="preserve"> </v>
      </c>
      <c r="F43" s="165" t="str">
        <f>IF(ISNUMBER(MainTable[[#This Row],[Enter Percentage Grade]]), VLOOKUP(MainTable[[#This Row],[Enter Percentage Grade]],GradeTable[],2,TRUE), " ")</f>
        <v xml:space="preserve"> </v>
      </c>
      <c r="G43" s="165">
        <f t="shared" si="1"/>
        <v>45</v>
      </c>
      <c r="H43" s="165" t="str">
        <f>IF(ISNUMBER(MainTable[[#This Row],[Enter Percentage Grade]]),  MainTable[[#This Row],[Credit Hours]]*MainTable[[#This Row],[Numeric Grade]],  " ")</f>
        <v xml:space="preserve"> </v>
      </c>
      <c r="I43" s="165">
        <v>4</v>
      </c>
    </row>
    <row r="44" spans="2:9" ht="18" customHeight="1">
      <c r="B44" s="163" t="s">
        <v>34</v>
      </c>
      <c r="C44" s="174"/>
      <c r="D44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4" s="164" t="str">
        <f>IF(ISNUMBER(MainTable[[#This Row],[Enter Percentage Grade]]), VLOOKUP(MainTable[[#This Row],[Enter Percentage Grade]],GradeTable[],3,TRUE)," ")</f>
        <v xml:space="preserve"> </v>
      </c>
      <c r="F44" s="165" t="str">
        <f>IF(ISNUMBER(MainTable[[#This Row],[Enter Percentage Grade]]), VLOOKUP(MainTable[[#This Row],[Enter Percentage Grade]],GradeTable[],2,TRUE), " ")</f>
        <v xml:space="preserve"> </v>
      </c>
      <c r="G44" s="165">
        <f>10 * 15</f>
        <v>150</v>
      </c>
      <c r="H44" s="165" t="str">
        <f>IF(ISNUMBER(MainTable[[#This Row],[Enter Percentage Grade]]),  MainTable[[#This Row],[Credit Hours]]*MainTable[[#This Row],[Numeric Grade]],  " ")</f>
        <v xml:space="preserve"> </v>
      </c>
      <c r="I44" s="165">
        <v>4</v>
      </c>
    </row>
    <row r="45" spans="2:9" ht="18" customHeight="1" thickBot="1">
      <c r="B45" s="163" t="s">
        <v>35</v>
      </c>
      <c r="C45" s="175"/>
      <c r="D45" s="164" t="str">
        <f>_xlfn.IFS(MainTable[[#This Row],[Enter Percentage Grade]] = "", "Required", NOT(ISNUMBER(MainTable[[#This Row],[Enter Percentage Grade]])), "Invaild Input",  MainTable[[#This Row],[Enter Percentage Grade]] &lt; 50, "Failed", MainTable[[#This Row],[Enter Percentage Grade]] &gt;= 50, "Passed")</f>
        <v>Required</v>
      </c>
      <c r="E45" s="164" t="str">
        <f>IF(ISNUMBER(MainTable[[#This Row],[Enter Percentage Grade]]), VLOOKUP(MainTable[[#This Row],[Enter Percentage Grade]],GradeTable[],3,TRUE)," ")</f>
        <v xml:space="preserve"> </v>
      </c>
      <c r="F45" s="165" t="str">
        <f>IF(ISNUMBER(MainTable[[#This Row],[Enter Percentage Grade]]), VLOOKUP(MainTable[[#This Row],[Enter Percentage Grade]],GradeTable[],2,TRUE), " ")</f>
        <v xml:space="preserve"> </v>
      </c>
      <c r="G45" s="165">
        <f t="shared" si="1"/>
        <v>45</v>
      </c>
      <c r="H45" s="165" t="str">
        <f>IF(ISNUMBER(MainTable[[#This Row],[Enter Percentage Grade]]),  MainTable[[#This Row],[Credit Hours]]*MainTable[[#This Row],[Numeric Grade]],  " ")</f>
        <v xml:space="preserve"> </v>
      </c>
      <c r="I45" s="165">
        <v>4</v>
      </c>
    </row>
    <row r="46" spans="2:9" ht="19" customHeight="1">
      <c r="B46" s="166" t="s">
        <v>61</v>
      </c>
      <c r="C46" s="167">
        <f>SUBTOTAL(101,MainTable[Enter Percentage Grade])</f>
        <v>69.114285714285714</v>
      </c>
      <c r="D46" s="167"/>
      <c r="E46" s="168">
        <f>MainTable[[#Totals],[Quality Points]] / MainTable[[#Totals],[Credit Hours]]</f>
        <v>1.6230248306997743</v>
      </c>
      <c r="F46" s="169"/>
      <c r="G46" s="169">
        <f>SUBTOTAL(109,MainTable[Credit Hours])</f>
        <v>1329</v>
      </c>
      <c r="H46" s="169">
        <f>SUBTOTAL(109,MainTable[Quality Points])</f>
        <v>2157</v>
      </c>
      <c r="I46" s="169"/>
    </row>
  </sheetData>
  <mergeCells count="2">
    <mergeCell ref="B7:C7"/>
    <mergeCell ref="B9:C9"/>
  </mergeCells>
  <conditionalFormatting sqref="D19:D45">
    <cfRule type="containsText" dxfId="119" priority="6" operator="containsText" text="Passed">
      <formula>NOT(ISERROR(SEARCH("Passed",D19)))</formula>
    </cfRule>
    <cfRule type="containsText" dxfId="118" priority="7" operator="containsText" text="Fail">
      <formula>NOT(ISERROR(SEARCH("Fail",D19)))</formula>
    </cfRule>
  </conditionalFormatting>
  <conditionalFormatting sqref="D7">
    <cfRule type="dataBar" priority="4">
      <dataBar>
        <cfvo type="num" val="-2"/>
        <cfvo type="num" val="0"/>
        <color theme="6"/>
      </dataBar>
      <extLst>
        <ext xmlns:x14="http://schemas.microsoft.com/office/spreadsheetml/2009/9/main" uri="{B025F937-C7B1-47D3-B67F-A62EFF666E3E}">
          <x14:id>{1A1F31DC-41CF-D24A-A084-86FC818F29A4}</x14:id>
        </ext>
      </extLst>
    </cfRule>
  </conditionalFormatting>
  <conditionalFormatting sqref="D9">
    <cfRule type="dataBar" priority="1">
      <dataBar>
        <cfvo type="num" val="0"/>
        <cfvo type="num" val="1360"/>
        <color theme="8"/>
      </dataBar>
      <extLst>
        <ext xmlns:x14="http://schemas.microsoft.com/office/spreadsheetml/2009/9/main" uri="{B025F937-C7B1-47D3-B67F-A62EFF666E3E}">
          <x14:id>{2B2AE5F8-2E91-A84E-8262-0AE13BCCEC10}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C13:C14 E20:H30 E39:H43 E31:F38 H31:H38 E45:H45 E44:F44 H44 B7:C9 D7:H8 D9:E9 F9:H9 E13:E14 D13:D14 E19:H19 D19:D45" unlockedFormula="1"/>
    <ignoredError sqref="G31:G38 G44" unlockedFormula="1" calculatedColumn="1"/>
  </ignoredErrors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F31DC-41CF-D24A-A084-86FC818F29A4}">
            <x14:dataBar minLength="0" maxLength="100" axisPosition="none">
              <x14:cfvo type="num">
                <xm:f>-2</xm:f>
              </x14:cfvo>
              <x14:cfvo type="num">
                <xm:f>0</xm:f>
              </x14:cfvo>
              <x14:negativeFillColor theme="5"/>
            </x14:dataBar>
          </x14:cfRule>
          <xm:sqref>D7</xm:sqref>
        </x14:conditionalFormatting>
        <x14:conditionalFormatting xmlns:xm="http://schemas.microsoft.com/office/excel/2006/main">
          <x14:cfRule type="dataBar" id="{2B2AE5F8-2E91-A84E-8262-0AE13BCCEC10}">
            <x14:dataBar minLength="0" maxLength="100" direction="leftToRight">
              <x14:cfvo type="num">
                <xm:f>0</xm:f>
              </x14:cfvo>
              <x14:cfvo type="num">
                <xm:f>1360</xm:f>
              </x14:cfvo>
              <x14:negativeFillColor theme="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iconSet" priority="15" id="{A0E03D34-0321-5441-A5B7-0CAEE9BFEFDF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C19:C45</xm:sqref>
        </x14:conditionalFormatting>
        <x14:conditionalFormatting xmlns:xm="http://schemas.microsoft.com/office/excel/2006/main">
          <x14:cfRule type="iconSet" priority="3" id="{904AEACA-1670-794C-B6A2-737C69EC5CA6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3743-AEA2-9D44-99C7-C10D1341E5FB}">
  <sheetPr codeName="Sheet2"/>
  <dimension ref="B1:M46"/>
  <sheetViews>
    <sheetView showGridLines="0" topLeftCell="A5" zoomScale="106" zoomScaleNormal="100" workbookViewId="0">
      <selection activeCell="C18" sqref="C18"/>
    </sheetView>
    <sheetView workbookViewId="1"/>
  </sheetViews>
  <sheetFormatPr baseColWidth="10" defaultColWidth="11" defaultRowHeight="13"/>
  <cols>
    <col min="1" max="1" width="4.796875" style="3" customWidth="1"/>
    <col min="2" max="2" width="40.59765625" style="3" customWidth="1"/>
    <col min="3" max="3" width="22.3984375" style="3" customWidth="1"/>
    <col min="4" max="4" width="13.796875" style="3" customWidth="1"/>
    <col min="5" max="5" width="14.19921875" style="4" customWidth="1"/>
    <col min="6" max="6" width="12" style="4" customWidth="1"/>
    <col min="7" max="7" width="12.796875" style="4" customWidth="1"/>
    <col min="8" max="8" width="15" style="4" customWidth="1"/>
    <col min="9" max="9" width="10" style="4" customWidth="1"/>
    <col min="10" max="10" width="4.796875" style="3" customWidth="1"/>
    <col min="11" max="11" width="13.796875" style="11" customWidth="1"/>
    <col min="12" max="12" width="11.796875" style="12" customWidth="1"/>
    <col min="13" max="13" width="16.3984375" style="11" customWidth="1"/>
    <col min="14" max="16384" width="11" style="3"/>
  </cols>
  <sheetData>
    <row r="1" spans="2:12" s="11" customFormat="1" ht="28" customHeight="1">
      <c r="B1" s="19" t="s">
        <v>2</v>
      </c>
      <c r="C1" s="20"/>
      <c r="D1" s="21"/>
      <c r="E1" s="22"/>
      <c r="F1" s="22"/>
      <c r="G1" s="22"/>
      <c r="H1" s="22"/>
      <c r="I1" s="22"/>
      <c r="L1" s="12"/>
    </row>
    <row r="2" spans="2:12" s="11" customFormat="1" ht="21" customHeight="1">
      <c r="B2" s="23" t="s">
        <v>55</v>
      </c>
      <c r="C2" s="20"/>
      <c r="D2" s="21"/>
      <c r="E2" s="22"/>
      <c r="F2" s="22"/>
      <c r="G2" s="22"/>
      <c r="H2" s="22"/>
      <c r="I2" s="22"/>
      <c r="L2" s="12"/>
    </row>
    <row r="3" spans="2:12" s="11" customFormat="1" ht="17" customHeight="1">
      <c r="B3" s="24" t="s">
        <v>54</v>
      </c>
      <c r="C3" s="21"/>
      <c r="D3" s="21"/>
      <c r="E3" s="22"/>
      <c r="F3" s="22"/>
      <c r="G3" s="22"/>
      <c r="H3" s="22"/>
      <c r="I3" s="22"/>
      <c r="L3" s="12"/>
    </row>
    <row r="4" spans="2:12" s="11" customFormat="1" ht="11" customHeight="1">
      <c r="B4" s="15"/>
      <c r="C4" s="16"/>
      <c r="D4" s="17"/>
      <c r="E4" s="18"/>
      <c r="F4" s="18"/>
      <c r="G4" s="18"/>
      <c r="H4" s="18"/>
      <c r="I4" s="18"/>
      <c r="L4" s="12"/>
    </row>
    <row r="5" spans="2:12" s="11" customFormat="1" ht="29" customHeight="1">
      <c r="B5" s="118" t="s">
        <v>95</v>
      </c>
      <c r="C5" s="26"/>
      <c r="D5" s="27"/>
      <c r="E5" s="28"/>
      <c r="F5" s="28"/>
      <c r="G5" s="28"/>
      <c r="H5" s="28"/>
      <c r="I5" s="28"/>
      <c r="L5" s="12"/>
    </row>
    <row r="6" spans="2:12" s="11" customFormat="1" ht="2" customHeight="1">
      <c r="B6" s="31"/>
      <c r="C6" s="31"/>
      <c r="D6" s="31"/>
      <c r="E6" s="31"/>
      <c r="F6" s="31"/>
      <c r="G6" s="31"/>
      <c r="H6" s="31"/>
      <c r="I6" s="31"/>
      <c r="L6" s="12"/>
    </row>
    <row r="7" spans="2:12" s="11" customFormat="1" ht="24" customHeight="1">
      <c r="B7" s="189" t="str">
        <f>CONCATENATE("Current GPA (", TEXT( MainTable6[[#Totals],[Numeric Grade]],  "0.0"),   ") / Outstanding GPA (2.0)")</f>
        <v>Current GPA (1.5) / Outstanding GPA (2.0)</v>
      </c>
      <c r="C7" s="189"/>
      <c r="D7" s="51">
        <f>MainTable6[[#Totals],[Numeric Grade]] - 2</f>
        <v>-0.47629796839729122</v>
      </c>
      <c r="E7" s="32" t="str">
        <f>IF(D7&lt;0,CONCATENATE("  You need to Increase your GPA ",TEXT(D7*-1,"0.00"), " for graduation"),"  Your GPA meets to graduate ")</f>
        <v xml:space="preserve">  You need to Increase your GPA 0.48 for graduation</v>
      </c>
      <c r="F7" s="33"/>
      <c r="G7" s="33"/>
      <c r="H7" s="31"/>
      <c r="I7" s="33"/>
      <c r="L7" s="12"/>
    </row>
    <row r="8" spans="2:12" s="11" customFormat="1" ht="3" customHeight="1">
      <c r="B8" s="53"/>
      <c r="C8" s="53"/>
      <c r="D8" s="53"/>
      <c r="E8" s="53"/>
      <c r="F8" s="53"/>
      <c r="G8" s="33"/>
      <c r="H8" s="31"/>
      <c r="I8" s="33"/>
      <c r="L8" s="12"/>
    </row>
    <row r="9" spans="2:12" s="11" customFormat="1" ht="23" customHeight="1">
      <c r="B9" s="189" t="str">
        <f>CONCATENATE("Required Hours : ",  TEXT(Summary8[[#Totals],[Requried Hours]], "0 "), "/1350 hours")</f>
        <v>Required Hours : 552 /1350 hours</v>
      </c>
      <c r="C9" s="189"/>
      <c r="D9" s="30">
        <f>(Summary8[[#Totals],[Earned Hours]] - Summary8[[#Totals],[Total Creadit Hours]]) * -1</f>
        <v>552</v>
      </c>
      <c r="E9" s="32" t="str">
        <f>IF(AND(D9&lt;1350, D9 &gt; 0),CONCATENATE("  You need to obtain ",TEXT(D9,"0")," more creadit hours for graduration")," You've obtained all creadit hours to graduate ")</f>
        <v xml:space="preserve">  You need to obtain 552 more creadit hours for graduration</v>
      </c>
      <c r="F9" s="33"/>
      <c r="G9" s="33"/>
      <c r="H9" s="31"/>
      <c r="I9" s="33"/>
      <c r="L9" s="12"/>
    </row>
    <row r="10" spans="2:12" s="11" customFormat="1" ht="4" customHeight="1">
      <c r="B10" s="34"/>
      <c r="C10" s="35"/>
      <c r="D10" s="35"/>
      <c r="E10" s="34"/>
      <c r="F10" s="34"/>
      <c r="G10" s="34"/>
      <c r="H10" s="34"/>
      <c r="I10" s="34"/>
      <c r="L10" s="12"/>
    </row>
    <row r="11" spans="2:12" s="11" customFormat="1">
      <c r="E11" s="13"/>
      <c r="F11" s="13"/>
      <c r="G11" s="13"/>
      <c r="H11" s="13"/>
      <c r="I11" s="13"/>
      <c r="L11" s="12"/>
    </row>
    <row r="12" spans="2:12" s="11" customFormat="1" ht="28" customHeight="1">
      <c r="B12" s="25" t="s">
        <v>50</v>
      </c>
      <c r="C12" s="25" t="s">
        <v>51</v>
      </c>
      <c r="D12" s="25" t="s">
        <v>57</v>
      </c>
      <c r="E12" s="25" t="s">
        <v>58</v>
      </c>
      <c r="F12" s="13"/>
      <c r="G12" s="4"/>
      <c r="H12" s="4"/>
      <c r="I12" s="4"/>
      <c r="L12" s="54"/>
    </row>
    <row r="13" spans="2:12" s="11" customFormat="1" ht="18" customHeight="1">
      <c r="B13" s="29" t="s">
        <v>52</v>
      </c>
      <c r="C13" s="13">
        <f>SUM(G19:G22,G25:G36,G38:G45)</f>
        <v>1197</v>
      </c>
      <c r="D13" s="52">
        <f t="shared" ref="D13" si="0" xml:space="preserve"> SUMIF(D19:D22, "Passed", G19:G22) + SUMIF(D25:D36, "Passed", G25:G36) + SUMIF(D38:D45, "Passed", G38:G45)</f>
        <v>690</v>
      </c>
      <c r="E13" s="13">
        <f>Summary8[[#This Row],[Total Creadit Hours]]-Summary8[[#This Row],[Earned Hours]]</f>
        <v>507</v>
      </c>
      <c r="F13" s="13"/>
      <c r="G13" s="4"/>
      <c r="H13" s="4"/>
      <c r="I13" s="4"/>
      <c r="L13" s="12"/>
    </row>
    <row r="14" spans="2:12" s="11" customFormat="1" ht="18" customHeight="1">
      <c r="B14" s="29" t="s">
        <v>53</v>
      </c>
      <c r="C14" s="13">
        <f>SUM(G23,G24,G37)</f>
        <v>132</v>
      </c>
      <c r="D14" s="52">
        <f>SUMIF(D23:D24, "Passed", G23:G24) + SUMIF(D37, "Passed", G37)</f>
        <v>87</v>
      </c>
      <c r="E14" s="13">
        <f>Summary8[[#This Row],[Total Creadit Hours]]-Summary8[[#This Row],[Earned Hours]]</f>
        <v>45</v>
      </c>
      <c r="F14" s="13"/>
      <c r="G14" s="4"/>
      <c r="H14" s="4"/>
      <c r="I14" s="4"/>
      <c r="L14" s="12"/>
    </row>
    <row r="15" spans="2:12" s="11" customFormat="1" ht="18" customHeight="1">
      <c r="B15" s="13" t="s">
        <v>0</v>
      </c>
      <c r="C15" s="13">
        <f>SUBTOTAL(109,Summary8[Total Creadit Hours])</f>
        <v>1329</v>
      </c>
      <c r="D15" s="14">
        <f>SUBTOTAL(109,Summary8[Earned Hours])</f>
        <v>777</v>
      </c>
      <c r="E15" s="14">
        <f>SUBTOTAL(109,Summary8[Requried Hours])</f>
        <v>552</v>
      </c>
      <c r="F15" s="13"/>
      <c r="G15" s="4"/>
      <c r="H15" s="4"/>
      <c r="I15" s="4"/>
      <c r="L15" s="12"/>
    </row>
    <row r="16" spans="2:12" s="11" customFormat="1" ht="9" customHeight="1">
      <c r="B16" s="13"/>
      <c r="C16" s="13"/>
      <c r="D16" s="14"/>
      <c r="E16" s="14"/>
      <c r="F16" s="13"/>
      <c r="G16" s="4"/>
      <c r="H16" s="4"/>
      <c r="I16" s="4"/>
      <c r="L16" s="12"/>
    </row>
    <row r="17" spans="2:13" ht="17" customHeight="1" thickBot="1"/>
    <row r="18" spans="2:13" ht="42" customHeight="1" thickBot="1">
      <c r="B18" s="5" t="s">
        <v>45</v>
      </c>
      <c r="C18" s="183" t="s">
        <v>62</v>
      </c>
      <c r="D18" s="5" t="s">
        <v>49</v>
      </c>
      <c r="E18" s="5" t="s">
        <v>43</v>
      </c>
      <c r="F18" s="5" t="s">
        <v>37</v>
      </c>
      <c r="G18" s="5" t="s">
        <v>60</v>
      </c>
      <c r="H18" s="5" t="s">
        <v>36</v>
      </c>
      <c r="I18" s="5" t="s">
        <v>59</v>
      </c>
      <c r="K18" s="9" t="s">
        <v>44</v>
      </c>
      <c r="L18" s="9" t="s">
        <v>37</v>
      </c>
      <c r="M18" s="9" t="s">
        <v>43</v>
      </c>
    </row>
    <row r="19" spans="2:13" ht="18" customHeight="1">
      <c r="B19" s="38" t="s">
        <v>12</v>
      </c>
      <c r="C19" s="178">
        <v>79.2</v>
      </c>
      <c r="D19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19" s="39">
        <f>IF(ISNUMBER(MainTable6[[#This Row],[Enter Percentage Grade]]), VLOOKUP(MainTable6[[#This Row],[Enter Percentage Grade]],GradeTable7[],3,TRUE)," ")</f>
        <v>3</v>
      </c>
      <c r="F19" s="40" t="str">
        <f>IF(ISNUMBER(MainTable6[[#This Row],[Enter Percentage Grade]]), VLOOKUP(MainTable6[[#This Row],[Enter Percentage Grade]],GradeTable7[],2,TRUE), " ")</f>
        <v>B</v>
      </c>
      <c r="G19" s="40">
        <f>3 * 15</f>
        <v>45</v>
      </c>
      <c r="H19" s="40">
        <f>IF(ISNUMBER(MainTable6[[#This Row],[Enter Percentage Grade]]),  MainTable6[[#This Row],[Credit Hours]]*MainTable6[[#This Row],[Numeric Grade]],  " ")</f>
        <v>135</v>
      </c>
      <c r="I19" s="40">
        <v>1</v>
      </c>
      <c r="K19" s="10">
        <v>0</v>
      </c>
      <c r="L19" s="10" t="s">
        <v>42</v>
      </c>
      <c r="M19" s="37">
        <v>0</v>
      </c>
    </row>
    <row r="20" spans="2:13" ht="19" customHeight="1">
      <c r="B20" s="41" t="s">
        <v>13</v>
      </c>
      <c r="C20" s="178">
        <v>79.2</v>
      </c>
      <c r="D20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0" s="39">
        <f>IF(ISNUMBER(MainTable6[[#This Row],[Enter Percentage Grade]]), VLOOKUP(MainTable6[[#This Row],[Enter Percentage Grade]],GradeTable7[],3,TRUE)," ")</f>
        <v>3</v>
      </c>
      <c r="F20" s="40" t="str">
        <f>IF(ISNUMBER(MainTable6[[#This Row],[Enter Percentage Grade]]), VLOOKUP(MainTable6[[#This Row],[Enter Percentage Grade]],GradeTable7[],2,TRUE), " ")</f>
        <v>B</v>
      </c>
      <c r="G20" s="40">
        <f t="shared" ref="G20:G45" si="1">3 * 15</f>
        <v>45</v>
      </c>
      <c r="H20" s="40">
        <f>IF(ISNUMBER(MainTable6[[#This Row],[Enter Percentage Grade]]),  MainTable6[[#This Row],[Credit Hours]]*MainTable6[[#This Row],[Numeric Grade]],  " ")</f>
        <v>135</v>
      </c>
      <c r="I20" s="40">
        <v>1</v>
      </c>
      <c r="K20" s="10">
        <v>50</v>
      </c>
      <c r="L20" s="10" t="s">
        <v>41</v>
      </c>
      <c r="M20" s="37">
        <v>1</v>
      </c>
    </row>
    <row r="21" spans="2:13" ht="18" customHeight="1">
      <c r="B21" s="41" t="s">
        <v>14</v>
      </c>
      <c r="C21" s="178">
        <v>99</v>
      </c>
      <c r="D21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1" s="39">
        <f>IF(ISNUMBER(MainTable6[[#This Row],[Enter Percentage Grade]]), VLOOKUP(MainTable6[[#This Row],[Enter Percentage Grade]],GradeTable7[],3,TRUE)," ")</f>
        <v>4</v>
      </c>
      <c r="F21" s="40" t="str">
        <f>IF(ISNUMBER(MainTable6[[#This Row],[Enter Percentage Grade]]), VLOOKUP(MainTable6[[#This Row],[Enter Percentage Grade]],GradeTable7[],2,TRUE), " ")</f>
        <v>A</v>
      </c>
      <c r="G21" s="40">
        <f t="shared" si="1"/>
        <v>45</v>
      </c>
      <c r="H21" s="40">
        <f>IF(ISNUMBER(MainTable6[[#This Row],[Enter Percentage Grade]]),  MainTable6[[#This Row],[Credit Hours]]*MainTable6[[#This Row],[Numeric Grade]],  " ")</f>
        <v>180</v>
      </c>
      <c r="I21" s="40">
        <v>1</v>
      </c>
      <c r="K21" s="10">
        <v>60</v>
      </c>
      <c r="L21" s="10" t="s">
        <v>40</v>
      </c>
      <c r="M21" s="37">
        <v>2</v>
      </c>
    </row>
    <row r="22" spans="2:13" ht="18" customHeight="1">
      <c r="B22" s="41" t="s">
        <v>15</v>
      </c>
      <c r="C22" s="178">
        <v>97</v>
      </c>
      <c r="D22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2" s="39">
        <f>IF(ISNUMBER(MainTable6[[#This Row],[Enter Percentage Grade]]), VLOOKUP(MainTable6[[#This Row],[Enter Percentage Grade]],GradeTable7[],3,TRUE)," ")</f>
        <v>4</v>
      </c>
      <c r="F22" s="40" t="str">
        <f>IF(ISNUMBER(MainTable6[[#This Row],[Enter Percentage Grade]]), VLOOKUP(MainTable6[[#This Row],[Enter Percentage Grade]],GradeTable7[],2,TRUE), " ")</f>
        <v>A</v>
      </c>
      <c r="G22" s="40">
        <f t="shared" si="1"/>
        <v>45</v>
      </c>
      <c r="H22" s="40">
        <f>IF(ISNUMBER(MainTable6[[#This Row],[Enter Percentage Grade]]),  MainTable6[[#This Row],[Credit Hours]]*MainTable6[[#This Row],[Numeric Grade]],  " ")</f>
        <v>180</v>
      </c>
      <c r="I22" s="40">
        <v>1</v>
      </c>
      <c r="K22" s="10">
        <v>70</v>
      </c>
      <c r="L22" s="10" t="s">
        <v>39</v>
      </c>
      <c r="M22" s="37">
        <v>3</v>
      </c>
    </row>
    <row r="23" spans="2:13" ht="18" customHeight="1">
      <c r="B23" s="41" t="s">
        <v>46</v>
      </c>
      <c r="C23" s="178">
        <v>20</v>
      </c>
      <c r="D23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Failed</v>
      </c>
      <c r="E23" s="39">
        <f>IF(ISNUMBER(MainTable6[[#This Row],[Enter Percentage Grade]]), VLOOKUP(MainTable6[[#This Row],[Enter Percentage Grade]],GradeTable7[],3,TRUE)," ")</f>
        <v>0</v>
      </c>
      <c r="F23" s="40" t="str">
        <f>IF(ISNUMBER(MainTable6[[#This Row],[Enter Percentage Grade]]), VLOOKUP(MainTable6[[#This Row],[Enter Percentage Grade]],GradeTable7[],2,TRUE), " ")</f>
        <v>F</v>
      </c>
      <c r="G23" s="40">
        <f t="shared" si="1"/>
        <v>45</v>
      </c>
      <c r="H23" s="40">
        <f>IF(ISNUMBER(MainTable6[[#This Row],[Enter Percentage Grade]]),  MainTable6[[#This Row],[Credit Hours]]*MainTable6[[#This Row],[Numeric Grade]],  " ")</f>
        <v>0</v>
      </c>
      <c r="I23" s="40">
        <v>1</v>
      </c>
      <c r="K23" s="10">
        <v>80</v>
      </c>
      <c r="L23" s="10" t="s">
        <v>38</v>
      </c>
      <c r="M23" s="37">
        <v>4</v>
      </c>
    </row>
    <row r="24" spans="2:13" ht="18" customHeight="1">
      <c r="B24" s="41" t="s">
        <v>47</v>
      </c>
      <c r="C24" s="178">
        <v>50</v>
      </c>
      <c r="D24" s="3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4" s="39">
        <f>IF(ISNUMBER(MainTable6[[#This Row],[Enter Percentage Grade]]), VLOOKUP(MainTable6[[#This Row],[Enter Percentage Grade]],GradeTable7[],3,TRUE)," ")</f>
        <v>1</v>
      </c>
      <c r="F24" s="40" t="str">
        <f>IF(ISNUMBER(MainTable6[[#This Row],[Enter Percentage Grade]]), VLOOKUP(MainTable6[[#This Row],[Enter Percentage Grade]],GradeTable7[],2,TRUE), " ")</f>
        <v>D</v>
      </c>
      <c r="G24" s="40">
        <f t="shared" si="1"/>
        <v>45</v>
      </c>
      <c r="H24" s="40">
        <f>IF(ISNUMBER(MainTable6[[#This Row],[Enter Percentage Grade]]),  MainTable6[[#This Row],[Credit Hours]]*MainTable6[[#This Row],[Numeric Grade]],  " ")</f>
        <v>45</v>
      </c>
      <c r="I24" s="40">
        <v>1</v>
      </c>
    </row>
    <row r="25" spans="2:13" ht="18" customHeight="1">
      <c r="B25" s="42" t="s">
        <v>16</v>
      </c>
      <c r="C25" s="179">
        <v>61</v>
      </c>
      <c r="D25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5" s="43">
        <f>IF(ISNUMBER(MainTable6[[#This Row],[Enter Percentage Grade]]), VLOOKUP(MainTable6[[#This Row],[Enter Percentage Grade]],GradeTable7[],3,TRUE)," ")</f>
        <v>2</v>
      </c>
      <c r="F25" s="44" t="str">
        <f>IF(ISNUMBER(MainTable6[[#This Row],[Enter Percentage Grade]]), VLOOKUP(MainTable6[[#This Row],[Enter Percentage Grade]],GradeTable7[],2,TRUE), " ")</f>
        <v>C</v>
      </c>
      <c r="G25" s="44">
        <f t="shared" si="1"/>
        <v>45</v>
      </c>
      <c r="H25" s="44">
        <f>IF(ISNUMBER(MainTable6[[#This Row],[Enter Percentage Grade]]),  MainTable6[[#This Row],[Credit Hours]]*MainTable6[[#This Row],[Numeric Grade]],  " ")</f>
        <v>90</v>
      </c>
      <c r="I25" s="44">
        <v>2</v>
      </c>
    </row>
    <row r="26" spans="2:13" ht="18" customHeight="1">
      <c r="B26" s="42" t="s">
        <v>17</v>
      </c>
      <c r="C26" s="179">
        <v>80</v>
      </c>
      <c r="D26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6" s="43">
        <f>IF(ISNUMBER(MainTable6[[#This Row],[Enter Percentage Grade]]), VLOOKUP(MainTable6[[#This Row],[Enter Percentage Grade]],GradeTable7[],3,TRUE)," ")</f>
        <v>4</v>
      </c>
      <c r="F26" s="44" t="str">
        <f>IF(ISNUMBER(MainTable6[[#This Row],[Enter Percentage Grade]]), VLOOKUP(MainTable6[[#This Row],[Enter Percentage Grade]],GradeTable7[],2,TRUE), " ")</f>
        <v>A</v>
      </c>
      <c r="G26" s="44">
        <f t="shared" si="1"/>
        <v>45</v>
      </c>
      <c r="H26" s="44">
        <f>IF(ISNUMBER(MainTable6[[#This Row],[Enter Percentage Grade]]),  MainTable6[[#This Row],[Credit Hours]]*MainTable6[[#This Row],[Numeric Grade]],  " ")</f>
        <v>180</v>
      </c>
      <c r="I26" s="44">
        <v>2</v>
      </c>
    </row>
    <row r="27" spans="2:13" ht="18" customHeight="1">
      <c r="B27" s="42" t="s">
        <v>18</v>
      </c>
      <c r="C27" s="179">
        <v>50</v>
      </c>
      <c r="D27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7" s="43">
        <f>IF(ISNUMBER(MainTable6[[#This Row],[Enter Percentage Grade]]), VLOOKUP(MainTable6[[#This Row],[Enter Percentage Grade]],GradeTable7[],3,TRUE)," ")</f>
        <v>1</v>
      </c>
      <c r="F27" s="44" t="str">
        <f>IF(ISNUMBER(MainTable6[[#This Row],[Enter Percentage Grade]]), VLOOKUP(MainTable6[[#This Row],[Enter Percentage Grade]],GradeTable7[],2,TRUE), " ")</f>
        <v>D</v>
      </c>
      <c r="G27" s="44">
        <f t="shared" si="1"/>
        <v>45</v>
      </c>
      <c r="H27" s="44">
        <f>IF(ISNUMBER(MainTable6[[#This Row],[Enter Percentage Grade]]),  MainTable6[[#This Row],[Credit Hours]]*MainTable6[[#This Row],[Numeric Grade]],  " ")</f>
        <v>45</v>
      </c>
      <c r="I27" s="44">
        <v>2</v>
      </c>
    </row>
    <row r="28" spans="2:13" ht="18" customHeight="1">
      <c r="B28" s="42" t="s">
        <v>19</v>
      </c>
      <c r="C28" s="179">
        <v>40</v>
      </c>
      <c r="D28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Failed</v>
      </c>
      <c r="E28" s="43">
        <f>IF(ISNUMBER(MainTable6[[#This Row],[Enter Percentage Grade]]), VLOOKUP(MainTable6[[#This Row],[Enter Percentage Grade]],GradeTable7[],3,TRUE)," ")</f>
        <v>0</v>
      </c>
      <c r="F28" s="44" t="str">
        <f>IF(ISNUMBER(MainTable6[[#This Row],[Enter Percentage Grade]]), VLOOKUP(MainTable6[[#This Row],[Enter Percentage Grade]],GradeTable7[],2,TRUE), " ")</f>
        <v>F</v>
      </c>
      <c r="G28" s="44">
        <f t="shared" si="1"/>
        <v>45</v>
      </c>
      <c r="H28" s="44">
        <f>IF(ISNUMBER(MainTable6[[#This Row],[Enter Percentage Grade]]),  MainTable6[[#This Row],[Credit Hours]]*MainTable6[[#This Row],[Numeric Grade]],  " ")</f>
        <v>0</v>
      </c>
      <c r="I28" s="44">
        <v>2</v>
      </c>
    </row>
    <row r="29" spans="2:13" ht="18" customHeight="1">
      <c r="B29" s="42" t="s">
        <v>20</v>
      </c>
      <c r="C29" s="179">
        <v>70</v>
      </c>
      <c r="D29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29" s="43">
        <f>IF(ISNUMBER(MainTable6[[#This Row],[Enter Percentage Grade]]), VLOOKUP(MainTable6[[#This Row],[Enter Percentage Grade]],GradeTable7[],3,TRUE)," ")</f>
        <v>3</v>
      </c>
      <c r="F29" s="44" t="str">
        <f>IF(ISNUMBER(MainTable6[[#This Row],[Enter Percentage Grade]]), VLOOKUP(MainTable6[[#This Row],[Enter Percentage Grade]],GradeTable7[],2,TRUE), " ")</f>
        <v>B</v>
      </c>
      <c r="G29" s="44">
        <f t="shared" si="1"/>
        <v>45</v>
      </c>
      <c r="H29" s="44">
        <f>IF(ISNUMBER(MainTable6[[#This Row],[Enter Percentage Grade]]),  MainTable6[[#This Row],[Credit Hours]]*MainTable6[[#This Row],[Numeric Grade]],  " ")</f>
        <v>135</v>
      </c>
      <c r="I29" s="44">
        <v>2</v>
      </c>
    </row>
    <row r="30" spans="2:13" ht="18" customHeight="1">
      <c r="B30" s="42" t="s">
        <v>21</v>
      </c>
      <c r="C30" s="179">
        <v>50</v>
      </c>
      <c r="D30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0" s="43">
        <f>IF(ISNUMBER(MainTable6[[#This Row],[Enter Percentage Grade]]), VLOOKUP(MainTable6[[#This Row],[Enter Percentage Grade]],GradeTable7[],3,TRUE)," ")</f>
        <v>1</v>
      </c>
      <c r="F30" s="44" t="str">
        <f>IF(ISNUMBER(MainTable6[[#This Row],[Enter Percentage Grade]]), VLOOKUP(MainTable6[[#This Row],[Enter Percentage Grade]],GradeTable7[],2,TRUE), " ")</f>
        <v>D</v>
      </c>
      <c r="G30" s="44">
        <f t="shared" si="1"/>
        <v>45</v>
      </c>
      <c r="H30" s="44">
        <f>IF(ISNUMBER(MainTable6[[#This Row],[Enter Percentage Grade]]),  MainTable6[[#This Row],[Credit Hours]]*MainTable6[[#This Row],[Numeric Grade]],  " ")</f>
        <v>45</v>
      </c>
      <c r="I30" s="44">
        <v>2</v>
      </c>
    </row>
    <row r="31" spans="2:13" ht="18" customHeight="1">
      <c r="B31" s="42" t="s">
        <v>22</v>
      </c>
      <c r="C31" s="179">
        <v>70</v>
      </c>
      <c r="D31" s="43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1" s="43">
        <f>IF(ISNUMBER(MainTable6[[#This Row],[Enter Percentage Grade]]), VLOOKUP(MainTable6[[#This Row],[Enter Percentage Grade]],GradeTable7[],3,TRUE)," ")</f>
        <v>3</v>
      </c>
      <c r="F31" s="44" t="str">
        <f>IF(ISNUMBER(MainTable6[[#This Row],[Enter Percentage Grade]]), VLOOKUP(MainTable6[[#This Row],[Enter Percentage Grade]],GradeTable7[],2,TRUE), " ")</f>
        <v>B</v>
      </c>
      <c r="G31" s="44">
        <f>5 * 15</f>
        <v>75</v>
      </c>
      <c r="H31" s="44">
        <f>IF(ISNUMBER(MainTable6[[#This Row],[Enter Percentage Grade]]),  MainTable6[[#This Row],[Credit Hours]]*MainTable6[[#This Row],[Numeric Grade]],  " ")</f>
        <v>225</v>
      </c>
      <c r="I31" s="44">
        <v>2</v>
      </c>
    </row>
    <row r="32" spans="2:13" ht="18" customHeight="1">
      <c r="B32" s="45" t="s">
        <v>23</v>
      </c>
      <c r="C32" s="180">
        <v>59</v>
      </c>
      <c r="D32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2" s="46">
        <f>IF(ISNUMBER(MainTable6[[#This Row],[Enter Percentage Grade]]), VLOOKUP(MainTable6[[#This Row],[Enter Percentage Grade]],GradeTable7[],3,TRUE)," ")</f>
        <v>1</v>
      </c>
      <c r="F32" s="47" t="str">
        <f>IF(ISNUMBER(MainTable6[[#This Row],[Enter Percentage Grade]]), VLOOKUP(MainTable6[[#This Row],[Enter Percentage Grade]],GradeTable7[],2,TRUE), " ")</f>
        <v>D</v>
      </c>
      <c r="G32" s="47">
        <v>42</v>
      </c>
      <c r="H32" s="47">
        <f>IF(ISNUMBER(MainTable6[[#This Row],[Enter Percentage Grade]]),  MainTable6[[#This Row],[Credit Hours]]*MainTable6[[#This Row],[Numeric Grade]],  " ")</f>
        <v>42</v>
      </c>
      <c r="I32" s="47">
        <v>3</v>
      </c>
    </row>
    <row r="33" spans="2:9" ht="18" customHeight="1">
      <c r="B33" s="45" t="s">
        <v>24</v>
      </c>
      <c r="C33" s="180">
        <v>59</v>
      </c>
      <c r="D33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3" s="46">
        <f>IF(ISNUMBER(MainTable6[[#This Row],[Enter Percentage Grade]]), VLOOKUP(MainTable6[[#This Row],[Enter Percentage Grade]],GradeTable7[],3,TRUE)," ")</f>
        <v>1</v>
      </c>
      <c r="F33" s="47" t="str">
        <f>IF(ISNUMBER(MainTable6[[#This Row],[Enter Percentage Grade]]), VLOOKUP(MainTable6[[#This Row],[Enter Percentage Grade]],GradeTable7[],2,TRUE), " ")</f>
        <v>D</v>
      </c>
      <c r="G33" s="47">
        <v>42</v>
      </c>
      <c r="H33" s="47">
        <f>IF(ISNUMBER(MainTable6[[#This Row],[Enter Percentage Grade]]),  MainTable6[[#This Row],[Credit Hours]]*MainTable6[[#This Row],[Numeric Grade]],  " ")</f>
        <v>42</v>
      </c>
      <c r="I33" s="47">
        <v>3</v>
      </c>
    </row>
    <row r="34" spans="2:9" ht="18" customHeight="1">
      <c r="B34" s="45" t="s">
        <v>25</v>
      </c>
      <c r="C34" s="180">
        <v>90</v>
      </c>
      <c r="D34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4" s="46">
        <f>IF(ISNUMBER(MainTable6[[#This Row],[Enter Percentage Grade]]), VLOOKUP(MainTable6[[#This Row],[Enter Percentage Grade]],GradeTable7[],3,TRUE)," ")</f>
        <v>4</v>
      </c>
      <c r="F34" s="47" t="str">
        <f>IF(ISNUMBER(MainTable6[[#This Row],[Enter Percentage Grade]]), VLOOKUP(MainTable6[[#This Row],[Enter Percentage Grade]],GradeTable7[],2,TRUE), " ")</f>
        <v>A</v>
      </c>
      <c r="G34" s="47">
        <v>42</v>
      </c>
      <c r="H34" s="47">
        <f>IF(ISNUMBER(MainTable6[[#This Row],[Enter Percentage Grade]]),  MainTable6[[#This Row],[Credit Hours]]*MainTable6[[#This Row],[Numeric Grade]],  " ")</f>
        <v>168</v>
      </c>
      <c r="I34" s="47">
        <v>3</v>
      </c>
    </row>
    <row r="35" spans="2:9" ht="18" customHeight="1">
      <c r="B35" s="45" t="s">
        <v>26</v>
      </c>
      <c r="C35" s="180">
        <v>0</v>
      </c>
      <c r="D35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Failed</v>
      </c>
      <c r="E35" s="46">
        <f>IF(ISNUMBER(MainTable6[[#This Row],[Enter Percentage Grade]]), VLOOKUP(MainTable6[[#This Row],[Enter Percentage Grade]],GradeTable7[],3,TRUE)," ")</f>
        <v>0</v>
      </c>
      <c r="F35" s="47" t="str">
        <f>IF(ISNUMBER(MainTable6[[#This Row],[Enter Percentage Grade]]), VLOOKUP(MainTable6[[#This Row],[Enter Percentage Grade]],GradeTable7[],2,TRUE), " ")</f>
        <v>F</v>
      </c>
      <c r="G35" s="47">
        <v>42</v>
      </c>
      <c r="H35" s="47">
        <f>IF(ISNUMBER(MainTable6[[#This Row],[Enter Percentage Grade]]),  MainTable6[[#This Row],[Credit Hours]]*MainTable6[[#This Row],[Numeric Grade]],  " ")</f>
        <v>0</v>
      </c>
      <c r="I35" s="47">
        <v>3</v>
      </c>
    </row>
    <row r="36" spans="2:9" ht="18" customHeight="1">
      <c r="B36" s="45" t="s">
        <v>27</v>
      </c>
      <c r="C36" s="180">
        <v>100</v>
      </c>
      <c r="D36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6" s="46">
        <f>IF(ISNUMBER(MainTable6[[#This Row],[Enter Percentage Grade]]), VLOOKUP(MainTable6[[#This Row],[Enter Percentage Grade]],GradeTable7[],3,TRUE)," ")</f>
        <v>4</v>
      </c>
      <c r="F36" s="47" t="str">
        <f>IF(ISNUMBER(MainTable6[[#This Row],[Enter Percentage Grade]]), VLOOKUP(MainTable6[[#This Row],[Enter Percentage Grade]],GradeTable7[],2,TRUE), " ")</f>
        <v>A</v>
      </c>
      <c r="G36" s="47">
        <v>42</v>
      </c>
      <c r="H36" s="47">
        <f>IF(ISNUMBER(MainTable6[[#This Row],[Enter Percentage Grade]]),  MainTable6[[#This Row],[Credit Hours]]*MainTable6[[#This Row],[Numeric Grade]],  " ")</f>
        <v>168</v>
      </c>
      <c r="I36" s="47">
        <v>3</v>
      </c>
    </row>
    <row r="37" spans="2:9" ht="18" customHeight="1">
      <c r="B37" s="45" t="s">
        <v>48</v>
      </c>
      <c r="C37" s="180">
        <v>100</v>
      </c>
      <c r="D37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7" s="46">
        <f>IF(ISNUMBER(MainTable6[[#This Row],[Enter Percentage Grade]]), VLOOKUP(MainTable6[[#This Row],[Enter Percentage Grade]],GradeTable7[],3,TRUE)," ")</f>
        <v>4</v>
      </c>
      <c r="F37" s="47" t="str">
        <f>IF(ISNUMBER(MainTable6[[#This Row],[Enter Percentage Grade]]), VLOOKUP(MainTable6[[#This Row],[Enter Percentage Grade]],GradeTable7[],2,TRUE), " ")</f>
        <v>A</v>
      </c>
      <c r="G37" s="47">
        <v>42</v>
      </c>
      <c r="H37" s="47">
        <f>IF(ISNUMBER(MainTable6[[#This Row],[Enter Percentage Grade]]),  MainTable6[[#This Row],[Credit Hours]]*MainTable6[[#This Row],[Numeric Grade]],  " ")</f>
        <v>168</v>
      </c>
      <c r="I37" s="47">
        <v>3</v>
      </c>
    </row>
    <row r="38" spans="2:9" ht="18" customHeight="1">
      <c r="B38" s="45" t="s">
        <v>28</v>
      </c>
      <c r="C38" s="180">
        <v>50</v>
      </c>
      <c r="D38" s="46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Passed</v>
      </c>
      <c r="E38" s="46">
        <f>IF(ISNUMBER(MainTable6[[#This Row],[Enter Percentage Grade]]), VLOOKUP(MainTable6[[#This Row],[Enter Percentage Grade]],GradeTable7[],3,TRUE)," ")</f>
        <v>1</v>
      </c>
      <c r="F38" s="47" t="str">
        <f>IF(ISNUMBER(MainTable6[[#This Row],[Enter Percentage Grade]]), VLOOKUP(MainTable6[[#This Row],[Enter Percentage Grade]],GradeTable7[],2,TRUE), " ")</f>
        <v>D</v>
      </c>
      <c r="G38" s="47">
        <v>42</v>
      </c>
      <c r="H38" s="47">
        <f>IF(ISNUMBER(MainTable6[[#This Row],[Enter Percentage Grade]]),  MainTable6[[#This Row],[Credit Hours]]*MainTable6[[#This Row],[Numeric Grade]],  " ")</f>
        <v>42</v>
      </c>
      <c r="I38" s="47">
        <v>3</v>
      </c>
    </row>
    <row r="39" spans="2:9" ht="18" customHeight="1">
      <c r="B39" s="48" t="s">
        <v>29</v>
      </c>
      <c r="C39" s="181"/>
      <c r="D39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39" s="49" t="str">
        <f>IF(ISNUMBER(MainTable6[[#This Row],[Enter Percentage Grade]]), VLOOKUP(MainTable6[[#This Row],[Enter Percentage Grade]],GradeTable7[],3,TRUE)," ")</f>
        <v xml:space="preserve"> </v>
      </c>
      <c r="F39" s="50" t="str">
        <f>IF(ISNUMBER(MainTable6[[#This Row],[Enter Percentage Grade]]), VLOOKUP(MainTable6[[#This Row],[Enter Percentage Grade]],GradeTable7[],2,TRUE), " ")</f>
        <v xml:space="preserve"> </v>
      </c>
      <c r="G39" s="50">
        <f t="shared" si="1"/>
        <v>45</v>
      </c>
      <c r="H39" s="50" t="str">
        <f>IF(ISNUMBER(MainTable6[[#This Row],[Enter Percentage Grade]]),  MainTable6[[#This Row],[Credit Hours]]*MainTable6[[#This Row],[Numeric Grade]],  " ")</f>
        <v xml:space="preserve"> </v>
      </c>
      <c r="I39" s="50">
        <v>4</v>
      </c>
    </row>
    <row r="40" spans="2:9" ht="18" customHeight="1">
      <c r="B40" s="48" t="s">
        <v>30</v>
      </c>
      <c r="C40" s="181"/>
      <c r="D40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0" s="49" t="str">
        <f>IF(ISNUMBER(MainTable6[[#This Row],[Enter Percentage Grade]]), VLOOKUP(MainTable6[[#This Row],[Enter Percentage Grade]],GradeTable7[],3,TRUE)," ")</f>
        <v xml:space="preserve"> </v>
      </c>
      <c r="F40" s="50" t="str">
        <f>IF(ISNUMBER(MainTable6[[#This Row],[Enter Percentage Grade]]), VLOOKUP(MainTable6[[#This Row],[Enter Percentage Grade]],GradeTable7[],2,TRUE), " ")</f>
        <v xml:space="preserve"> </v>
      </c>
      <c r="G40" s="50">
        <f t="shared" si="1"/>
        <v>45</v>
      </c>
      <c r="H40" s="50" t="str">
        <f>IF(ISNUMBER(MainTable6[[#This Row],[Enter Percentage Grade]]),  MainTable6[[#This Row],[Credit Hours]]*MainTable6[[#This Row],[Numeric Grade]],  " ")</f>
        <v xml:space="preserve"> </v>
      </c>
      <c r="I40" s="50">
        <v>4</v>
      </c>
    </row>
    <row r="41" spans="2:9" ht="18" customHeight="1">
      <c r="B41" s="48" t="s">
        <v>31</v>
      </c>
      <c r="C41" s="181"/>
      <c r="D41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1" s="49" t="str">
        <f>IF(ISNUMBER(MainTable6[[#This Row],[Enter Percentage Grade]]), VLOOKUP(MainTable6[[#This Row],[Enter Percentage Grade]],GradeTable7[],3,TRUE)," ")</f>
        <v xml:space="preserve"> </v>
      </c>
      <c r="F41" s="50" t="str">
        <f>IF(ISNUMBER(MainTable6[[#This Row],[Enter Percentage Grade]]), VLOOKUP(MainTable6[[#This Row],[Enter Percentage Grade]],GradeTable7[],2,TRUE), " ")</f>
        <v xml:space="preserve"> </v>
      </c>
      <c r="G41" s="50">
        <f t="shared" si="1"/>
        <v>45</v>
      </c>
      <c r="H41" s="50" t="str">
        <f>IF(ISNUMBER(MainTable6[[#This Row],[Enter Percentage Grade]]),  MainTable6[[#This Row],[Credit Hours]]*MainTable6[[#This Row],[Numeric Grade]],  " ")</f>
        <v xml:space="preserve"> </v>
      </c>
      <c r="I41" s="50">
        <v>4</v>
      </c>
    </row>
    <row r="42" spans="2:9" ht="18" customHeight="1">
      <c r="B42" s="48" t="s">
        <v>32</v>
      </c>
      <c r="C42" s="181"/>
      <c r="D42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2" s="49" t="str">
        <f>IF(ISNUMBER(MainTable6[[#This Row],[Enter Percentage Grade]]), VLOOKUP(MainTable6[[#This Row],[Enter Percentage Grade]],GradeTable7[],3,TRUE)," ")</f>
        <v xml:space="preserve"> </v>
      </c>
      <c r="F42" s="50" t="str">
        <f>IF(ISNUMBER(MainTable6[[#This Row],[Enter Percentage Grade]]), VLOOKUP(MainTable6[[#This Row],[Enter Percentage Grade]],GradeTable7[],2,TRUE), " ")</f>
        <v xml:space="preserve"> </v>
      </c>
      <c r="G42" s="50">
        <f t="shared" si="1"/>
        <v>45</v>
      </c>
      <c r="H42" s="50" t="str">
        <f>IF(ISNUMBER(MainTable6[[#This Row],[Enter Percentage Grade]]),  MainTable6[[#This Row],[Credit Hours]]*MainTable6[[#This Row],[Numeric Grade]],  " ")</f>
        <v xml:space="preserve"> </v>
      </c>
      <c r="I42" s="50">
        <v>4</v>
      </c>
    </row>
    <row r="43" spans="2:9" ht="18" customHeight="1">
      <c r="B43" s="48" t="s">
        <v>33</v>
      </c>
      <c r="C43" s="181"/>
      <c r="D43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3" s="49" t="str">
        <f>IF(ISNUMBER(MainTable6[[#This Row],[Enter Percentage Grade]]), VLOOKUP(MainTable6[[#This Row],[Enter Percentage Grade]],GradeTable7[],3,TRUE)," ")</f>
        <v xml:space="preserve"> </v>
      </c>
      <c r="F43" s="50" t="str">
        <f>IF(ISNUMBER(MainTable6[[#This Row],[Enter Percentage Grade]]), VLOOKUP(MainTable6[[#This Row],[Enter Percentage Grade]],GradeTable7[],2,TRUE), " ")</f>
        <v xml:space="preserve"> </v>
      </c>
      <c r="G43" s="50">
        <f t="shared" si="1"/>
        <v>45</v>
      </c>
      <c r="H43" s="50" t="str">
        <f>IF(ISNUMBER(MainTable6[[#This Row],[Enter Percentage Grade]]),  MainTable6[[#This Row],[Credit Hours]]*MainTable6[[#This Row],[Numeric Grade]],  " ")</f>
        <v xml:space="preserve"> </v>
      </c>
      <c r="I43" s="50">
        <v>4</v>
      </c>
    </row>
    <row r="44" spans="2:9" ht="18" customHeight="1">
      <c r="B44" s="48" t="s">
        <v>34</v>
      </c>
      <c r="C44" s="181"/>
      <c r="D44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4" s="49" t="str">
        <f>IF(ISNUMBER(MainTable6[[#This Row],[Enter Percentage Grade]]), VLOOKUP(MainTable6[[#This Row],[Enter Percentage Grade]],GradeTable7[],3,TRUE)," ")</f>
        <v xml:space="preserve"> </v>
      </c>
      <c r="F44" s="50" t="str">
        <f>IF(ISNUMBER(MainTable6[[#This Row],[Enter Percentage Grade]]), VLOOKUP(MainTable6[[#This Row],[Enter Percentage Grade]],GradeTable7[],2,TRUE), " ")</f>
        <v xml:space="preserve"> </v>
      </c>
      <c r="G44" s="50">
        <f>10 * 15</f>
        <v>150</v>
      </c>
      <c r="H44" s="50" t="str">
        <f>IF(ISNUMBER(MainTable6[[#This Row],[Enter Percentage Grade]]),  MainTable6[[#This Row],[Credit Hours]]*MainTable6[[#This Row],[Numeric Grade]],  " ")</f>
        <v xml:space="preserve"> </v>
      </c>
      <c r="I44" s="50">
        <v>4</v>
      </c>
    </row>
    <row r="45" spans="2:9" ht="18" customHeight="1" thickBot="1">
      <c r="B45" s="48" t="s">
        <v>35</v>
      </c>
      <c r="C45" s="182"/>
      <c r="D45" s="49" t="str">
        <f>_xlfn.IFS(MainTable6[[#This Row],[Enter Percentage Grade]] = "", "Required", NOT(ISNUMBER(MainTable6[[#This Row],[Enter Percentage Grade]])), "Invaild Input",  MainTable6[[#This Row],[Enter Percentage Grade]] &lt; 50, "Failed", MainTable6[[#This Row],[Enter Percentage Grade]] &gt;= 50, "Passed")</f>
        <v>Required</v>
      </c>
      <c r="E45" s="49" t="str">
        <f>IF(ISNUMBER(MainTable6[[#This Row],[Enter Percentage Grade]]), VLOOKUP(MainTable6[[#This Row],[Enter Percentage Grade]],GradeTable7[],3,TRUE)," ")</f>
        <v xml:space="preserve"> </v>
      </c>
      <c r="F45" s="50" t="str">
        <f>IF(ISNUMBER(MainTable6[[#This Row],[Enter Percentage Grade]]), VLOOKUP(MainTable6[[#This Row],[Enter Percentage Grade]],GradeTable7[],2,TRUE), " ")</f>
        <v xml:space="preserve"> </v>
      </c>
      <c r="G45" s="50">
        <f t="shared" si="1"/>
        <v>45</v>
      </c>
      <c r="H45" s="50" t="str">
        <f>IF(ISNUMBER(MainTable6[[#This Row],[Enter Percentage Grade]]),  MainTable6[[#This Row],[Credit Hours]]*MainTable6[[#This Row],[Numeric Grade]],  " ")</f>
        <v xml:space="preserve"> </v>
      </c>
      <c r="I45" s="50">
        <v>4</v>
      </c>
    </row>
    <row r="46" spans="2:9" ht="19" customHeight="1">
      <c r="B46" s="6" t="s">
        <v>61</v>
      </c>
      <c r="C46" s="7" t="s">
        <v>120</v>
      </c>
      <c r="D46" s="7"/>
      <c r="E46" s="36">
        <f>MainTable6[[#Totals],[Quality Points]] / MainTable6[[#Totals],[Credit Hours]]</f>
        <v>1.5237020316027088</v>
      </c>
      <c r="F46" s="8"/>
      <c r="G46" s="8">
        <f>SUBTOTAL(109,MainTable6[Credit Hours])</f>
        <v>1329</v>
      </c>
      <c r="H46" s="8">
        <f>SUBTOTAL(109,MainTable6[Quality Points])</f>
        <v>2025</v>
      </c>
      <c r="I46" s="8"/>
    </row>
  </sheetData>
  <mergeCells count="2">
    <mergeCell ref="B7:C7"/>
    <mergeCell ref="B9:C9"/>
  </mergeCells>
  <conditionalFormatting sqref="D19:D45">
    <cfRule type="containsText" dxfId="90" priority="5" operator="containsText" text="Passed">
      <formula>NOT(ISERROR(SEARCH("Passed",D19)))</formula>
    </cfRule>
    <cfRule type="containsText" dxfId="89" priority="6" operator="containsText" text="Fail">
      <formula>NOT(ISERROR(SEARCH("Fail",D19)))</formula>
    </cfRule>
  </conditionalFormatting>
  <conditionalFormatting sqref="D7">
    <cfRule type="dataBar" priority="4">
      <dataBar>
        <cfvo type="num" val="-2"/>
        <cfvo type="num" val="0"/>
        <color theme="6"/>
      </dataBar>
      <extLst>
        <ext xmlns:x14="http://schemas.microsoft.com/office/spreadsheetml/2009/9/main" uri="{B025F937-C7B1-47D3-B67F-A62EFF666E3E}">
          <x14:id>{A3ACA11B-62F5-6F41-9FA5-9EF1D2D8DE2F}</x14:id>
        </ext>
      </extLst>
    </cfRule>
  </conditionalFormatting>
  <conditionalFormatting sqref="D9">
    <cfRule type="dataBar" priority="2">
      <dataBar>
        <cfvo type="num" val="0"/>
        <cfvo type="num" val="1360"/>
        <color theme="8"/>
      </dataBar>
      <extLst>
        <ext xmlns:x14="http://schemas.microsoft.com/office/spreadsheetml/2009/9/main" uri="{B025F937-C7B1-47D3-B67F-A62EFF666E3E}">
          <x14:id>{A3D40A81-D4F6-4345-A960-AE7E38C6A5A1}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G31:G38 G44" calculatedColumn="1"/>
  </ignoredErrors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ACA11B-62F5-6F41-9FA5-9EF1D2D8DE2F}">
            <x14:dataBar minLength="0" maxLength="100" axisPosition="none">
              <x14:cfvo type="num">
                <xm:f>-2</xm:f>
              </x14:cfvo>
              <x14:cfvo type="num">
                <xm:f>0</xm:f>
              </x14:cfvo>
              <x14:negativeFillColor theme="5"/>
            </x14:dataBar>
          </x14:cfRule>
          <xm:sqref>D7</xm:sqref>
        </x14:conditionalFormatting>
        <x14:conditionalFormatting xmlns:xm="http://schemas.microsoft.com/office/excel/2006/main">
          <x14:cfRule type="dataBar" id="{A3D40A81-D4F6-4345-A960-AE7E38C6A5A1}">
            <x14:dataBar minLength="0" maxLength="100" direction="leftToRight">
              <x14:cfvo type="num">
                <xm:f>0</xm:f>
              </x14:cfvo>
              <x14:cfvo type="num">
                <xm:f>1360</xm:f>
              </x14:cfvo>
              <x14:negativeFillColor theme="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iconSet" priority="8" id="{ED2E34DD-C86B-AF48-B61E-926D065C3CB2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C39:C45</xm:sqref>
        </x14:conditionalFormatting>
        <x14:conditionalFormatting xmlns:xm="http://schemas.microsoft.com/office/excel/2006/main">
          <x14:cfRule type="iconSet" priority="3" id="{609BD75F-8030-7949-A0D9-252DFA5147BB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D7</xm:sqref>
        </x14:conditionalFormatting>
        <x14:conditionalFormatting xmlns:xm="http://schemas.microsoft.com/office/excel/2006/main">
          <x14:cfRule type="iconSet" priority="1" id="{B54F0579-1085-C745-A41B-9847256797C4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DA4D-21E2-FC48-A125-029A9091DAB1}">
  <sheetPr codeName="Sheet3"/>
  <dimension ref="A1:D43"/>
  <sheetViews>
    <sheetView zoomScale="140" workbookViewId="0">
      <selection activeCell="D30" sqref="D30"/>
    </sheetView>
    <sheetView zoomScale="173" workbookViewId="1"/>
  </sheetViews>
  <sheetFormatPr baseColWidth="10" defaultRowHeight="13"/>
  <cols>
    <col min="1" max="1" width="5" style="2" customWidth="1"/>
    <col min="2" max="2" width="23.3984375" style="57" bestFit="1" customWidth="1"/>
    <col min="3" max="3" width="15.3984375" style="57" bestFit="1" customWidth="1"/>
    <col min="4" max="4" width="47.59765625" style="58" customWidth="1"/>
    <col min="5" max="16384" width="11" style="1"/>
  </cols>
  <sheetData>
    <row r="1" spans="1:4">
      <c r="A1" s="62" t="s">
        <v>1</v>
      </c>
      <c r="B1" s="62" t="s">
        <v>5</v>
      </c>
      <c r="C1" s="62" t="s">
        <v>6</v>
      </c>
      <c r="D1" s="63" t="s">
        <v>8</v>
      </c>
    </row>
    <row r="2" spans="1:4">
      <c r="A2" s="61">
        <v>1</v>
      </c>
      <c r="B2" s="55" t="s">
        <v>66</v>
      </c>
      <c r="C2" s="55" t="s">
        <v>7</v>
      </c>
      <c r="D2" s="59" t="s">
        <v>2</v>
      </c>
    </row>
    <row r="3" spans="1:4">
      <c r="A3" s="56">
        <v>2</v>
      </c>
      <c r="B3" s="56" t="s">
        <v>67</v>
      </c>
      <c r="C3" s="55" t="s">
        <v>7</v>
      </c>
      <c r="D3" s="60" t="s">
        <v>3</v>
      </c>
    </row>
    <row r="4" spans="1:4">
      <c r="A4" s="61">
        <v>3</v>
      </c>
      <c r="B4" s="56" t="s">
        <v>68</v>
      </c>
      <c r="C4" s="55" t="s">
        <v>7</v>
      </c>
      <c r="D4" s="60" t="s">
        <v>63</v>
      </c>
    </row>
    <row r="5" spans="1:4">
      <c r="A5" s="61">
        <v>4</v>
      </c>
      <c r="B5" s="56" t="s">
        <v>69</v>
      </c>
      <c r="C5" s="55" t="s">
        <v>7</v>
      </c>
      <c r="D5" s="60" t="s">
        <v>56</v>
      </c>
    </row>
    <row r="6" spans="1:4">
      <c r="A6" s="61">
        <v>5</v>
      </c>
      <c r="B6" s="56" t="s">
        <v>70</v>
      </c>
      <c r="C6" s="55" t="s">
        <v>7</v>
      </c>
      <c r="D6" s="60" t="s">
        <v>4</v>
      </c>
    </row>
    <row r="7" spans="1:4">
      <c r="A7" s="61">
        <v>6</v>
      </c>
      <c r="B7" s="56" t="s">
        <v>71</v>
      </c>
      <c r="C7" s="55" t="s">
        <v>7</v>
      </c>
      <c r="D7" s="60" t="s">
        <v>64</v>
      </c>
    </row>
    <row r="8" spans="1:4">
      <c r="A8" s="61">
        <v>7</v>
      </c>
      <c r="B8" s="56" t="s">
        <v>72</v>
      </c>
      <c r="C8" s="55" t="s">
        <v>10</v>
      </c>
      <c r="D8" s="60" t="s">
        <v>11</v>
      </c>
    </row>
    <row r="9" spans="1:4">
      <c r="A9" s="61">
        <v>8</v>
      </c>
      <c r="B9" s="56" t="s">
        <v>73</v>
      </c>
      <c r="C9" s="55" t="s">
        <v>10</v>
      </c>
      <c r="D9" s="60" t="s">
        <v>11</v>
      </c>
    </row>
    <row r="10" spans="1:4">
      <c r="A10" s="61">
        <v>9</v>
      </c>
      <c r="B10" s="57" t="s">
        <v>74</v>
      </c>
      <c r="C10" s="57" t="s">
        <v>7</v>
      </c>
      <c r="D10" s="58" t="s">
        <v>65</v>
      </c>
    </row>
    <row r="11" spans="1:4">
      <c r="A11" s="61">
        <v>10</v>
      </c>
      <c r="B11" s="56" t="s">
        <v>75</v>
      </c>
      <c r="C11" s="55" t="s">
        <v>7</v>
      </c>
      <c r="D11" s="60" t="s">
        <v>65</v>
      </c>
    </row>
    <row r="12" spans="1:4">
      <c r="A12" s="61">
        <v>11</v>
      </c>
      <c r="B12" s="56" t="s">
        <v>76</v>
      </c>
      <c r="C12" s="55" t="s">
        <v>77</v>
      </c>
      <c r="D12" s="60" t="s">
        <v>65</v>
      </c>
    </row>
    <row r="13" spans="1:4">
      <c r="A13" s="61">
        <v>12</v>
      </c>
      <c r="B13" s="56" t="s">
        <v>78</v>
      </c>
      <c r="C13" s="55" t="s">
        <v>9</v>
      </c>
      <c r="D13" s="60" t="s">
        <v>79</v>
      </c>
    </row>
    <row r="14" spans="1:4">
      <c r="A14" s="61">
        <v>13</v>
      </c>
      <c r="B14" s="56" t="s">
        <v>80</v>
      </c>
      <c r="C14" s="55" t="s">
        <v>77</v>
      </c>
      <c r="D14" s="60" t="s">
        <v>65</v>
      </c>
    </row>
    <row r="15" spans="1:4">
      <c r="A15" s="61">
        <v>14</v>
      </c>
      <c r="B15" s="56" t="s">
        <v>81</v>
      </c>
      <c r="C15" s="55" t="s">
        <v>77</v>
      </c>
      <c r="D15" s="60" t="s">
        <v>65</v>
      </c>
    </row>
    <row r="16" spans="1:4">
      <c r="A16" s="61">
        <v>15</v>
      </c>
      <c r="B16" s="56" t="s">
        <v>82</v>
      </c>
      <c r="C16" s="55" t="s">
        <v>83</v>
      </c>
      <c r="D16" s="60" t="s">
        <v>65</v>
      </c>
    </row>
    <row r="17" spans="1:4">
      <c r="A17" s="61">
        <v>16</v>
      </c>
      <c r="B17" s="56" t="s">
        <v>84</v>
      </c>
      <c r="C17" s="55" t="s">
        <v>77</v>
      </c>
      <c r="D17" s="60" t="s">
        <v>65</v>
      </c>
    </row>
    <row r="18" spans="1:4">
      <c r="A18" s="61">
        <v>17</v>
      </c>
      <c r="B18" s="56" t="s">
        <v>85</v>
      </c>
      <c r="C18" s="55" t="s">
        <v>77</v>
      </c>
      <c r="D18" s="60" t="s">
        <v>65</v>
      </c>
    </row>
    <row r="19" spans="1:4">
      <c r="A19" s="61">
        <v>18</v>
      </c>
      <c r="B19" s="56" t="s">
        <v>86</v>
      </c>
      <c r="C19" s="55" t="s">
        <v>77</v>
      </c>
      <c r="D19" s="60" t="s">
        <v>65</v>
      </c>
    </row>
    <row r="20" spans="1:4">
      <c r="A20" s="61">
        <v>19</v>
      </c>
      <c r="B20" s="56" t="s">
        <v>87</v>
      </c>
      <c r="C20" s="55" t="s">
        <v>77</v>
      </c>
      <c r="D20" s="60" t="s">
        <v>65</v>
      </c>
    </row>
    <row r="21" spans="1:4">
      <c r="A21" s="56">
        <v>20</v>
      </c>
      <c r="B21" s="56" t="s">
        <v>89</v>
      </c>
      <c r="C21" s="55" t="s">
        <v>77</v>
      </c>
      <c r="D21" s="60" t="s">
        <v>65</v>
      </c>
    </row>
    <row r="22" spans="1:4">
      <c r="A22" s="56">
        <v>21</v>
      </c>
      <c r="B22" s="56" t="s">
        <v>88</v>
      </c>
      <c r="C22" s="55" t="s">
        <v>77</v>
      </c>
      <c r="D22" s="60" t="s">
        <v>65</v>
      </c>
    </row>
    <row r="23" spans="1:4">
      <c r="A23" s="56"/>
      <c r="B23" s="56"/>
      <c r="C23" s="55"/>
      <c r="D23" s="60"/>
    </row>
    <row r="24" spans="1:4">
      <c r="A24" s="56"/>
      <c r="B24" s="56"/>
      <c r="C24" s="55"/>
      <c r="D24" s="60"/>
    </row>
    <row r="25" spans="1:4">
      <c r="A25" s="57"/>
    </row>
    <row r="26" spans="1:4">
      <c r="A26" s="57"/>
    </row>
    <row r="27" spans="1:4">
      <c r="A27" s="57"/>
    </row>
    <row r="28" spans="1:4">
      <c r="A28" s="57"/>
    </row>
    <row r="29" spans="1:4">
      <c r="A29" s="57"/>
    </row>
    <row r="30" spans="1:4">
      <c r="A30" s="57"/>
    </row>
    <row r="31" spans="1:4">
      <c r="A31" s="57"/>
    </row>
    <row r="32" spans="1:4">
      <c r="A32" s="57"/>
    </row>
    <row r="33" spans="1:1">
      <c r="A33" s="57"/>
    </row>
    <row r="34" spans="1:1">
      <c r="A34" s="57"/>
    </row>
    <row r="35" spans="1:1">
      <c r="A35" s="57"/>
    </row>
    <row r="36" spans="1:1">
      <c r="A36" s="57"/>
    </row>
    <row r="37" spans="1:1">
      <c r="A37" s="57"/>
    </row>
    <row r="38" spans="1:1">
      <c r="A38" s="57"/>
    </row>
    <row r="39" spans="1:1">
      <c r="A39" s="57"/>
    </row>
    <row r="40" spans="1:1">
      <c r="A40" s="57"/>
    </row>
    <row r="41" spans="1:1">
      <c r="A41" s="57"/>
    </row>
    <row r="42" spans="1:1">
      <c r="A42" s="57"/>
    </row>
    <row r="43" spans="1:1">
      <c r="A43" s="57"/>
    </row>
  </sheetData>
  <dataValidations count="2">
    <dataValidation type="list" allowBlank="1" showInputMessage="1" showErrorMessage="1" sqref="C2:C11" xr:uid="{8D1F5957-7E82-3E42-8BA6-C907A3F5D35E}">
      <formula1>"Label, TextBox, Combo-Box, Status Bar"</formula1>
    </dataValidation>
    <dataValidation type="list" allowBlank="1" showInputMessage="1" showErrorMessage="1" sqref="C12:C24" xr:uid="{2DED254C-A555-5E4B-84A4-1D0287020300}">
      <formula1>"Lable, TextBox, Combo-Box, Status Bar, ListBox"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9268-BB09-114C-ABF2-EFE2C514982F}">
  <sheetPr codeName="Sheet4"/>
  <dimension ref="B1:M46"/>
  <sheetViews>
    <sheetView showGridLines="0" zoomScaleNormal="100" workbookViewId="0">
      <selection activeCell="C18" sqref="C18"/>
    </sheetView>
    <sheetView workbookViewId="1"/>
  </sheetViews>
  <sheetFormatPr baseColWidth="10" defaultColWidth="11" defaultRowHeight="13"/>
  <cols>
    <col min="1" max="1" width="4.796875" style="93" customWidth="1"/>
    <col min="2" max="2" width="40.59765625" style="93" customWidth="1"/>
    <col min="3" max="3" width="22.3984375" style="93" customWidth="1"/>
    <col min="4" max="4" width="13.796875" style="93" customWidth="1"/>
    <col min="5" max="5" width="14.19921875" style="89" customWidth="1"/>
    <col min="6" max="6" width="12" style="89" customWidth="1"/>
    <col min="7" max="7" width="12.796875" style="89" customWidth="1"/>
    <col min="8" max="8" width="15" style="89" customWidth="1"/>
    <col min="9" max="9" width="10" style="89" customWidth="1"/>
    <col min="10" max="10" width="4.796875" style="93" customWidth="1"/>
    <col min="11" max="11" width="13.796875" style="68" customWidth="1"/>
    <col min="12" max="12" width="11.796875" style="69" customWidth="1"/>
    <col min="13" max="13" width="16.3984375" style="68" customWidth="1"/>
    <col min="14" max="16384" width="11" style="93"/>
  </cols>
  <sheetData>
    <row r="1" spans="2:12" s="68" customFormat="1" ht="28" customHeight="1">
      <c r="B1" s="64" t="s">
        <v>2</v>
      </c>
      <c r="C1" s="65"/>
      <c r="D1" s="66"/>
      <c r="E1" s="67"/>
      <c r="F1" s="67"/>
      <c r="G1" s="67"/>
      <c r="H1" s="67"/>
      <c r="I1" s="67"/>
      <c r="L1" s="69"/>
    </row>
    <row r="2" spans="2:12" s="68" customFormat="1" ht="21" customHeight="1">
      <c r="B2" s="70" t="s">
        <v>55</v>
      </c>
      <c r="C2" s="65"/>
      <c r="D2" s="66"/>
      <c r="E2" s="67"/>
      <c r="F2" s="67"/>
      <c r="G2" s="67"/>
      <c r="H2" s="67"/>
      <c r="I2" s="67"/>
      <c r="L2" s="69"/>
    </row>
    <row r="3" spans="2:12" s="68" customFormat="1" ht="16">
      <c r="B3" s="71" t="s">
        <v>54</v>
      </c>
      <c r="C3" s="66"/>
      <c r="D3" s="66"/>
      <c r="E3" s="67"/>
      <c r="F3" s="67"/>
      <c r="G3" s="67"/>
      <c r="H3" s="67"/>
      <c r="I3" s="67"/>
      <c r="L3" s="69"/>
    </row>
    <row r="4" spans="2:12" s="68" customFormat="1" ht="11" customHeight="1">
      <c r="B4" s="72"/>
      <c r="C4" s="73"/>
      <c r="D4" s="74"/>
      <c r="E4" s="75"/>
      <c r="F4" s="75"/>
      <c r="G4" s="75"/>
      <c r="H4" s="75"/>
      <c r="I4" s="75"/>
      <c r="L4" s="69"/>
    </row>
    <row r="5" spans="2:12" s="68" customFormat="1" ht="29" customHeight="1">
      <c r="B5" s="118" t="s">
        <v>95</v>
      </c>
      <c r="C5" s="76"/>
      <c r="D5" s="77"/>
      <c r="E5" s="78"/>
      <c r="F5" s="78"/>
      <c r="G5" s="78"/>
      <c r="H5" s="78"/>
      <c r="I5" s="78"/>
      <c r="L5" s="69"/>
    </row>
    <row r="6" spans="2:12" s="68" customFormat="1" ht="2" customHeight="1">
      <c r="B6" s="79"/>
      <c r="C6" s="79"/>
      <c r="D6" s="79"/>
      <c r="E6" s="79"/>
      <c r="F6" s="79"/>
      <c r="G6" s="79"/>
      <c r="H6" s="79"/>
      <c r="I6" s="79"/>
      <c r="L6" s="69"/>
    </row>
    <row r="7" spans="2:12" s="68" customFormat="1" ht="24" customHeight="1">
      <c r="B7" s="190" t="str">
        <f>CONCATENATE("Current GPA (", TEXT( MainTable2[[#Totals],[Numeric Grade]],  "0.0"),   ") / Outstanding GPA (2.0)")</f>
        <v>Current GPA (1.5) / Outstanding GPA (2.0)</v>
      </c>
      <c r="C7" s="190"/>
      <c r="D7" s="80">
        <f>MainTable2[[#Totals],[Numeric Grade]] - 2</f>
        <v>-0.47629796839729122</v>
      </c>
      <c r="E7" s="81" t="str">
        <f>IF(D7&lt;0,CONCATENATE("  You need to Increase your GPA ",TEXT(D7*-1,"0.00"), " for graduation"),"  Your GPA meets to graduate ")</f>
        <v xml:space="preserve">  You need to Increase your GPA 0.48 for graduation</v>
      </c>
      <c r="F7" s="82"/>
      <c r="G7" s="82"/>
      <c r="H7" s="79"/>
      <c r="I7" s="82"/>
      <c r="L7" s="69"/>
    </row>
    <row r="8" spans="2:12" s="68" customFormat="1" ht="3" customHeight="1">
      <c r="B8" s="83"/>
      <c r="C8" s="83"/>
      <c r="D8" s="83"/>
      <c r="E8" s="83"/>
      <c r="F8" s="83"/>
      <c r="G8" s="82"/>
      <c r="H8" s="79"/>
      <c r="I8" s="82"/>
      <c r="L8" s="69"/>
    </row>
    <row r="9" spans="2:12" s="68" customFormat="1" ht="23" customHeight="1">
      <c r="B9" s="190" t="str">
        <f>CONCATENATE("Required Hours : ",  TEXT(Summary11[[#Totals],[Requried Hours]], "0 "), "/1350 hours")</f>
        <v>Required Hours : 552 /1350 hours</v>
      </c>
      <c r="C9" s="190"/>
      <c r="D9" s="84">
        <f>(Summary11[[#Totals],[Earned Hours]] - Summary11[[#Totals],[Total Creadit Hours]]) * -1</f>
        <v>552</v>
      </c>
      <c r="E9" s="81" t="str">
        <f>IF(AND(D9&lt;1350, D9 &gt; 0),CONCATENATE("  You need to obtain ",TEXT(D9,"0")," more creadit hours for graduration")," You've obtained all creadit hours to graduate ")</f>
        <v xml:space="preserve">  You need to obtain 552 more creadit hours for graduration</v>
      </c>
      <c r="F9" s="82"/>
      <c r="G9" s="82"/>
      <c r="H9" s="79"/>
      <c r="I9" s="82"/>
      <c r="L9" s="69"/>
    </row>
    <row r="10" spans="2:12" s="68" customFormat="1" ht="4" customHeight="1">
      <c r="B10" s="85"/>
      <c r="C10" s="86"/>
      <c r="D10" s="86"/>
      <c r="E10" s="85"/>
      <c r="F10" s="85"/>
      <c r="G10" s="85"/>
      <c r="H10" s="85"/>
      <c r="I10" s="85"/>
      <c r="L10" s="69"/>
    </row>
    <row r="11" spans="2:12" s="68" customFormat="1">
      <c r="E11" s="87"/>
      <c r="F11" s="87"/>
      <c r="G11" s="87"/>
      <c r="H11" s="87"/>
      <c r="I11" s="87"/>
      <c r="L11" s="69"/>
    </row>
    <row r="12" spans="2:12" s="68" customFormat="1" ht="28" customHeight="1">
      <c r="B12" s="88" t="s">
        <v>50</v>
      </c>
      <c r="C12" s="88" t="s">
        <v>51</v>
      </c>
      <c r="D12" s="88" t="s">
        <v>57</v>
      </c>
      <c r="E12" s="88" t="s">
        <v>58</v>
      </c>
      <c r="F12" s="87"/>
      <c r="G12" s="89"/>
      <c r="H12" s="89"/>
      <c r="I12" s="89"/>
      <c r="L12" s="69"/>
    </row>
    <row r="13" spans="2:12" s="68" customFormat="1" ht="18" customHeight="1">
      <c r="B13" s="90" t="s">
        <v>52</v>
      </c>
      <c r="C13" s="87">
        <f>SUM(G19:G22,G25:G36,G38:G45)</f>
        <v>1197</v>
      </c>
      <c r="D13" s="91">
        <f t="shared" ref="D13" si="0" xml:space="preserve"> SUMIF(D19:D22, "Passed", G19:G22) + SUMIF(D25:D36, "Passed", G25:G36) + SUMIF(D38:D45, "Passed", G38:G45)</f>
        <v>690</v>
      </c>
      <c r="E13" s="87">
        <f>Summary11[[#This Row],[Total Creadit Hours]]-Summary11[[#This Row],[Earned Hours]]</f>
        <v>507</v>
      </c>
      <c r="F13" s="87"/>
      <c r="G13" s="89"/>
      <c r="H13" s="89"/>
      <c r="I13" s="89"/>
      <c r="L13" s="69"/>
    </row>
    <row r="14" spans="2:12" s="68" customFormat="1" ht="18" customHeight="1">
      <c r="B14" s="90" t="s">
        <v>53</v>
      </c>
      <c r="C14" s="87">
        <f>SUM(G23,G24,G37)</f>
        <v>132</v>
      </c>
      <c r="D14" s="91">
        <f>SUMIF(D23:D24, "Passed", G23:G24) + SUMIF(D37, "Passed", G37)</f>
        <v>87</v>
      </c>
      <c r="E14" s="87">
        <f>Summary11[[#This Row],[Total Creadit Hours]]-Summary11[[#This Row],[Earned Hours]]</f>
        <v>45</v>
      </c>
      <c r="F14" s="87"/>
      <c r="G14" s="89"/>
      <c r="H14" s="89"/>
      <c r="I14" s="89"/>
      <c r="L14" s="69"/>
    </row>
    <row r="15" spans="2:12" s="68" customFormat="1" ht="18" customHeight="1">
      <c r="B15" s="87" t="s">
        <v>0</v>
      </c>
      <c r="C15" s="87">
        <f>SUBTOTAL(109,Summary11[Total Creadit Hours])</f>
        <v>1329</v>
      </c>
      <c r="D15" s="92">
        <f>SUBTOTAL(109,Summary11[Earned Hours])</f>
        <v>777</v>
      </c>
      <c r="E15" s="92">
        <f>SUBTOTAL(109,Summary11[Requried Hours])</f>
        <v>552</v>
      </c>
      <c r="F15" s="87"/>
      <c r="G15" s="89"/>
      <c r="H15" s="89"/>
      <c r="I15" s="89"/>
      <c r="L15" s="69"/>
    </row>
    <row r="16" spans="2:12" s="68" customFormat="1" ht="9" customHeight="1">
      <c r="B16" s="87"/>
      <c r="C16" s="87"/>
      <c r="D16" s="92"/>
      <c r="E16" s="92"/>
      <c r="F16" s="87"/>
      <c r="G16" s="89"/>
      <c r="H16" s="89"/>
      <c r="I16" s="89"/>
      <c r="L16" s="69"/>
    </row>
    <row r="17" spans="2:13" ht="17" customHeight="1" thickBot="1"/>
    <row r="18" spans="2:13" ht="42" customHeight="1" thickBot="1">
      <c r="B18" s="94" t="s">
        <v>45</v>
      </c>
      <c r="C18" s="187" t="s">
        <v>62</v>
      </c>
      <c r="D18" s="94" t="s">
        <v>49</v>
      </c>
      <c r="E18" s="94" t="s">
        <v>43</v>
      </c>
      <c r="F18" s="94" t="s">
        <v>37</v>
      </c>
      <c r="G18" s="94" t="s">
        <v>60</v>
      </c>
      <c r="H18" s="94" t="s">
        <v>36</v>
      </c>
      <c r="I18" s="94" t="s">
        <v>59</v>
      </c>
      <c r="K18" s="95" t="s">
        <v>44</v>
      </c>
      <c r="L18" s="95" t="s">
        <v>37</v>
      </c>
      <c r="M18" s="95" t="s">
        <v>43</v>
      </c>
    </row>
    <row r="19" spans="2:13" ht="18" customHeight="1">
      <c r="B19" s="96" t="s">
        <v>12</v>
      </c>
      <c r="C19" s="184">
        <v>79.2</v>
      </c>
      <c r="D19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19" s="97">
        <f>IF(ISNUMBER(MainTable2[[#This Row],[Enter Percentage Grade]]), VLOOKUP(MainTable2[[#This Row],[Enter Percentage Grade]],GradeTable10[],3,TRUE)," ")</f>
        <v>3</v>
      </c>
      <c r="F19" s="98" t="str">
        <f>IF(ISNUMBER(MainTable2[[#This Row],[Enter Percentage Grade]]), VLOOKUP(MainTable2[[#This Row],[Enter Percentage Grade]],GradeTable10[],2,TRUE), " ")</f>
        <v>B</v>
      </c>
      <c r="G19" s="98">
        <f>3 * 15</f>
        <v>45</v>
      </c>
      <c r="H19" s="98">
        <f>IF(ISNUMBER(MainTable2[[#This Row],[Enter Percentage Grade]]),  MainTable2[[#This Row],[Credit Hours]]*MainTable2[[#This Row],[Numeric Grade]],  " ")</f>
        <v>135</v>
      </c>
      <c r="I19" s="98">
        <v>1</v>
      </c>
      <c r="K19" s="99">
        <v>0</v>
      </c>
      <c r="L19" s="99" t="s">
        <v>42</v>
      </c>
      <c r="M19" s="100">
        <v>0</v>
      </c>
    </row>
    <row r="20" spans="2:13" ht="19" customHeight="1">
      <c r="B20" s="101" t="s">
        <v>13</v>
      </c>
      <c r="C20" s="178">
        <v>79.2</v>
      </c>
      <c r="D20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0" s="97">
        <f>IF(ISNUMBER(MainTable2[[#This Row],[Enter Percentage Grade]]), VLOOKUP(MainTable2[[#This Row],[Enter Percentage Grade]],GradeTable10[],3,TRUE)," ")</f>
        <v>3</v>
      </c>
      <c r="F20" s="98" t="str">
        <f>IF(ISNUMBER(MainTable2[[#This Row],[Enter Percentage Grade]]), VLOOKUP(MainTable2[[#This Row],[Enter Percentage Grade]],GradeTable10[],2,TRUE), " ")</f>
        <v>B</v>
      </c>
      <c r="G20" s="98">
        <f t="shared" ref="G20:G45" si="1">3 * 15</f>
        <v>45</v>
      </c>
      <c r="H20" s="98">
        <f>IF(ISNUMBER(MainTable2[[#This Row],[Enter Percentage Grade]]),  MainTable2[[#This Row],[Credit Hours]]*MainTable2[[#This Row],[Numeric Grade]],  " ")</f>
        <v>135</v>
      </c>
      <c r="I20" s="98">
        <v>1</v>
      </c>
      <c r="K20" s="99">
        <v>50</v>
      </c>
      <c r="L20" s="99" t="s">
        <v>41</v>
      </c>
      <c r="M20" s="100">
        <v>1</v>
      </c>
    </row>
    <row r="21" spans="2:13" ht="18" customHeight="1">
      <c r="B21" s="101" t="s">
        <v>14</v>
      </c>
      <c r="C21" s="178">
        <v>99</v>
      </c>
      <c r="D21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1" s="97">
        <f>IF(ISNUMBER(MainTable2[[#This Row],[Enter Percentage Grade]]), VLOOKUP(MainTable2[[#This Row],[Enter Percentage Grade]],GradeTable10[],3,TRUE)," ")</f>
        <v>4</v>
      </c>
      <c r="F21" s="98" t="str">
        <f>IF(ISNUMBER(MainTable2[[#This Row],[Enter Percentage Grade]]), VLOOKUP(MainTable2[[#This Row],[Enter Percentage Grade]],GradeTable10[],2,TRUE), " ")</f>
        <v>A</v>
      </c>
      <c r="G21" s="98">
        <f t="shared" si="1"/>
        <v>45</v>
      </c>
      <c r="H21" s="98">
        <f>IF(ISNUMBER(MainTable2[[#This Row],[Enter Percentage Grade]]),  MainTable2[[#This Row],[Credit Hours]]*MainTable2[[#This Row],[Numeric Grade]],  " ")</f>
        <v>180</v>
      </c>
      <c r="I21" s="98">
        <v>1</v>
      </c>
      <c r="K21" s="99">
        <v>60</v>
      </c>
      <c r="L21" s="99" t="s">
        <v>40</v>
      </c>
      <c r="M21" s="100">
        <v>2</v>
      </c>
    </row>
    <row r="22" spans="2:13" ht="18" customHeight="1">
      <c r="B22" s="101" t="s">
        <v>15</v>
      </c>
      <c r="C22" s="178">
        <v>97</v>
      </c>
      <c r="D22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2" s="97">
        <f>IF(ISNUMBER(MainTable2[[#This Row],[Enter Percentage Grade]]), VLOOKUP(MainTable2[[#This Row],[Enter Percentage Grade]],GradeTable10[],3,TRUE)," ")</f>
        <v>4</v>
      </c>
      <c r="F22" s="98" t="str">
        <f>IF(ISNUMBER(MainTable2[[#This Row],[Enter Percentage Grade]]), VLOOKUP(MainTable2[[#This Row],[Enter Percentage Grade]],GradeTable10[],2,TRUE), " ")</f>
        <v>A</v>
      </c>
      <c r="G22" s="98">
        <f t="shared" si="1"/>
        <v>45</v>
      </c>
      <c r="H22" s="98">
        <f>IF(ISNUMBER(MainTable2[[#This Row],[Enter Percentage Grade]]),  MainTable2[[#This Row],[Credit Hours]]*MainTable2[[#This Row],[Numeric Grade]],  " ")</f>
        <v>180</v>
      </c>
      <c r="I22" s="98">
        <v>1</v>
      </c>
      <c r="K22" s="99">
        <v>70</v>
      </c>
      <c r="L22" s="99" t="s">
        <v>39</v>
      </c>
      <c r="M22" s="100">
        <v>3</v>
      </c>
    </row>
    <row r="23" spans="2:13" ht="18" customHeight="1">
      <c r="B23" s="101" t="s">
        <v>46</v>
      </c>
      <c r="C23" s="178">
        <v>20</v>
      </c>
      <c r="D23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23" s="97">
        <f>IF(ISNUMBER(MainTable2[[#This Row],[Enter Percentage Grade]]), VLOOKUP(MainTable2[[#This Row],[Enter Percentage Grade]],GradeTable10[],3,TRUE)," ")</f>
        <v>0</v>
      </c>
      <c r="F23" s="98" t="str">
        <f>IF(ISNUMBER(MainTable2[[#This Row],[Enter Percentage Grade]]), VLOOKUP(MainTable2[[#This Row],[Enter Percentage Grade]],GradeTable10[],2,TRUE), " ")</f>
        <v>F</v>
      </c>
      <c r="G23" s="98">
        <f t="shared" si="1"/>
        <v>45</v>
      </c>
      <c r="H23" s="98">
        <f>IF(ISNUMBER(MainTable2[[#This Row],[Enter Percentage Grade]]),  MainTable2[[#This Row],[Credit Hours]]*MainTable2[[#This Row],[Numeric Grade]],  " ")</f>
        <v>0</v>
      </c>
      <c r="I23" s="98">
        <v>1</v>
      </c>
      <c r="K23" s="99">
        <v>80</v>
      </c>
      <c r="L23" s="99" t="s">
        <v>38</v>
      </c>
      <c r="M23" s="100">
        <v>4</v>
      </c>
    </row>
    <row r="24" spans="2:13" ht="18" customHeight="1">
      <c r="B24" s="101" t="s">
        <v>47</v>
      </c>
      <c r="C24" s="178">
        <v>50</v>
      </c>
      <c r="D24" s="97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4" s="97">
        <f>IF(ISNUMBER(MainTable2[[#This Row],[Enter Percentage Grade]]), VLOOKUP(MainTable2[[#This Row],[Enter Percentage Grade]],GradeTable10[],3,TRUE)," ")</f>
        <v>1</v>
      </c>
      <c r="F24" s="98" t="str">
        <f>IF(ISNUMBER(MainTable2[[#This Row],[Enter Percentage Grade]]), VLOOKUP(MainTable2[[#This Row],[Enter Percentage Grade]],GradeTable10[],2,TRUE), " ")</f>
        <v>D</v>
      </c>
      <c r="G24" s="98">
        <f t="shared" si="1"/>
        <v>45</v>
      </c>
      <c r="H24" s="98">
        <f>IF(ISNUMBER(MainTable2[[#This Row],[Enter Percentage Grade]]),  MainTable2[[#This Row],[Credit Hours]]*MainTable2[[#This Row],[Numeric Grade]],  " ")</f>
        <v>45</v>
      </c>
      <c r="I24" s="98">
        <v>1</v>
      </c>
    </row>
    <row r="25" spans="2:13" ht="18" customHeight="1">
      <c r="B25" s="102" t="s">
        <v>16</v>
      </c>
      <c r="C25" s="179">
        <v>61</v>
      </c>
      <c r="D25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5" s="103">
        <f>IF(ISNUMBER(MainTable2[[#This Row],[Enter Percentage Grade]]), VLOOKUP(MainTable2[[#This Row],[Enter Percentage Grade]],GradeTable10[],3,TRUE)," ")</f>
        <v>2</v>
      </c>
      <c r="F25" s="104" t="str">
        <f>IF(ISNUMBER(MainTable2[[#This Row],[Enter Percentage Grade]]), VLOOKUP(MainTable2[[#This Row],[Enter Percentage Grade]],GradeTable10[],2,TRUE), " ")</f>
        <v>C</v>
      </c>
      <c r="G25" s="104">
        <f t="shared" si="1"/>
        <v>45</v>
      </c>
      <c r="H25" s="104">
        <f>IF(ISNUMBER(MainTable2[[#This Row],[Enter Percentage Grade]]),  MainTable2[[#This Row],[Credit Hours]]*MainTable2[[#This Row],[Numeric Grade]],  " ")</f>
        <v>90</v>
      </c>
      <c r="I25" s="104">
        <v>2</v>
      </c>
    </row>
    <row r="26" spans="2:13" ht="18" customHeight="1">
      <c r="B26" s="102" t="s">
        <v>17</v>
      </c>
      <c r="C26" s="179">
        <v>80</v>
      </c>
      <c r="D26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6" s="103">
        <f>IF(ISNUMBER(MainTable2[[#This Row],[Enter Percentage Grade]]), VLOOKUP(MainTable2[[#This Row],[Enter Percentage Grade]],GradeTable10[],3,TRUE)," ")</f>
        <v>4</v>
      </c>
      <c r="F26" s="104" t="str">
        <f>IF(ISNUMBER(MainTable2[[#This Row],[Enter Percentage Grade]]), VLOOKUP(MainTable2[[#This Row],[Enter Percentage Grade]],GradeTable10[],2,TRUE), " ")</f>
        <v>A</v>
      </c>
      <c r="G26" s="104">
        <f t="shared" si="1"/>
        <v>45</v>
      </c>
      <c r="H26" s="104">
        <f>IF(ISNUMBER(MainTable2[[#This Row],[Enter Percentage Grade]]),  MainTable2[[#This Row],[Credit Hours]]*MainTable2[[#This Row],[Numeric Grade]],  " ")</f>
        <v>180</v>
      </c>
      <c r="I26" s="104">
        <v>2</v>
      </c>
    </row>
    <row r="27" spans="2:13" ht="18" customHeight="1">
      <c r="B27" s="102" t="s">
        <v>18</v>
      </c>
      <c r="C27" s="179">
        <v>50</v>
      </c>
      <c r="D27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7" s="103">
        <f>IF(ISNUMBER(MainTable2[[#This Row],[Enter Percentage Grade]]), VLOOKUP(MainTable2[[#This Row],[Enter Percentage Grade]],GradeTable10[],3,TRUE)," ")</f>
        <v>1</v>
      </c>
      <c r="F27" s="104" t="str">
        <f>IF(ISNUMBER(MainTable2[[#This Row],[Enter Percentage Grade]]), VLOOKUP(MainTable2[[#This Row],[Enter Percentage Grade]],GradeTable10[],2,TRUE), " ")</f>
        <v>D</v>
      </c>
      <c r="G27" s="104">
        <f t="shared" si="1"/>
        <v>45</v>
      </c>
      <c r="H27" s="104">
        <f>IF(ISNUMBER(MainTable2[[#This Row],[Enter Percentage Grade]]),  MainTable2[[#This Row],[Credit Hours]]*MainTable2[[#This Row],[Numeric Grade]],  " ")</f>
        <v>45</v>
      </c>
      <c r="I27" s="104">
        <v>2</v>
      </c>
    </row>
    <row r="28" spans="2:13" ht="18" customHeight="1">
      <c r="B28" s="102" t="s">
        <v>19</v>
      </c>
      <c r="C28" s="179">
        <v>40</v>
      </c>
      <c r="D28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28" s="103">
        <f>IF(ISNUMBER(MainTable2[[#This Row],[Enter Percentage Grade]]), VLOOKUP(MainTable2[[#This Row],[Enter Percentage Grade]],GradeTable10[],3,TRUE)," ")</f>
        <v>0</v>
      </c>
      <c r="F28" s="104" t="str">
        <f>IF(ISNUMBER(MainTable2[[#This Row],[Enter Percentage Grade]]), VLOOKUP(MainTable2[[#This Row],[Enter Percentage Grade]],GradeTable10[],2,TRUE), " ")</f>
        <v>F</v>
      </c>
      <c r="G28" s="104">
        <f t="shared" si="1"/>
        <v>45</v>
      </c>
      <c r="H28" s="104">
        <f>IF(ISNUMBER(MainTable2[[#This Row],[Enter Percentage Grade]]),  MainTable2[[#This Row],[Credit Hours]]*MainTable2[[#This Row],[Numeric Grade]],  " ")</f>
        <v>0</v>
      </c>
      <c r="I28" s="104">
        <v>2</v>
      </c>
    </row>
    <row r="29" spans="2:13" ht="18" customHeight="1">
      <c r="B29" s="102" t="s">
        <v>20</v>
      </c>
      <c r="C29" s="179">
        <v>70</v>
      </c>
      <c r="D29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29" s="103">
        <f>IF(ISNUMBER(MainTable2[[#This Row],[Enter Percentage Grade]]), VLOOKUP(MainTable2[[#This Row],[Enter Percentage Grade]],GradeTable10[],3,TRUE)," ")</f>
        <v>3</v>
      </c>
      <c r="F29" s="104" t="str">
        <f>IF(ISNUMBER(MainTable2[[#This Row],[Enter Percentage Grade]]), VLOOKUP(MainTable2[[#This Row],[Enter Percentage Grade]],GradeTable10[],2,TRUE), " ")</f>
        <v>B</v>
      </c>
      <c r="G29" s="104">
        <f t="shared" si="1"/>
        <v>45</v>
      </c>
      <c r="H29" s="104">
        <f>IF(ISNUMBER(MainTable2[[#This Row],[Enter Percentage Grade]]),  MainTable2[[#This Row],[Credit Hours]]*MainTable2[[#This Row],[Numeric Grade]],  " ")</f>
        <v>135</v>
      </c>
      <c r="I29" s="104">
        <v>2</v>
      </c>
    </row>
    <row r="30" spans="2:13" ht="18" customHeight="1">
      <c r="B30" s="102" t="s">
        <v>21</v>
      </c>
      <c r="C30" s="179">
        <v>50</v>
      </c>
      <c r="D30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0" s="103">
        <f>IF(ISNUMBER(MainTable2[[#This Row],[Enter Percentage Grade]]), VLOOKUP(MainTable2[[#This Row],[Enter Percentage Grade]],GradeTable10[],3,TRUE)," ")</f>
        <v>1</v>
      </c>
      <c r="F30" s="104" t="str">
        <f>IF(ISNUMBER(MainTable2[[#This Row],[Enter Percentage Grade]]), VLOOKUP(MainTable2[[#This Row],[Enter Percentage Grade]],GradeTable10[],2,TRUE), " ")</f>
        <v>D</v>
      </c>
      <c r="G30" s="104">
        <f t="shared" si="1"/>
        <v>45</v>
      </c>
      <c r="H30" s="104">
        <f>IF(ISNUMBER(MainTable2[[#This Row],[Enter Percentage Grade]]),  MainTable2[[#This Row],[Credit Hours]]*MainTable2[[#This Row],[Numeric Grade]],  " ")</f>
        <v>45</v>
      </c>
      <c r="I30" s="104">
        <v>2</v>
      </c>
    </row>
    <row r="31" spans="2:13" ht="18" customHeight="1">
      <c r="B31" s="102" t="s">
        <v>22</v>
      </c>
      <c r="C31" s="179">
        <v>70</v>
      </c>
      <c r="D31" s="103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1" s="103">
        <f>IF(ISNUMBER(MainTable2[[#This Row],[Enter Percentage Grade]]), VLOOKUP(MainTable2[[#This Row],[Enter Percentage Grade]],GradeTable10[],3,TRUE)," ")</f>
        <v>3</v>
      </c>
      <c r="F31" s="104" t="str">
        <f>IF(ISNUMBER(MainTable2[[#This Row],[Enter Percentage Grade]]), VLOOKUP(MainTable2[[#This Row],[Enter Percentage Grade]],GradeTable10[],2,TRUE), " ")</f>
        <v>B</v>
      </c>
      <c r="G31" s="104">
        <f>5 * 15</f>
        <v>75</v>
      </c>
      <c r="H31" s="104">
        <f>IF(ISNUMBER(MainTable2[[#This Row],[Enter Percentage Grade]]),  MainTable2[[#This Row],[Credit Hours]]*MainTable2[[#This Row],[Numeric Grade]],  " ")</f>
        <v>225</v>
      </c>
      <c r="I31" s="104">
        <v>2</v>
      </c>
    </row>
    <row r="32" spans="2:13" ht="18" customHeight="1">
      <c r="B32" s="105" t="s">
        <v>23</v>
      </c>
      <c r="C32" s="180">
        <v>59</v>
      </c>
      <c r="D32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2" s="106">
        <f>IF(ISNUMBER(MainTable2[[#This Row],[Enter Percentage Grade]]), VLOOKUP(MainTable2[[#This Row],[Enter Percentage Grade]],GradeTable10[],3,TRUE)," ")</f>
        <v>1</v>
      </c>
      <c r="F32" s="107" t="str">
        <f>IF(ISNUMBER(MainTable2[[#This Row],[Enter Percentage Grade]]), VLOOKUP(MainTable2[[#This Row],[Enter Percentage Grade]],GradeTable10[],2,TRUE), " ")</f>
        <v>D</v>
      </c>
      <c r="G32" s="107">
        <v>42</v>
      </c>
      <c r="H32" s="107">
        <f>IF(ISNUMBER(MainTable2[[#This Row],[Enter Percentage Grade]]),  MainTable2[[#This Row],[Credit Hours]]*MainTable2[[#This Row],[Numeric Grade]],  " ")</f>
        <v>42</v>
      </c>
      <c r="I32" s="107">
        <v>3</v>
      </c>
    </row>
    <row r="33" spans="2:9" ht="18" customHeight="1">
      <c r="B33" s="105" t="s">
        <v>24</v>
      </c>
      <c r="C33" s="180">
        <v>59</v>
      </c>
      <c r="D33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3" s="106">
        <f>IF(ISNUMBER(MainTable2[[#This Row],[Enter Percentage Grade]]), VLOOKUP(MainTable2[[#This Row],[Enter Percentage Grade]],GradeTable10[],3,TRUE)," ")</f>
        <v>1</v>
      </c>
      <c r="F33" s="107" t="str">
        <f>IF(ISNUMBER(MainTable2[[#This Row],[Enter Percentage Grade]]), VLOOKUP(MainTable2[[#This Row],[Enter Percentage Grade]],GradeTable10[],2,TRUE), " ")</f>
        <v>D</v>
      </c>
      <c r="G33" s="107">
        <v>42</v>
      </c>
      <c r="H33" s="107">
        <f>IF(ISNUMBER(MainTable2[[#This Row],[Enter Percentage Grade]]),  MainTable2[[#This Row],[Credit Hours]]*MainTable2[[#This Row],[Numeric Grade]],  " ")</f>
        <v>42</v>
      </c>
      <c r="I33" s="107">
        <v>3</v>
      </c>
    </row>
    <row r="34" spans="2:9" ht="18" customHeight="1">
      <c r="B34" s="105" t="s">
        <v>25</v>
      </c>
      <c r="C34" s="180">
        <v>90</v>
      </c>
      <c r="D34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4" s="106">
        <f>IF(ISNUMBER(MainTable2[[#This Row],[Enter Percentage Grade]]), VLOOKUP(MainTable2[[#This Row],[Enter Percentage Grade]],GradeTable10[],3,TRUE)," ")</f>
        <v>4</v>
      </c>
      <c r="F34" s="107" t="str">
        <f>IF(ISNUMBER(MainTable2[[#This Row],[Enter Percentage Grade]]), VLOOKUP(MainTable2[[#This Row],[Enter Percentage Grade]],GradeTable10[],2,TRUE), " ")</f>
        <v>A</v>
      </c>
      <c r="G34" s="107">
        <v>42</v>
      </c>
      <c r="H34" s="107">
        <f>IF(ISNUMBER(MainTable2[[#This Row],[Enter Percentage Grade]]),  MainTable2[[#This Row],[Credit Hours]]*MainTable2[[#This Row],[Numeric Grade]],  " ")</f>
        <v>168</v>
      </c>
      <c r="I34" s="107">
        <v>3</v>
      </c>
    </row>
    <row r="35" spans="2:9" ht="18" customHeight="1">
      <c r="B35" s="105" t="s">
        <v>26</v>
      </c>
      <c r="C35" s="180">
        <v>0</v>
      </c>
      <c r="D35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Failed</v>
      </c>
      <c r="E35" s="106">
        <f>IF(ISNUMBER(MainTable2[[#This Row],[Enter Percentage Grade]]), VLOOKUP(MainTable2[[#This Row],[Enter Percentage Grade]],GradeTable10[],3,TRUE)," ")</f>
        <v>0</v>
      </c>
      <c r="F35" s="107" t="str">
        <f>IF(ISNUMBER(MainTable2[[#This Row],[Enter Percentage Grade]]), VLOOKUP(MainTable2[[#This Row],[Enter Percentage Grade]],GradeTable10[],2,TRUE), " ")</f>
        <v>F</v>
      </c>
      <c r="G35" s="107">
        <v>42</v>
      </c>
      <c r="H35" s="107">
        <f>IF(ISNUMBER(MainTable2[[#This Row],[Enter Percentage Grade]]),  MainTable2[[#This Row],[Credit Hours]]*MainTable2[[#This Row],[Numeric Grade]],  " ")</f>
        <v>0</v>
      </c>
      <c r="I35" s="107">
        <v>3</v>
      </c>
    </row>
    <row r="36" spans="2:9" ht="18" customHeight="1">
      <c r="B36" s="105" t="s">
        <v>27</v>
      </c>
      <c r="C36" s="180">
        <v>100</v>
      </c>
      <c r="D36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6" s="106">
        <f>IF(ISNUMBER(MainTable2[[#This Row],[Enter Percentage Grade]]), VLOOKUP(MainTable2[[#This Row],[Enter Percentage Grade]],GradeTable10[],3,TRUE)," ")</f>
        <v>4</v>
      </c>
      <c r="F36" s="107" t="str">
        <f>IF(ISNUMBER(MainTable2[[#This Row],[Enter Percentage Grade]]), VLOOKUP(MainTable2[[#This Row],[Enter Percentage Grade]],GradeTable10[],2,TRUE), " ")</f>
        <v>A</v>
      </c>
      <c r="G36" s="107">
        <v>42</v>
      </c>
      <c r="H36" s="107">
        <f>IF(ISNUMBER(MainTable2[[#This Row],[Enter Percentage Grade]]),  MainTable2[[#This Row],[Credit Hours]]*MainTable2[[#This Row],[Numeric Grade]],  " ")</f>
        <v>168</v>
      </c>
      <c r="I36" s="107">
        <v>3</v>
      </c>
    </row>
    <row r="37" spans="2:9" ht="18" customHeight="1">
      <c r="B37" s="105" t="s">
        <v>48</v>
      </c>
      <c r="C37" s="180">
        <v>100</v>
      </c>
      <c r="D37" s="106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7" s="106">
        <f>IF(ISNUMBER(MainTable2[[#This Row],[Enter Percentage Grade]]), VLOOKUP(MainTable2[[#This Row],[Enter Percentage Grade]],GradeTable10[],3,TRUE)," ")</f>
        <v>4</v>
      </c>
      <c r="F37" s="107" t="str">
        <f>IF(ISNUMBER(MainTable2[[#This Row],[Enter Percentage Grade]]), VLOOKUP(MainTable2[[#This Row],[Enter Percentage Grade]],GradeTable10[],2,TRUE), " ")</f>
        <v>A</v>
      </c>
      <c r="G37" s="107">
        <v>42</v>
      </c>
      <c r="H37" s="107">
        <f>IF(ISNUMBER(MainTable2[[#This Row],[Enter Percentage Grade]]),  MainTable2[[#This Row],[Credit Hours]]*MainTable2[[#This Row],[Numeric Grade]],  " ")</f>
        <v>168</v>
      </c>
      <c r="I37" s="107">
        <v>3</v>
      </c>
    </row>
    <row r="38" spans="2:9" ht="18" customHeight="1">
      <c r="B38" s="105" t="s">
        <v>28</v>
      </c>
      <c r="C38" s="180">
        <v>50</v>
      </c>
      <c r="D38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Passed</v>
      </c>
      <c r="E38" s="106">
        <f>IF(ISNUMBER(MainTable2[[#This Row],[Enter Percentage Grade]]), VLOOKUP(MainTable2[[#This Row],[Enter Percentage Grade]],GradeTable10[],3,TRUE)," ")</f>
        <v>1</v>
      </c>
      <c r="F38" s="107" t="str">
        <f>IF(ISNUMBER(MainTable2[[#This Row],[Enter Percentage Grade]]), VLOOKUP(MainTable2[[#This Row],[Enter Percentage Grade]],GradeTable10[],2,TRUE), " ")</f>
        <v>D</v>
      </c>
      <c r="G38" s="107">
        <v>42</v>
      </c>
      <c r="H38" s="107">
        <f>IF(ISNUMBER(MainTable2[[#This Row],[Enter Percentage Grade]]),  MainTable2[[#This Row],[Credit Hours]]*MainTable2[[#This Row],[Numeric Grade]],  " ")</f>
        <v>42</v>
      </c>
      <c r="I38" s="107">
        <v>3</v>
      </c>
    </row>
    <row r="39" spans="2:9" ht="18" customHeight="1">
      <c r="B39" s="108" t="s">
        <v>29</v>
      </c>
      <c r="C39" s="185"/>
      <c r="D39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39" s="109" t="str">
        <f>IF(ISNUMBER(MainTable2[[#This Row],[Enter Percentage Grade]]), VLOOKUP(MainTable2[[#This Row],[Enter Percentage Grade]],GradeTable10[],3,TRUE)," ")</f>
        <v xml:space="preserve"> </v>
      </c>
      <c r="F39" s="110" t="str">
        <f>IF(ISNUMBER(MainTable2[[#This Row],[Enter Percentage Grade]]), VLOOKUP(MainTable2[[#This Row],[Enter Percentage Grade]],GradeTable10[],2,TRUE), " ")</f>
        <v xml:space="preserve"> </v>
      </c>
      <c r="G39" s="110">
        <f t="shared" si="1"/>
        <v>45</v>
      </c>
      <c r="H39" s="110" t="str">
        <f>IF(ISNUMBER(MainTable2[[#This Row],[Enter Percentage Grade]]),  MainTable2[[#This Row],[Credit Hours]]*MainTable2[[#This Row],[Numeric Grade]],  " ")</f>
        <v xml:space="preserve"> </v>
      </c>
      <c r="I39" s="110">
        <v>4</v>
      </c>
    </row>
    <row r="40" spans="2:9" ht="18" customHeight="1">
      <c r="B40" s="108" t="s">
        <v>30</v>
      </c>
      <c r="C40" s="185"/>
      <c r="D40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0" s="109" t="str">
        <f>IF(ISNUMBER(MainTable2[[#This Row],[Enter Percentage Grade]]), VLOOKUP(MainTable2[[#This Row],[Enter Percentage Grade]],GradeTable10[],3,TRUE)," ")</f>
        <v xml:space="preserve"> </v>
      </c>
      <c r="F40" s="110" t="str">
        <f>IF(ISNUMBER(MainTable2[[#This Row],[Enter Percentage Grade]]), VLOOKUP(MainTable2[[#This Row],[Enter Percentage Grade]],GradeTable10[],2,TRUE), " ")</f>
        <v xml:space="preserve"> </v>
      </c>
      <c r="G40" s="110">
        <f t="shared" si="1"/>
        <v>45</v>
      </c>
      <c r="H40" s="110" t="str">
        <f>IF(ISNUMBER(MainTable2[[#This Row],[Enter Percentage Grade]]),  MainTable2[[#This Row],[Credit Hours]]*MainTable2[[#This Row],[Numeric Grade]],  " ")</f>
        <v xml:space="preserve"> </v>
      </c>
      <c r="I40" s="110">
        <v>4</v>
      </c>
    </row>
    <row r="41" spans="2:9" ht="18" customHeight="1">
      <c r="B41" s="108" t="s">
        <v>31</v>
      </c>
      <c r="C41" s="185"/>
      <c r="D41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1" s="109" t="str">
        <f>IF(ISNUMBER(MainTable2[[#This Row],[Enter Percentage Grade]]), VLOOKUP(MainTable2[[#This Row],[Enter Percentage Grade]],GradeTable10[],3,TRUE)," ")</f>
        <v xml:space="preserve"> </v>
      </c>
      <c r="F41" s="110" t="str">
        <f>IF(ISNUMBER(MainTable2[[#This Row],[Enter Percentage Grade]]), VLOOKUP(MainTable2[[#This Row],[Enter Percentage Grade]],GradeTable10[],2,TRUE), " ")</f>
        <v xml:space="preserve"> </v>
      </c>
      <c r="G41" s="110">
        <f t="shared" si="1"/>
        <v>45</v>
      </c>
      <c r="H41" s="110" t="str">
        <f>IF(ISNUMBER(MainTable2[[#This Row],[Enter Percentage Grade]]),  MainTable2[[#This Row],[Credit Hours]]*MainTable2[[#This Row],[Numeric Grade]],  " ")</f>
        <v xml:space="preserve"> </v>
      </c>
      <c r="I41" s="110">
        <v>4</v>
      </c>
    </row>
    <row r="42" spans="2:9" ht="18" customHeight="1">
      <c r="B42" s="108" t="s">
        <v>32</v>
      </c>
      <c r="C42" s="185"/>
      <c r="D42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2" s="109" t="str">
        <f>IF(ISNUMBER(MainTable2[[#This Row],[Enter Percentage Grade]]), VLOOKUP(MainTable2[[#This Row],[Enter Percentage Grade]],GradeTable10[],3,TRUE)," ")</f>
        <v xml:space="preserve"> </v>
      </c>
      <c r="F42" s="110" t="str">
        <f>IF(ISNUMBER(MainTable2[[#This Row],[Enter Percentage Grade]]), VLOOKUP(MainTable2[[#This Row],[Enter Percentage Grade]],GradeTable10[],2,TRUE), " ")</f>
        <v xml:space="preserve"> </v>
      </c>
      <c r="G42" s="110">
        <f t="shared" si="1"/>
        <v>45</v>
      </c>
      <c r="H42" s="110" t="str">
        <f>IF(ISNUMBER(MainTable2[[#This Row],[Enter Percentage Grade]]),  MainTable2[[#This Row],[Credit Hours]]*MainTable2[[#This Row],[Numeric Grade]],  " ")</f>
        <v xml:space="preserve"> </v>
      </c>
      <c r="I42" s="110">
        <v>4</v>
      </c>
    </row>
    <row r="43" spans="2:9" ht="18" customHeight="1">
      <c r="B43" s="108" t="s">
        <v>33</v>
      </c>
      <c r="C43" s="185"/>
      <c r="D43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3" s="109" t="str">
        <f>IF(ISNUMBER(MainTable2[[#This Row],[Enter Percentage Grade]]), VLOOKUP(MainTable2[[#This Row],[Enter Percentage Grade]],GradeTable10[],3,TRUE)," ")</f>
        <v xml:space="preserve"> </v>
      </c>
      <c r="F43" s="110" t="str">
        <f>IF(ISNUMBER(MainTable2[[#This Row],[Enter Percentage Grade]]), VLOOKUP(MainTable2[[#This Row],[Enter Percentage Grade]],GradeTable10[],2,TRUE), " ")</f>
        <v xml:space="preserve"> </v>
      </c>
      <c r="G43" s="110">
        <f t="shared" si="1"/>
        <v>45</v>
      </c>
      <c r="H43" s="110" t="str">
        <f>IF(ISNUMBER(MainTable2[[#This Row],[Enter Percentage Grade]]),  MainTable2[[#This Row],[Credit Hours]]*MainTable2[[#This Row],[Numeric Grade]],  " ")</f>
        <v xml:space="preserve"> </v>
      </c>
      <c r="I43" s="110">
        <v>4</v>
      </c>
    </row>
    <row r="44" spans="2:9" ht="18" customHeight="1">
      <c r="B44" s="108" t="s">
        <v>34</v>
      </c>
      <c r="C44" s="185"/>
      <c r="D44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4" s="109" t="str">
        <f>IF(ISNUMBER(MainTable2[[#This Row],[Enter Percentage Grade]]), VLOOKUP(MainTable2[[#This Row],[Enter Percentage Grade]],GradeTable10[],3,TRUE)," ")</f>
        <v xml:space="preserve"> </v>
      </c>
      <c r="F44" s="110" t="str">
        <f>IF(ISNUMBER(MainTable2[[#This Row],[Enter Percentage Grade]]), VLOOKUP(MainTable2[[#This Row],[Enter Percentage Grade]],GradeTable10[],2,TRUE), " ")</f>
        <v xml:space="preserve"> </v>
      </c>
      <c r="G44" s="110">
        <f>10 * 15</f>
        <v>150</v>
      </c>
      <c r="H44" s="110" t="str">
        <f>IF(ISNUMBER(MainTable2[[#This Row],[Enter Percentage Grade]]),  MainTable2[[#This Row],[Credit Hours]]*MainTable2[[#This Row],[Numeric Grade]],  " ")</f>
        <v xml:space="preserve"> </v>
      </c>
      <c r="I44" s="110">
        <v>4</v>
      </c>
    </row>
    <row r="45" spans="2:9" ht="18" customHeight="1" thickBot="1">
      <c r="B45" s="108" t="s">
        <v>35</v>
      </c>
      <c r="C45" s="186"/>
      <c r="D45" s="109" t="str">
        <f>_xlfn.IFS(MainTable2[[#This Row],[Enter Percentage Grade]] = "", "Required", NOT(ISNUMBER(MainTable2[[#This Row],[Enter Percentage Grade]])), "Invaild Input",  MainTable2[[#This Row],[Enter Percentage Grade]] &lt; 50, "Failed", MainTable2[[#This Row],[Enter Percentage Grade]] &gt;= 50, "Passed")</f>
        <v>Required</v>
      </c>
      <c r="E45" s="109" t="str">
        <f>IF(ISNUMBER(MainTable2[[#This Row],[Enter Percentage Grade]]), VLOOKUP(MainTable2[[#This Row],[Enter Percentage Grade]],GradeTable10[],3,TRUE)," ")</f>
        <v xml:space="preserve"> </v>
      </c>
      <c r="F45" s="110" t="str">
        <f>IF(ISNUMBER(MainTable2[[#This Row],[Enter Percentage Grade]]), VLOOKUP(MainTable2[[#This Row],[Enter Percentage Grade]],GradeTable10[],2,TRUE), " ")</f>
        <v xml:space="preserve"> </v>
      </c>
      <c r="G45" s="110">
        <f t="shared" si="1"/>
        <v>45</v>
      </c>
      <c r="H45" s="110" t="str">
        <f>IF(ISNUMBER(MainTable2[[#This Row],[Enter Percentage Grade]]),  MainTable2[[#This Row],[Credit Hours]]*MainTable2[[#This Row],[Numeric Grade]],  " ")</f>
        <v xml:space="preserve"> </v>
      </c>
      <c r="I45" s="110">
        <v>4</v>
      </c>
    </row>
    <row r="46" spans="2:9" ht="19" customHeight="1">
      <c r="B46" s="111" t="s">
        <v>61</v>
      </c>
      <c r="C46" s="112">
        <f>SUBTOTAL(101,MainTable2[Enter Percentage Grade])</f>
        <v>65.17</v>
      </c>
      <c r="D46" s="112"/>
      <c r="E46" s="113">
        <f>MainTable2[[#Totals],[Quality Points]] / MainTable2[[#Totals],[Credit Hours]]</f>
        <v>1.5237020316027088</v>
      </c>
      <c r="F46" s="114"/>
      <c r="G46" s="114">
        <f>SUBTOTAL(109,MainTable2[Credit Hours])</f>
        <v>1329</v>
      </c>
      <c r="H46" s="114">
        <f>SUBTOTAL(109,MainTable2[Quality Points])</f>
        <v>2025</v>
      </c>
      <c r="I46" s="114"/>
    </row>
  </sheetData>
  <mergeCells count="2">
    <mergeCell ref="B7:C7"/>
    <mergeCell ref="B9:C9"/>
  </mergeCells>
  <conditionalFormatting sqref="D19:D45">
    <cfRule type="containsText" dxfId="48" priority="4" operator="containsText" text="Passed">
      <formula>NOT(ISERROR(SEARCH("Passed",D19)))</formula>
    </cfRule>
    <cfRule type="containsText" dxfId="47" priority="5" operator="containsText" text="Fail">
      <formula>NOT(ISERROR(SEARCH("Fail",D19)))</formula>
    </cfRule>
  </conditionalFormatting>
  <conditionalFormatting sqref="D7">
    <cfRule type="dataBar" priority="3">
      <dataBar>
        <cfvo type="num" val="-2"/>
        <cfvo type="num" val="0"/>
        <color theme="6"/>
      </dataBar>
      <extLst>
        <ext xmlns:x14="http://schemas.microsoft.com/office/spreadsheetml/2009/9/main" uri="{B025F937-C7B1-47D3-B67F-A62EFF666E3E}">
          <x14:id>{01E1B179-ECD6-A845-9569-DAB1A9DA0764}</x14:id>
        </ext>
      </extLst>
    </cfRule>
  </conditionalFormatting>
  <conditionalFormatting sqref="D9">
    <cfRule type="dataBar" priority="1">
      <dataBar>
        <cfvo type="num" val="0"/>
        <cfvo type="num" val="1360"/>
        <color theme="8"/>
      </dataBar>
      <extLst>
        <ext xmlns:x14="http://schemas.microsoft.com/office/spreadsheetml/2009/9/main" uri="{B025F937-C7B1-47D3-B67F-A62EFF666E3E}">
          <x14:id>{332A7737-6901-4F45-AE74-338DFC0FFB85}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B7:I8 E19:H30 E40:H43 E31:F38 H31:H38 E45:H45 E44:F44 H44 B15:I15 B13:D13 E13:I13 B14:C14 E14:I14 B10:I12 B9:E9 F9:I9 E39:H39 D19:D45" unlockedFormula="1"/>
    <ignoredError sqref="G31:G38 G44 D14" unlockedFormula="1" calculatedColumn="1"/>
  </ignoredErrors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E1B179-ECD6-A845-9569-DAB1A9DA0764}">
            <x14:dataBar minLength="0" maxLength="100" axisPosition="none">
              <x14:cfvo type="num">
                <xm:f>-2</xm:f>
              </x14:cfvo>
              <x14:cfvo type="num">
                <xm:f>0</xm:f>
              </x14:cfvo>
              <x14:negativeFillColor theme="5"/>
            </x14:dataBar>
          </x14:cfRule>
          <xm:sqref>D7</xm:sqref>
        </x14:conditionalFormatting>
        <x14:conditionalFormatting xmlns:xm="http://schemas.microsoft.com/office/excel/2006/main">
          <x14:cfRule type="dataBar" id="{332A7737-6901-4F45-AE74-338DFC0FFB85}">
            <x14:dataBar minLength="0" maxLength="100" direction="leftToRight">
              <x14:cfvo type="num">
                <xm:f>0</xm:f>
              </x14:cfvo>
              <x14:cfvo type="num">
                <xm:f>1360</xm:f>
              </x14:cfvo>
              <x14:negativeFillColor theme="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iconSet" priority="7" id="{F221B723-B491-C64B-BE86-E19D1471937D}">
            <x14:iconSet iconSet="3Symbols" custom="1">
              <x14:cfvo type="percent">
                <xm:f>0</xm:f>
              </x14:cfvo>
              <x14:cfvo type="num">
                <xm:f>50</xm:f>
              </x14:cfvo>
              <x14:cfvo type="num">
                <xm:f>70</xm:f>
              </x14:cfvo>
              <x14:cfIcon iconSet="3Symbols" iconId="0"/>
              <x14:cfIcon iconSet="3Symbols" iconId="1"/>
              <x14:cfIcon iconSet="3Symbols" iconId="2"/>
            </x14:iconSet>
          </x14:cfRule>
          <xm:sqref>C19:C45</xm:sqref>
        </x14:conditionalFormatting>
        <x14:conditionalFormatting xmlns:xm="http://schemas.microsoft.com/office/excel/2006/main">
          <x14:cfRule type="iconSet" priority="2" id="{09DCB1D2-04AD-184C-8838-064FDA6E7D80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Flags" iconId="0"/>
              <x14:cfIcon iconSet="3Flags" iconId="0"/>
              <x14:cfIcon iconSet="3Flags" iconId="2"/>
            </x14:iconSet>
          </x14:cfRule>
          <xm:sqref>D7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1DD6-20E4-D94D-BDD2-B26E7428F464}">
  <sheetPr codeName="Sheet5"/>
  <dimension ref="A1:C36"/>
  <sheetViews>
    <sheetView zoomScale="168" workbookViewId="0">
      <selection activeCell="E19" sqref="D19:E19"/>
    </sheetView>
    <sheetView workbookViewId="1"/>
  </sheetViews>
  <sheetFormatPr baseColWidth="10" defaultRowHeight="13"/>
  <cols>
    <col min="1" max="1" width="5" style="2" customWidth="1"/>
    <col min="2" max="2" width="23.3984375" style="57" bestFit="1" customWidth="1"/>
    <col min="3" max="3" width="79.19921875" style="117" customWidth="1"/>
    <col min="4" max="4" width="59" style="1" customWidth="1"/>
    <col min="5" max="16384" width="11" style="1"/>
  </cols>
  <sheetData>
    <row r="1" spans="1:3" ht="14">
      <c r="A1" s="62" t="s">
        <v>1</v>
      </c>
      <c r="B1" s="62" t="s">
        <v>90</v>
      </c>
      <c r="C1" s="115" t="s">
        <v>91</v>
      </c>
    </row>
    <row r="2" spans="1:3" ht="14">
      <c r="A2" s="61">
        <v>1</v>
      </c>
      <c r="B2" s="55" t="s">
        <v>96</v>
      </c>
      <c r="C2" s="116" t="s">
        <v>92</v>
      </c>
    </row>
    <row r="3" spans="1:3" ht="28">
      <c r="A3" s="56">
        <v>2</v>
      </c>
      <c r="B3" s="56" t="s">
        <v>93</v>
      </c>
      <c r="C3" s="116" t="s">
        <v>94</v>
      </c>
    </row>
    <row r="4" spans="1:3" ht="28">
      <c r="A4" s="61">
        <v>3</v>
      </c>
      <c r="B4" s="56" t="s">
        <v>97</v>
      </c>
      <c r="C4" s="116" t="s">
        <v>103</v>
      </c>
    </row>
    <row r="5" spans="1:3" ht="28">
      <c r="A5" s="61">
        <v>4</v>
      </c>
      <c r="B5" s="56" t="s">
        <v>99</v>
      </c>
      <c r="C5" s="116" t="s">
        <v>98</v>
      </c>
    </row>
    <row r="6" spans="1:3" ht="30" customHeight="1">
      <c r="A6" s="61">
        <v>5</v>
      </c>
      <c r="B6" s="56" t="s">
        <v>100</v>
      </c>
      <c r="C6" s="116" t="s">
        <v>101</v>
      </c>
    </row>
    <row r="7" spans="1:3" ht="42">
      <c r="A7" s="61">
        <v>6</v>
      </c>
      <c r="B7" s="56" t="s">
        <v>102</v>
      </c>
      <c r="C7" s="116" t="s">
        <v>104</v>
      </c>
    </row>
    <row r="8" spans="1:3" ht="14">
      <c r="A8" s="61">
        <v>7</v>
      </c>
      <c r="B8" s="56" t="s">
        <v>105</v>
      </c>
      <c r="C8" s="116" t="s">
        <v>106</v>
      </c>
    </row>
    <row r="9" spans="1:3" ht="14">
      <c r="A9" s="61"/>
      <c r="B9" s="56"/>
      <c r="C9" s="116" t="s">
        <v>107</v>
      </c>
    </row>
    <row r="10" spans="1:3" ht="14">
      <c r="A10" s="61"/>
      <c r="C10" s="117" t="s">
        <v>108</v>
      </c>
    </row>
    <row r="11" spans="1:3" ht="14">
      <c r="A11" s="61">
        <v>8</v>
      </c>
      <c r="B11" s="56" t="s">
        <v>109</v>
      </c>
      <c r="C11" s="116" t="s">
        <v>110</v>
      </c>
    </row>
    <row r="12" spans="1:3" ht="14">
      <c r="A12" s="61">
        <v>9</v>
      </c>
      <c r="B12" s="56" t="s">
        <v>111</v>
      </c>
      <c r="C12" s="116" t="s">
        <v>121</v>
      </c>
    </row>
    <row r="13" spans="1:3" ht="28">
      <c r="A13" s="61">
        <v>10</v>
      </c>
      <c r="B13" s="56" t="s">
        <v>118</v>
      </c>
      <c r="C13" s="116" t="s">
        <v>119</v>
      </c>
    </row>
    <row r="14" spans="1:3" ht="14">
      <c r="A14" s="61">
        <v>11</v>
      </c>
      <c r="B14" s="56" t="s">
        <v>112</v>
      </c>
      <c r="C14" s="116" t="s">
        <v>124</v>
      </c>
    </row>
    <row r="15" spans="1:3" ht="12" customHeight="1">
      <c r="A15" s="61">
        <v>12</v>
      </c>
      <c r="B15" s="56" t="s">
        <v>113</v>
      </c>
      <c r="C15" s="116" t="s">
        <v>125</v>
      </c>
    </row>
    <row r="16" spans="1:3" ht="12" customHeight="1">
      <c r="A16" s="61">
        <v>13</v>
      </c>
      <c r="B16" s="56" t="s">
        <v>114</v>
      </c>
      <c r="C16" s="116" t="s">
        <v>115</v>
      </c>
    </row>
    <row r="17" spans="1:3" ht="12" customHeight="1">
      <c r="A17" s="61">
        <v>14</v>
      </c>
      <c r="B17" s="56" t="s">
        <v>116</v>
      </c>
      <c r="C17" s="116" t="s">
        <v>117</v>
      </c>
    </row>
    <row r="18" spans="1:3" ht="12" customHeight="1">
      <c r="A18" s="61">
        <v>15</v>
      </c>
      <c r="B18" s="56" t="s">
        <v>122</v>
      </c>
      <c r="C18" s="116" t="s">
        <v>123</v>
      </c>
    </row>
    <row r="19" spans="1:3" ht="14" customHeight="1">
      <c r="A19" s="57"/>
    </row>
    <row r="20" spans="1:3">
      <c r="A20" s="57"/>
    </row>
    <row r="21" spans="1:3">
      <c r="A21" s="57"/>
    </row>
    <row r="22" spans="1:3">
      <c r="A22" s="57"/>
    </row>
    <row r="23" spans="1:3">
      <c r="A23" s="57"/>
    </row>
    <row r="24" spans="1:3">
      <c r="A24" s="57"/>
    </row>
    <row r="25" spans="1:3">
      <c r="A25" s="57"/>
    </row>
    <row r="26" spans="1:3">
      <c r="A26" s="57"/>
    </row>
    <row r="27" spans="1:3">
      <c r="A27" s="57"/>
    </row>
    <row r="28" spans="1:3">
      <c r="A28" s="57"/>
    </row>
    <row r="29" spans="1:3">
      <c r="A29" s="57"/>
    </row>
    <row r="30" spans="1:3">
      <c r="A30" s="57"/>
    </row>
    <row r="31" spans="1:3">
      <c r="A31" s="57"/>
    </row>
    <row r="32" spans="1:3">
      <c r="A32" s="57"/>
    </row>
    <row r="33" spans="1:1">
      <c r="A33" s="57"/>
    </row>
    <row r="34" spans="1:1">
      <c r="A34" s="57"/>
    </row>
    <row r="35" spans="1:1">
      <c r="A35" s="57"/>
    </row>
    <row r="36" spans="1:1">
      <c r="A36" s="5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Planner</vt:lpstr>
      <vt:lpstr>ListControl</vt:lpstr>
      <vt:lpstr>ListControlNum</vt:lpstr>
      <vt:lpstr>ListMethod</vt:lpstr>
      <vt:lpstr>ListMethodNum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 (Byounghyun Oh)</dc:creator>
  <cp:lastModifiedBy>Microsoft Office User</cp:lastModifiedBy>
  <dcterms:created xsi:type="dcterms:W3CDTF">2014-09-11T17:19:09Z</dcterms:created>
  <dcterms:modified xsi:type="dcterms:W3CDTF">2018-12-28T02:50:55Z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