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boh/GitHub/GPAcalc/"/>
    </mc:Choice>
  </mc:AlternateContent>
  <xr:revisionPtr revIDLastSave="0" documentId="13_ncr:1_{2F22B60B-D388-3E4E-8711-DF23D71DEB51}" xr6:coauthVersionLast="40" xr6:coauthVersionMax="40" xr10:uidLastSave="{00000000-0000-0000-0000-000000000000}"/>
  <bookViews>
    <workbookView xWindow="0" yWindow="460" windowWidth="28800" windowHeight="17540" xr2:uid="{9DE88EB9-86E1-FB4C-985D-1E6F6572FD52}"/>
  </bookViews>
  <sheets>
    <sheet name="Planner" sheetId="5" r:id="rId1"/>
    <sheet name="ListMethod" sheetId="8" r:id="rId2"/>
  </sheets>
  <definedNames>
    <definedName name="GPA" localSheetId="1">#REF!</definedName>
    <definedName name="GPA">#REF!</definedName>
    <definedName name="Requirement" localSheetId="1">#REF!</definedName>
    <definedName name="Requirement">#REF!</definedName>
    <definedName name="showGPA" localSheetId="1">#REF!</definedName>
    <definedName name="showGPA">#REF!</definedName>
    <definedName name="StartTime" localSheetId="1">#REF!</definedName>
    <definedName name="StartTime">#REF!</definedName>
    <definedName name="termSelect" localSheetId="1">#REF!</definedName>
    <definedName name="termSelect">#REF!</definedName>
    <definedName name="TimeInterval" localSheetId="1">#REF!</definedName>
    <definedName name="TimeInterv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5" i="5" l="1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E19" i="5"/>
  <c r="F19" i="5"/>
  <c r="G19" i="5"/>
  <c r="E20" i="5"/>
  <c r="F20" i="5"/>
  <c r="G20" i="5"/>
  <c r="H20" i="5" s="1"/>
  <c r="E21" i="5"/>
  <c r="F21" i="5"/>
  <c r="G21" i="5"/>
  <c r="E22" i="5"/>
  <c r="F22" i="5"/>
  <c r="G22" i="5"/>
  <c r="D14" i="5"/>
  <c r="E23" i="5"/>
  <c r="H23" i="5" s="1"/>
  <c r="F23" i="5"/>
  <c r="G23" i="5"/>
  <c r="E24" i="5"/>
  <c r="F24" i="5"/>
  <c r="G24" i="5"/>
  <c r="E25" i="5"/>
  <c r="F25" i="5"/>
  <c r="G25" i="5"/>
  <c r="E26" i="5"/>
  <c r="F26" i="5"/>
  <c r="G26" i="5"/>
  <c r="E27" i="5"/>
  <c r="F27" i="5"/>
  <c r="G27" i="5"/>
  <c r="E28" i="5"/>
  <c r="F28" i="5"/>
  <c r="G28" i="5"/>
  <c r="E29" i="5"/>
  <c r="F29" i="5"/>
  <c r="G29" i="5"/>
  <c r="E30" i="5"/>
  <c r="F30" i="5"/>
  <c r="G30" i="5"/>
  <c r="E31" i="5"/>
  <c r="F31" i="5"/>
  <c r="G31" i="5"/>
  <c r="E32" i="5"/>
  <c r="H32" i="5" s="1"/>
  <c r="F32" i="5"/>
  <c r="E33" i="5"/>
  <c r="H33" i="5" s="1"/>
  <c r="F33" i="5"/>
  <c r="E34" i="5"/>
  <c r="H34" i="5" s="1"/>
  <c r="F34" i="5"/>
  <c r="E35" i="5"/>
  <c r="H35" i="5" s="1"/>
  <c r="F35" i="5"/>
  <c r="E36" i="5"/>
  <c r="H36" i="5" s="1"/>
  <c r="F36" i="5"/>
  <c r="E37" i="5"/>
  <c r="H37" i="5" s="1"/>
  <c r="F37" i="5"/>
  <c r="E38" i="5"/>
  <c r="H38" i="5" s="1"/>
  <c r="F38" i="5"/>
  <c r="E39" i="5"/>
  <c r="H39" i="5" s="1"/>
  <c r="F39" i="5"/>
  <c r="G39" i="5"/>
  <c r="E40" i="5"/>
  <c r="H40" i="5" s="1"/>
  <c r="F40" i="5"/>
  <c r="G40" i="5"/>
  <c r="E41" i="5"/>
  <c r="H41" i="5" s="1"/>
  <c r="F41" i="5"/>
  <c r="G41" i="5"/>
  <c r="E42" i="5"/>
  <c r="H42" i="5" s="1"/>
  <c r="F42" i="5"/>
  <c r="G42" i="5"/>
  <c r="E43" i="5"/>
  <c r="F43" i="5"/>
  <c r="G43" i="5"/>
  <c r="H43" i="5"/>
  <c r="E44" i="5"/>
  <c r="F44" i="5"/>
  <c r="G44" i="5"/>
  <c r="H44" i="5"/>
  <c r="E45" i="5"/>
  <c r="F45" i="5"/>
  <c r="G45" i="5"/>
  <c r="H45" i="5"/>
  <c r="C46" i="5"/>
  <c r="C14" i="5"/>
  <c r="D36" i="8"/>
  <c r="D45" i="8"/>
  <c r="D44" i="8"/>
  <c r="D43" i="8"/>
  <c r="D42" i="8"/>
  <c r="D41" i="8"/>
  <c r="D40" i="8"/>
  <c r="D38" i="8"/>
  <c r="D37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39" i="8"/>
  <c r="H29" i="5" l="1"/>
  <c r="H25" i="5"/>
  <c r="D13" i="5"/>
  <c r="D15" i="5" s="1"/>
  <c r="H30" i="5"/>
  <c r="H24" i="5"/>
  <c r="H28" i="5"/>
  <c r="H26" i="5"/>
  <c r="H31" i="5"/>
  <c r="H27" i="5"/>
  <c r="H21" i="5"/>
  <c r="H19" i="5"/>
  <c r="H22" i="5"/>
  <c r="H46" i="5" s="1"/>
  <c r="E46" i="5" s="1"/>
  <c r="C13" i="5"/>
  <c r="G46" i="5"/>
  <c r="E14" i="5"/>
  <c r="C46" i="8"/>
  <c r="G45" i="8"/>
  <c r="F45" i="8"/>
  <c r="E45" i="8"/>
  <c r="H45" i="8" s="1"/>
  <c r="G44" i="8"/>
  <c r="F44" i="8"/>
  <c r="E44" i="8"/>
  <c r="H44" i="8" s="1"/>
  <c r="H43" i="8"/>
  <c r="G43" i="8"/>
  <c r="F43" i="8"/>
  <c r="E43" i="8"/>
  <c r="G42" i="8"/>
  <c r="F42" i="8"/>
  <c r="E42" i="8"/>
  <c r="H42" i="8" s="1"/>
  <c r="G41" i="8"/>
  <c r="F41" i="8"/>
  <c r="E41" i="8"/>
  <c r="H41" i="8" s="1"/>
  <c r="G40" i="8"/>
  <c r="F40" i="8"/>
  <c r="E40" i="8"/>
  <c r="H40" i="8" s="1"/>
  <c r="G39" i="8"/>
  <c r="F39" i="8"/>
  <c r="E39" i="8"/>
  <c r="H39" i="8" s="1"/>
  <c r="F38" i="8"/>
  <c r="E38" i="8"/>
  <c r="H38" i="8" s="1"/>
  <c r="F37" i="8"/>
  <c r="E37" i="8"/>
  <c r="H37" i="8" s="1"/>
  <c r="F36" i="8"/>
  <c r="E36" i="8"/>
  <c r="H36" i="8" s="1"/>
  <c r="F35" i="8"/>
  <c r="E35" i="8"/>
  <c r="H35" i="8" s="1"/>
  <c r="F34" i="8"/>
  <c r="E34" i="8"/>
  <c r="H34" i="8" s="1"/>
  <c r="F33" i="8"/>
  <c r="E33" i="8"/>
  <c r="H33" i="8" s="1"/>
  <c r="F32" i="8"/>
  <c r="E32" i="8"/>
  <c r="H32" i="8" s="1"/>
  <c r="G31" i="8"/>
  <c r="F31" i="8"/>
  <c r="E31" i="8"/>
  <c r="G30" i="8"/>
  <c r="F30" i="8"/>
  <c r="E30" i="8"/>
  <c r="H30" i="8" s="1"/>
  <c r="G29" i="8"/>
  <c r="F29" i="8"/>
  <c r="E29" i="8"/>
  <c r="H29" i="8" s="1"/>
  <c r="G28" i="8"/>
  <c r="F28" i="8"/>
  <c r="E28" i="8"/>
  <c r="G27" i="8"/>
  <c r="F27" i="8"/>
  <c r="E27" i="8"/>
  <c r="G26" i="8"/>
  <c r="F26" i="8"/>
  <c r="E26" i="8"/>
  <c r="H26" i="8" s="1"/>
  <c r="G25" i="8"/>
  <c r="F25" i="8"/>
  <c r="E25" i="8"/>
  <c r="H25" i="8" s="1"/>
  <c r="G24" i="8"/>
  <c r="F24" i="8"/>
  <c r="E24" i="8"/>
  <c r="G23" i="8"/>
  <c r="F23" i="8"/>
  <c r="E23" i="8"/>
  <c r="H23" i="8" s="1"/>
  <c r="G22" i="8"/>
  <c r="F22" i="8"/>
  <c r="E22" i="8"/>
  <c r="G21" i="8"/>
  <c r="F21" i="8"/>
  <c r="E21" i="8"/>
  <c r="H21" i="8" s="1"/>
  <c r="G20" i="8"/>
  <c r="F20" i="8"/>
  <c r="E20" i="8"/>
  <c r="G19" i="8"/>
  <c r="F19" i="8"/>
  <c r="E19" i="8"/>
  <c r="H28" i="8" l="1"/>
  <c r="E13" i="5"/>
  <c r="E15" i="5" s="1"/>
  <c r="G46" i="8"/>
  <c r="H22" i="8"/>
  <c r="D13" i="8"/>
  <c r="E13" i="8" s="1"/>
  <c r="H20" i="8"/>
  <c r="C13" i="8"/>
  <c r="H19" i="8"/>
  <c r="C14" i="8"/>
  <c r="H27" i="8"/>
  <c r="C15" i="5"/>
  <c r="H31" i="8"/>
  <c r="D14" i="8"/>
  <c r="E14" i="8" s="1"/>
  <c r="H24" i="8"/>
  <c r="H46" i="8" l="1"/>
  <c r="E46" i="8" s="1"/>
  <c r="C15" i="8"/>
  <c r="D15" i="8"/>
  <c r="D9" i="8" s="1"/>
  <c r="E9" i="8" s="1"/>
  <c r="E15" i="8"/>
  <c r="B9" i="8" s="1"/>
  <c r="D7" i="8"/>
  <c r="E7" i="8" s="1"/>
  <c r="B7" i="8"/>
  <c r="D9" i="5" l="1"/>
  <c r="E9" i="5" s="1"/>
  <c r="B9" i="5" l="1"/>
  <c r="D7" i="5" l="1"/>
  <c r="E7" i="5" s="1"/>
  <c r="B7" i="5" l="1"/>
</calcChain>
</file>

<file path=xl/sharedStrings.xml><?xml version="1.0" encoding="utf-8"?>
<sst xmlns="http://schemas.openxmlformats.org/spreadsheetml/2006/main" count="111" uniqueCount="54">
  <si>
    <t>TOTAL</t>
  </si>
  <si>
    <t>Confederation College</t>
  </si>
  <si>
    <t>Persuasive Writing</t>
  </si>
  <si>
    <t>Critical Thinking &amp; Analysis I</t>
  </si>
  <si>
    <t>OOP with NET I</t>
  </si>
  <si>
    <t>Web Programming &amp; Design</t>
  </si>
  <si>
    <t>OOP with Net II</t>
  </si>
  <si>
    <t>Event-driven Programming .NET</t>
  </si>
  <si>
    <t>Advanced Web Applications</t>
  </si>
  <si>
    <t>Database Design and SQL</t>
  </si>
  <si>
    <t>User Experience Theory</t>
  </si>
  <si>
    <t>Communications for Technology</t>
  </si>
  <si>
    <t>Mathematics I</t>
  </si>
  <si>
    <t>Design Patterns and Testing</t>
  </si>
  <si>
    <t>Critical Thinking &amp; Analysis II</t>
  </si>
  <si>
    <t>Req Analysis and Process Modelling</t>
  </si>
  <si>
    <t>Software Config Management</t>
  </si>
  <si>
    <t>ASP.NET</t>
  </si>
  <si>
    <t>OOP with JAVA</t>
  </si>
  <si>
    <t>Mobile Computing</t>
  </si>
  <si>
    <t>Major Project</t>
  </si>
  <si>
    <t>OO Analysis and Design</t>
  </si>
  <si>
    <t>Open Source Programming</t>
  </si>
  <si>
    <t>Preparing for the Workplace</t>
  </si>
  <si>
    <t>CP Work Placement</t>
  </si>
  <si>
    <t>Networks and Data Security</t>
  </si>
  <si>
    <t>Quality Points</t>
  </si>
  <si>
    <t>Letter Grade</t>
  </si>
  <si>
    <t>A</t>
  </si>
  <si>
    <t>B</t>
  </si>
  <si>
    <t>C</t>
  </si>
  <si>
    <t>D</t>
  </si>
  <si>
    <t>F</t>
  </si>
  <si>
    <t>Numeric Grade</t>
  </si>
  <si>
    <t>Percentage grade</t>
  </si>
  <si>
    <t>Course title</t>
  </si>
  <si>
    <t>General Elective 1</t>
  </si>
  <si>
    <t>General Elective 2</t>
  </si>
  <si>
    <t>General Elective 3</t>
  </si>
  <si>
    <t>Passed</t>
  </si>
  <si>
    <t>Requirement</t>
  </si>
  <si>
    <t>Total Creadit Hours</t>
  </si>
  <si>
    <t>Major</t>
  </si>
  <si>
    <t>Elective</t>
  </si>
  <si>
    <t>Major : Computer Programmer</t>
  </si>
  <si>
    <t xml:space="preserve">GPA PLANNER </t>
  </si>
  <si>
    <t>Earned Hours</t>
  </si>
  <si>
    <t>Requried Hours</t>
  </si>
  <si>
    <t>Term</t>
  </si>
  <si>
    <t>Credit Hours</t>
  </si>
  <si>
    <t>Avg, GPA, Sum, Sum</t>
  </si>
  <si>
    <t>Enter Percentage Grade</t>
  </si>
  <si>
    <t>Summary (You have to meet both GPA and Required hour creadit for graduation)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</si>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</sst>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3" x14ac:knownFonts="1">
    <font>
      <sz val="9"/>
      <color theme="0" tint="-0.34998626667073579"/>
      <name val="Arial"/>
      <family val="2"/>
      <scheme val="minor"/>
    </font>
    <font>
      <sz val="12"/>
      <color theme="4" tint="-0.499984740745262"/>
      <name val="Arial"/>
      <family val="2"/>
      <scheme val="major"/>
    </font>
    <font>
      <sz val="23"/>
      <color theme="0" tint="-4.9989318521683403E-2"/>
      <name val="Arial"/>
      <family val="2"/>
      <scheme val="major"/>
    </font>
    <font>
      <sz val="10"/>
      <color theme="0" tint="-0.34998626667073579"/>
      <name val="Arial"/>
      <family val="2"/>
      <scheme val="minor"/>
    </font>
    <font>
      <sz val="28"/>
      <color theme="0"/>
      <name val="Arial"/>
      <family val="2"/>
      <scheme val="major"/>
    </font>
    <font>
      <sz val="10"/>
      <color theme="4"/>
      <name val="Arial"/>
      <family val="2"/>
      <scheme val="major"/>
    </font>
    <font>
      <sz val="12"/>
      <color theme="0" tint="-0.34998626667073579"/>
      <name val="Arial"/>
      <family val="2"/>
      <scheme val="minor"/>
    </font>
    <font>
      <sz val="10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color theme="1"/>
      <name val="Arial"/>
      <family val="2"/>
      <scheme val="major"/>
    </font>
    <font>
      <sz val="12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sz val="14"/>
      <color theme="0"/>
      <name val="Arial"/>
      <family val="2"/>
      <scheme val="minor"/>
    </font>
    <font>
      <sz val="16"/>
      <color theme="0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name val="Arial"/>
      <family val="2"/>
      <scheme val="minor"/>
    </font>
    <font>
      <sz val="12"/>
      <name val="Arial"/>
      <family val="2"/>
      <scheme val="minor"/>
    </font>
    <font>
      <b/>
      <sz val="22"/>
      <color theme="4" tint="-0.499984740745262"/>
      <name val="Arial"/>
      <family val="2"/>
      <scheme val="minor"/>
    </font>
    <font>
      <sz val="10"/>
      <color theme="3"/>
      <name val="Arial"/>
      <family val="2"/>
      <scheme val="minor"/>
    </font>
    <font>
      <b/>
      <sz val="12"/>
      <color theme="3"/>
      <name val="Arial"/>
      <family val="2"/>
      <scheme val="minor"/>
    </font>
    <font>
      <sz val="11"/>
      <color theme="3"/>
      <name val="Arial"/>
      <family val="2"/>
      <scheme val="minor"/>
    </font>
    <font>
      <sz val="14"/>
      <color theme="1"/>
      <name val="Arial"/>
      <family val="2"/>
      <scheme val="minor"/>
    </font>
    <font>
      <sz val="11"/>
      <color theme="0" tint="-0.34998626667073579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EFA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4" tint="-0.249977111117893"/>
      </top>
      <bottom/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 style="medium">
        <color theme="4" tint="-0.249977111117893"/>
      </right>
      <top/>
      <bottom/>
      <diagonal/>
    </border>
    <border>
      <left style="medium">
        <color theme="4" tint="-0.249977111117893"/>
      </left>
      <right style="medium">
        <color theme="4" tint="-0.249977111117893"/>
      </right>
      <top/>
      <bottom style="medium">
        <color theme="4" tint="-0.249977111117893"/>
      </bottom>
      <diagonal/>
    </border>
  </borders>
  <cellStyleXfs count="5">
    <xf numFmtId="0" fontId="0" fillId="3" borderId="0">
      <alignment horizontal="left" vertical="center"/>
    </xf>
    <xf numFmtId="0" fontId="4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Protection="0">
      <alignment vertical="center"/>
    </xf>
  </cellStyleXfs>
  <cellXfs count="118">
    <xf numFmtId="0" fontId="0" fillId="3" borderId="0" xfId="0">
      <alignment horizontal="left" vertical="center"/>
    </xf>
    <xf numFmtId="164" fontId="7" fillId="0" borderId="0" xfId="0" applyNumberFormat="1" applyFont="1" applyFill="1" applyAlignment="1" applyProtection="1">
      <alignment horizontal="left" vertical="center" wrapText="1"/>
    </xf>
    <xf numFmtId="0" fontId="17" fillId="2" borderId="0" xfId="0" applyFont="1" applyFill="1" applyAlignment="1" applyProtection="1">
      <alignment horizontal="left" vertical="center"/>
      <protection locked="0"/>
    </xf>
    <xf numFmtId="0" fontId="14" fillId="2" borderId="0" xfId="0" applyFont="1" applyFill="1" applyAlignment="1" applyProtection="1">
      <alignment horizontal="left" vertical="center"/>
      <protection locked="0"/>
    </xf>
    <xf numFmtId="0" fontId="7" fillId="2" borderId="0" xfId="0" applyFont="1" applyFill="1" applyAlignment="1" applyProtection="1">
      <alignment horizontal="left" vertic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left" vertical="center" wrapText="1"/>
      <protection locked="0"/>
    </xf>
    <xf numFmtId="164" fontId="7" fillId="0" borderId="0" xfId="0" applyNumberFormat="1" applyFont="1" applyFill="1" applyAlignment="1" applyProtection="1">
      <alignment horizontal="left" vertical="center" wrapText="1"/>
      <protection locked="0"/>
    </xf>
    <xf numFmtId="0" fontId="13" fillId="2" borderId="0" xfId="0" applyFont="1" applyFill="1" applyAlignment="1" applyProtection="1">
      <alignment horizontal="left" vertical="center"/>
      <protection locked="0"/>
    </xf>
    <xf numFmtId="0" fontId="10" fillId="2" borderId="0" xfId="0" applyFont="1" applyFill="1" applyAlignment="1" applyProtection="1">
      <alignment horizontal="left" vertical="center"/>
      <protection locked="0"/>
    </xf>
    <xf numFmtId="0" fontId="12" fillId="0" borderId="0" xfId="0" applyFont="1" applyFill="1" applyAlignment="1" applyProtection="1">
      <alignment horizontal="center" vertical="center" wrapText="1"/>
      <protection locked="0"/>
    </xf>
    <xf numFmtId="0" fontId="11" fillId="0" borderId="0" xfId="0" applyFont="1" applyFill="1" applyAlignment="1" applyProtection="1">
      <alignment horizontal="left" vertical="center"/>
      <protection locked="0"/>
    </xf>
    <xf numFmtId="0" fontId="11" fillId="0" borderId="0" xfId="0" applyFont="1" applyFill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horizontal="center" vertical="center" wrapText="1"/>
      <protection locked="0"/>
    </xf>
    <xf numFmtId="0" fontId="11" fillId="2" borderId="0" xfId="0" applyFont="1" applyFill="1" applyAlignment="1" applyProtection="1">
      <alignment horizontal="left" vertical="center"/>
      <protection locked="0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11" fillId="2" borderId="0" xfId="0" applyFont="1" applyFill="1" applyAlignment="1" applyProtection="1">
      <alignment horizontal="center" vertical="center" wrapText="1"/>
      <protection locked="0"/>
    </xf>
    <xf numFmtId="0" fontId="7" fillId="4" borderId="0" xfId="0" applyFont="1" applyFill="1" applyAlignment="1" applyProtection="1">
      <alignment horizontal="left" vertical="center" wrapText="1"/>
      <protection locked="0"/>
    </xf>
    <xf numFmtId="2" fontId="16" fillId="10" borderId="0" xfId="0" applyNumberFormat="1" applyFont="1" applyFill="1" applyAlignment="1" applyProtection="1">
      <alignment horizontal="center" vertical="center" wrapText="1"/>
      <protection locked="0"/>
    </xf>
    <xf numFmtId="164" fontId="20" fillId="4" borderId="0" xfId="0" applyNumberFormat="1" applyFont="1" applyFill="1" applyAlignment="1" applyProtection="1">
      <alignment horizontal="left" vertical="center"/>
      <protection locked="0"/>
    </xf>
    <xf numFmtId="0" fontId="18" fillId="4" borderId="0" xfId="0" applyFont="1" applyFill="1" applyAlignment="1" applyProtection="1">
      <alignment horizontal="center" vertical="center" wrapText="1"/>
      <protection locked="0"/>
    </xf>
    <xf numFmtId="0" fontId="19" fillId="4" borderId="0" xfId="0" applyFont="1" applyFill="1" applyAlignment="1" applyProtection="1">
      <alignment horizontal="left" vertical="center"/>
      <protection locked="0"/>
    </xf>
    <xf numFmtId="1" fontId="16" fillId="0" borderId="0" xfId="0" applyNumberFormat="1" applyFont="1" applyFill="1" applyAlignment="1" applyProtection="1">
      <alignment horizontal="center" vertical="center" wrapText="1"/>
      <protection locked="0"/>
    </xf>
    <xf numFmtId="0" fontId="11" fillId="4" borderId="0" xfId="0" applyFont="1" applyFill="1" applyAlignment="1" applyProtection="1">
      <alignment horizontal="center" vertical="center" wrapText="1"/>
      <protection locked="0"/>
    </xf>
    <xf numFmtId="0" fontId="11" fillId="4" borderId="0" xfId="0" applyFont="1" applyFill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horizontal="center" vertical="center" wrapText="1"/>
      <protection locked="0"/>
    </xf>
    <xf numFmtId="0" fontId="7" fillId="2" borderId="0" xfId="0" applyFont="1" applyFill="1" applyAlignment="1" applyProtection="1">
      <alignment horizontal="center" vertical="center" wrapText="1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164" fontId="7" fillId="0" borderId="0" xfId="0" applyNumberFormat="1" applyFont="1" applyFill="1" applyAlignment="1" applyProtection="1">
      <alignment horizontal="center" vertical="center" wrapText="1"/>
      <protection locked="0"/>
    </xf>
    <xf numFmtId="0" fontId="7" fillId="0" borderId="0" xfId="0" applyNumberFormat="1" applyFont="1" applyFill="1" applyAlignment="1" applyProtection="1">
      <alignment horizontal="center" vertical="center" wrapText="1"/>
      <protection locked="0"/>
    </xf>
    <xf numFmtId="0" fontId="7" fillId="0" borderId="0" xfId="0" applyFont="1" applyFill="1" applyProtection="1">
      <alignment horizontal="left" vertical="center"/>
      <protection locked="0"/>
    </xf>
    <xf numFmtId="0" fontId="9" fillId="2" borderId="0" xfId="2" applyFont="1" applyAlignment="1" applyProtection="1">
      <alignment horizontal="center" vertical="center" wrapText="1"/>
      <protection locked="0"/>
    </xf>
    <xf numFmtId="0" fontId="8" fillId="3" borderId="0" xfId="0" applyFont="1" applyAlignment="1" applyProtection="1">
      <alignment horizontal="center" vertical="center" wrapText="1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164" fontId="3" fillId="4" borderId="0" xfId="0" applyNumberFormat="1" applyFont="1" applyFill="1" applyAlignment="1" applyProtection="1">
      <alignment horizontal="center" vertical="center"/>
      <protection locked="0"/>
    </xf>
    <xf numFmtId="0" fontId="3" fillId="4" borderId="0" xfId="0" applyFont="1" applyFill="1" applyAlignment="1" applyProtection="1">
      <alignment horizontal="center" vertical="center"/>
      <protection locked="0"/>
    </xf>
    <xf numFmtId="0" fontId="8" fillId="0" borderId="0" xfId="0" applyFont="1" applyFill="1" applyAlignment="1" applyProtection="1">
      <alignment horizontal="center" vertical="center" wrapText="1"/>
      <protection locked="0"/>
    </xf>
    <xf numFmtId="164" fontId="8" fillId="0" borderId="0" xfId="0" applyNumberFormat="1" applyFont="1" applyFill="1" applyAlignment="1" applyProtection="1">
      <alignment horizontal="center" vertical="center" wrapText="1"/>
      <protection locked="0"/>
    </xf>
    <xf numFmtId="0" fontId="3" fillId="4" borderId="0" xfId="0" applyFont="1" applyFill="1" applyProtection="1">
      <alignment horizontal="left" vertical="center"/>
      <protection locked="0"/>
    </xf>
    <xf numFmtId="0" fontId="3" fillId="5" borderId="0" xfId="0" applyFont="1" applyFill="1" applyProtection="1">
      <alignment horizontal="left" vertical="center"/>
      <protection locked="0"/>
    </xf>
    <xf numFmtId="164" fontId="3" fillId="5" borderId="0" xfId="0" applyNumberFormat="1" applyFont="1" applyFill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center" vertical="center"/>
      <protection locked="0"/>
    </xf>
    <xf numFmtId="0" fontId="3" fillId="6" borderId="0" xfId="0" applyFont="1" applyFill="1" applyProtection="1">
      <alignment horizontal="left" vertical="center"/>
      <protection locked="0"/>
    </xf>
    <xf numFmtId="164" fontId="3" fillId="6" borderId="0" xfId="0" applyNumberFormat="1" applyFont="1" applyFill="1" applyAlignment="1" applyProtection="1">
      <alignment horizontal="center" vertical="center"/>
      <protection locked="0"/>
    </xf>
    <xf numFmtId="0" fontId="3" fillId="6" borderId="0" xfId="0" applyFont="1" applyFill="1" applyAlignment="1" applyProtection="1">
      <alignment horizontal="center" vertical="center"/>
      <protection locked="0"/>
    </xf>
    <xf numFmtId="0" fontId="3" fillId="7" borderId="0" xfId="0" applyFont="1" applyFill="1" applyProtection="1">
      <alignment horizontal="left" vertical="center"/>
      <protection locked="0"/>
    </xf>
    <xf numFmtId="164" fontId="3" fillId="7" borderId="0" xfId="0" applyNumberFormat="1" applyFont="1" applyFill="1" applyAlignment="1" applyProtection="1">
      <alignment horizontal="center" vertical="center"/>
      <protection locked="0"/>
    </xf>
    <xf numFmtId="0" fontId="3" fillId="7" borderId="0" xfId="0" applyFont="1" applyFill="1" applyAlignment="1" applyProtection="1">
      <alignment horizontal="center" vertical="center"/>
      <protection locked="0"/>
    </xf>
    <xf numFmtId="0" fontId="6" fillId="8" borderId="0" xfId="0" applyFont="1" applyFill="1" applyProtection="1">
      <alignment horizontal="left" vertical="center"/>
      <protection locked="0"/>
    </xf>
    <xf numFmtId="164" fontId="6" fillId="8" borderId="0" xfId="0" applyNumberFormat="1" applyFont="1" applyFill="1" applyAlignment="1" applyProtection="1">
      <alignment horizontal="center" vertical="center"/>
      <protection locked="0"/>
    </xf>
    <xf numFmtId="2" fontId="6" fillId="9" borderId="0" xfId="0" applyNumberFormat="1" applyFont="1" applyFill="1" applyAlignment="1" applyProtection="1">
      <alignment horizontal="center" vertical="center"/>
      <protection locked="0"/>
    </xf>
    <xf numFmtId="0" fontId="6" fillId="8" borderId="0" xfId="0" applyFont="1" applyFill="1" applyAlignment="1" applyProtection="1">
      <alignment horizontal="center" vertical="center"/>
      <protection locked="0"/>
    </xf>
    <xf numFmtId="0" fontId="21" fillId="2" borderId="0" xfId="0" applyFont="1" applyFill="1" applyAlignment="1" applyProtection="1">
      <alignment horizontal="left" vertical="center"/>
      <protection locked="0"/>
    </xf>
    <xf numFmtId="0" fontId="17" fillId="2" borderId="0" xfId="0" applyFont="1" applyFill="1" applyAlignment="1" applyProtection="1">
      <alignment horizontal="left" vertical="center"/>
    </xf>
    <xf numFmtId="0" fontId="14" fillId="2" borderId="0" xfId="0" applyFont="1" applyFill="1" applyAlignment="1" applyProtection="1">
      <alignment horizontal="left" vertical="center"/>
    </xf>
    <xf numFmtId="0" fontId="7" fillId="2" borderId="0" xfId="0" applyFont="1" applyFill="1" applyAlignment="1" applyProtection="1">
      <alignment horizontal="left" vertical="center"/>
    </xf>
    <xf numFmtId="0" fontId="7" fillId="2" borderId="0" xfId="0" applyFont="1" applyFill="1" applyAlignment="1" applyProtection="1">
      <alignment horizontal="center" vertical="center"/>
    </xf>
    <xf numFmtId="0" fontId="7" fillId="0" borderId="0" xfId="0" applyFont="1" applyFill="1" applyAlignment="1" applyProtection="1">
      <alignment horizontal="left" vertical="center" wrapText="1"/>
    </xf>
    <xf numFmtId="0" fontId="13" fillId="2" borderId="0" xfId="0" applyFont="1" applyFill="1" applyAlignment="1" applyProtection="1">
      <alignment horizontal="left" vertical="center"/>
    </xf>
    <xf numFmtId="0" fontId="10" fillId="2" borderId="0" xfId="0" applyFont="1" applyFill="1" applyAlignment="1" applyProtection="1">
      <alignment horizontal="left" vertical="center"/>
    </xf>
    <xf numFmtId="0" fontId="12" fillId="0" borderId="0" xfId="0" applyFont="1" applyFill="1" applyAlignment="1" applyProtection="1">
      <alignment horizontal="center" vertical="center" wrapText="1"/>
    </xf>
    <xf numFmtId="0" fontId="11" fillId="0" borderId="0" xfId="0" applyFont="1" applyFill="1" applyAlignment="1" applyProtection="1">
      <alignment horizontal="left" vertical="center"/>
    </xf>
    <xf numFmtId="0" fontId="11" fillId="0" borderId="0" xfId="0" applyFont="1" applyFill="1" applyAlignment="1" applyProtection="1">
      <alignment horizontal="left" vertical="center" wrapText="1"/>
    </xf>
    <xf numFmtId="0" fontId="11" fillId="0" borderId="0" xfId="0" applyFont="1" applyFill="1" applyAlignment="1" applyProtection="1">
      <alignment horizontal="center" vertical="center" wrapText="1"/>
    </xf>
    <xf numFmtId="0" fontId="21" fillId="2" borderId="0" xfId="0" applyFont="1" applyFill="1" applyAlignment="1" applyProtection="1">
      <alignment horizontal="left" vertical="center"/>
    </xf>
    <xf numFmtId="0" fontId="11" fillId="2" borderId="0" xfId="0" applyFont="1" applyFill="1" applyAlignment="1" applyProtection="1">
      <alignment horizontal="left" vertical="center"/>
    </xf>
    <xf numFmtId="0" fontId="11" fillId="2" borderId="0" xfId="0" applyFont="1" applyFill="1" applyAlignment="1" applyProtection="1">
      <alignment horizontal="left" vertical="center" wrapText="1"/>
    </xf>
    <xf numFmtId="0" fontId="11" fillId="2" borderId="0" xfId="0" applyFont="1" applyFill="1" applyAlignment="1" applyProtection="1">
      <alignment horizontal="center" vertical="center" wrapText="1"/>
    </xf>
    <xf numFmtId="0" fontId="7" fillId="4" borderId="0" xfId="0" applyFont="1" applyFill="1" applyAlignment="1" applyProtection="1">
      <alignment horizontal="left" vertical="center" wrapText="1"/>
    </xf>
    <xf numFmtId="2" fontId="16" fillId="10" borderId="0" xfId="0" applyNumberFormat="1" applyFont="1" applyFill="1" applyAlignment="1" applyProtection="1">
      <alignment horizontal="center" vertical="center" wrapText="1"/>
    </xf>
    <xf numFmtId="164" fontId="20" fillId="4" borderId="0" xfId="0" applyNumberFormat="1" applyFont="1" applyFill="1" applyAlignment="1" applyProtection="1">
      <alignment horizontal="left" vertical="center"/>
    </xf>
    <xf numFmtId="0" fontId="18" fillId="4" borderId="0" xfId="0" applyFont="1" applyFill="1" applyAlignment="1" applyProtection="1">
      <alignment horizontal="center" vertical="center" wrapText="1"/>
    </xf>
    <xf numFmtId="0" fontId="19" fillId="4" borderId="0" xfId="0" applyFont="1" applyFill="1" applyAlignment="1" applyProtection="1">
      <alignment horizontal="left" vertical="center"/>
    </xf>
    <xf numFmtId="1" fontId="16" fillId="0" borderId="0" xfId="0" applyNumberFormat="1" applyFont="1" applyFill="1" applyAlignment="1" applyProtection="1">
      <alignment horizontal="center" vertical="center" wrapText="1"/>
    </xf>
    <xf numFmtId="0" fontId="11" fillId="4" borderId="0" xfId="0" applyFont="1" applyFill="1" applyAlignment="1" applyProtection="1">
      <alignment horizontal="center" vertical="center" wrapText="1"/>
    </xf>
    <xf numFmtId="0" fontId="11" fillId="4" borderId="0" xfId="0" applyFont="1" applyFill="1" applyAlignment="1" applyProtection="1">
      <alignment horizontal="left" vertical="center" wrapText="1"/>
    </xf>
    <xf numFmtId="0" fontId="7" fillId="0" borderId="0" xfId="0" applyFont="1" applyFill="1" applyAlignment="1" applyProtection="1">
      <alignment horizontal="center" vertical="center" wrapText="1"/>
    </xf>
    <xf numFmtId="0" fontId="7" fillId="2" borderId="0" xfId="0" applyFont="1" applyFill="1" applyAlignment="1" applyProtection="1">
      <alignment horizontal="center" vertical="center" wrapText="1"/>
    </xf>
    <xf numFmtId="0" fontId="7" fillId="0" borderId="0" xfId="0" applyFont="1" applyFill="1" applyAlignment="1" applyProtection="1">
      <alignment horizontal="center" vertical="center"/>
    </xf>
    <xf numFmtId="0" fontId="15" fillId="0" borderId="0" xfId="0" applyFont="1" applyFill="1" applyAlignment="1" applyProtection="1">
      <alignment horizontal="center" vertical="center" wrapText="1"/>
    </xf>
    <xf numFmtId="164" fontId="7" fillId="0" borderId="0" xfId="0" applyNumberFormat="1" applyFont="1" applyFill="1" applyAlignment="1" applyProtection="1">
      <alignment horizontal="center" vertical="center" wrapText="1"/>
    </xf>
    <xf numFmtId="0" fontId="7" fillId="0" borderId="0" xfId="0" applyNumberFormat="1" applyFont="1" applyFill="1" applyAlignment="1" applyProtection="1">
      <alignment horizontal="center" vertical="center" wrapText="1"/>
    </xf>
    <xf numFmtId="0" fontId="7" fillId="0" borderId="0" xfId="0" applyFont="1" applyFill="1" applyProtection="1">
      <alignment horizontal="left" vertical="center"/>
    </xf>
    <xf numFmtId="0" fontId="9" fillId="2" borderId="0" xfId="2" applyFont="1" applyAlignment="1" applyProtection="1">
      <alignment horizontal="center" vertical="center" wrapText="1"/>
    </xf>
    <xf numFmtId="0" fontId="8" fillId="3" borderId="0" xfId="0" applyFont="1" applyAlignment="1" applyProtection="1">
      <alignment horizontal="center" vertical="center" wrapText="1"/>
    </xf>
    <xf numFmtId="0" fontId="3" fillId="4" borderId="0" xfId="0" applyFont="1" applyFill="1" applyAlignment="1" applyProtection="1">
      <alignment horizontal="left" vertical="center"/>
    </xf>
    <xf numFmtId="164" fontId="3" fillId="4" borderId="0" xfId="0" applyNumberFormat="1" applyFont="1" applyFill="1" applyAlignment="1" applyProtection="1">
      <alignment horizontal="center" vertical="center"/>
    </xf>
    <xf numFmtId="0" fontId="3" fillId="4" borderId="0" xfId="0" applyFont="1" applyFill="1" applyAlignment="1" applyProtection="1">
      <alignment horizontal="center" vertical="center"/>
    </xf>
    <xf numFmtId="0" fontId="8" fillId="0" borderId="0" xfId="0" applyFont="1" applyFill="1" applyAlignment="1" applyProtection="1">
      <alignment horizontal="center" vertical="center" wrapText="1"/>
    </xf>
    <xf numFmtId="164" fontId="8" fillId="0" borderId="0" xfId="0" applyNumberFormat="1" applyFont="1" applyFill="1" applyAlignment="1" applyProtection="1">
      <alignment horizontal="center" vertical="center" wrapText="1"/>
    </xf>
    <xf numFmtId="0" fontId="3" fillId="4" borderId="0" xfId="0" applyFont="1" applyFill="1" applyProtection="1">
      <alignment horizontal="left" vertical="center"/>
    </xf>
    <xf numFmtId="0" fontId="3" fillId="5" borderId="0" xfId="0" applyFont="1" applyFill="1" applyProtection="1">
      <alignment horizontal="left" vertical="center"/>
    </xf>
    <xf numFmtId="164" fontId="3" fillId="5" borderId="0" xfId="0" applyNumberFormat="1" applyFont="1" applyFill="1" applyAlignment="1" applyProtection="1">
      <alignment horizontal="center" vertical="center"/>
    </xf>
    <xf numFmtId="0" fontId="3" fillId="5" borderId="0" xfId="0" applyFont="1" applyFill="1" applyAlignment="1" applyProtection="1">
      <alignment horizontal="center" vertical="center"/>
    </xf>
    <xf numFmtId="0" fontId="3" fillId="6" borderId="0" xfId="0" applyFont="1" applyFill="1" applyProtection="1">
      <alignment horizontal="left" vertical="center"/>
    </xf>
    <xf numFmtId="164" fontId="3" fillId="6" borderId="0" xfId="0" applyNumberFormat="1" applyFont="1" applyFill="1" applyAlignment="1" applyProtection="1">
      <alignment horizontal="center" vertical="center"/>
    </xf>
    <xf numFmtId="0" fontId="3" fillId="6" borderId="0" xfId="0" applyFont="1" applyFill="1" applyAlignment="1" applyProtection="1">
      <alignment horizontal="center" vertical="center"/>
    </xf>
    <xf numFmtId="0" fontId="3" fillId="7" borderId="0" xfId="0" applyFont="1" applyFill="1" applyProtection="1">
      <alignment horizontal="left" vertical="center"/>
    </xf>
    <xf numFmtId="164" fontId="3" fillId="7" borderId="0" xfId="0" applyNumberFormat="1" applyFont="1" applyFill="1" applyAlignment="1" applyProtection="1">
      <alignment horizontal="center" vertical="center"/>
    </xf>
    <xf numFmtId="0" fontId="3" fillId="7" borderId="0" xfId="0" applyFont="1" applyFill="1" applyAlignment="1" applyProtection="1">
      <alignment horizontal="center" vertical="center"/>
    </xf>
    <xf numFmtId="0" fontId="6" fillId="8" borderId="0" xfId="0" applyFont="1" applyFill="1" applyProtection="1">
      <alignment horizontal="left" vertical="center"/>
    </xf>
    <xf numFmtId="164" fontId="6" fillId="8" borderId="0" xfId="0" applyNumberFormat="1" applyFont="1" applyFill="1" applyAlignment="1" applyProtection="1">
      <alignment horizontal="center" vertical="center"/>
    </xf>
    <xf numFmtId="2" fontId="6" fillId="9" borderId="0" xfId="0" applyNumberFormat="1" applyFont="1" applyFill="1" applyAlignment="1" applyProtection="1">
      <alignment horizontal="center" vertical="center"/>
    </xf>
    <xf numFmtId="0" fontId="6" fillId="8" borderId="0" xfId="0" applyFont="1" applyFill="1" applyAlignment="1" applyProtection="1">
      <alignment horizontal="center" vertical="center"/>
    </xf>
    <xf numFmtId="164" fontId="22" fillId="4" borderId="2" xfId="0" applyNumberFormat="1" applyFont="1" applyFill="1" applyBorder="1" applyAlignment="1" applyProtection="1">
      <alignment horizontal="center" vertical="center"/>
      <protection locked="0"/>
    </xf>
    <xf numFmtId="164" fontId="22" fillId="4" borderId="3" xfId="0" applyNumberFormat="1" applyFont="1" applyFill="1" applyBorder="1" applyAlignment="1" applyProtection="1">
      <alignment horizontal="center" vertical="center"/>
      <protection locked="0"/>
    </xf>
    <xf numFmtId="164" fontId="22" fillId="5" borderId="3" xfId="0" applyNumberFormat="1" applyFont="1" applyFill="1" applyBorder="1" applyAlignment="1" applyProtection="1">
      <alignment horizontal="center" vertical="center"/>
      <protection locked="0"/>
    </xf>
    <xf numFmtId="164" fontId="22" fillId="6" borderId="3" xfId="0" applyNumberFormat="1" applyFont="1" applyFill="1" applyBorder="1" applyAlignment="1" applyProtection="1">
      <alignment horizontal="center" vertical="center"/>
      <protection locked="0"/>
    </xf>
    <xf numFmtId="164" fontId="22" fillId="7" borderId="3" xfId="0" applyNumberFormat="1" applyFont="1" applyFill="1" applyBorder="1" applyAlignment="1" applyProtection="1">
      <alignment horizontal="center" vertical="center"/>
      <protection locked="0"/>
    </xf>
    <xf numFmtId="164" fontId="22" fillId="7" borderId="4" xfId="0" applyNumberFormat="1" applyFont="1" applyFill="1" applyBorder="1" applyAlignment="1" applyProtection="1">
      <alignment horizontal="center" vertical="center"/>
      <protection locked="0"/>
    </xf>
    <xf numFmtId="0" fontId="9" fillId="11" borderId="1" xfId="2" applyFont="1" applyFill="1" applyBorder="1" applyAlignment="1" applyProtection="1">
      <alignment horizontal="center" vertical="center" wrapText="1"/>
    </xf>
    <xf numFmtId="164" fontId="22" fillId="5" borderId="5" xfId="0" applyNumberFormat="1" applyFont="1" applyFill="1" applyBorder="1" applyAlignment="1" applyProtection="1">
      <alignment horizontal="center" vertical="center"/>
      <protection locked="0"/>
    </xf>
    <xf numFmtId="164" fontId="22" fillId="7" borderId="7" xfId="0" applyNumberFormat="1" applyFont="1" applyFill="1" applyBorder="1" applyAlignment="1" applyProtection="1">
      <alignment horizontal="center" vertical="center"/>
      <protection locked="0"/>
    </xf>
    <xf numFmtId="164" fontId="22" fillId="7" borderId="8" xfId="0" applyNumberFormat="1" applyFont="1" applyFill="1" applyBorder="1" applyAlignment="1" applyProtection="1">
      <alignment horizontal="center" vertical="center"/>
      <protection locked="0"/>
    </xf>
    <xf numFmtId="0" fontId="9" fillId="11" borderId="6" xfId="2" applyFont="1" applyFill="1" applyBorder="1" applyAlignment="1" applyProtection="1">
      <alignment horizontal="center" vertical="center" wrapText="1"/>
      <protection locked="0"/>
    </xf>
    <xf numFmtId="0" fontId="19" fillId="4" borderId="0" xfId="0" applyFont="1" applyFill="1" applyAlignment="1" applyProtection="1">
      <alignment horizontal="left" vertical="center"/>
    </xf>
    <xf numFmtId="0" fontId="19" fillId="4" borderId="0" xfId="0" applyFont="1" applyFill="1" applyAlignment="1" applyProtection="1">
      <alignment horizontal="left" vertical="center"/>
      <protection locked="0"/>
    </xf>
  </cellXfs>
  <cellStyles count="5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Arial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Arial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Arial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Arial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Arial"/>
        <family val="2"/>
        <scheme val="minor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Arial"/>
        <family val="2"/>
        <scheme val="minor"/>
      </font>
      <numFmt numFmtId="164" formatCode="0.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Arial"/>
        <family val="2"/>
        <scheme val="minor"/>
      </font>
      <numFmt numFmtId="164" formatCode="0.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Arial"/>
        <family val="2"/>
        <scheme val="minor"/>
      </font>
      <fill>
        <patternFill patternType="solid">
          <fgColor indexed="64"/>
          <bgColor theme="0" tint="-0.249977111117893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Arial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Arial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Arial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Arial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Arial"/>
        <family val="2"/>
        <scheme val="minor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Arial"/>
        <family val="2"/>
        <scheme val="minor"/>
      </font>
      <numFmt numFmtId="164" formatCode="0.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Arial"/>
        <family val="2"/>
        <scheme val="minor"/>
      </font>
      <numFmt numFmtId="164" formatCode="0.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Arial"/>
        <family val="2"/>
        <scheme val="minor"/>
      </font>
      <fill>
        <patternFill patternType="solid">
          <fgColor indexed="64"/>
          <bgColor theme="0" tint="-0.249977111117893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numFmt numFmtId="0" formatCode="General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0" tint="-0.34998626667073579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0" tint="-0.34998626667073579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0" tint="-0.34998626667073579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0" tint="-0.34998626667073579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0" tint="-0.34998626667073579"/>
        <name val="Arial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minor"/>
      </font>
      <numFmt numFmtId="164" formatCode="0.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0" tint="-0.34998626667073579"/>
        <name val="Arial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4" tint="-0.249977111117893"/>
        </left>
        <right style="medium">
          <color theme="4" tint="-0.249977111117893"/>
        </right>
        <top/>
        <bottom/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0"/>
        <color theme="0" tint="-0.34998626667073579"/>
        <name val="Arial"/>
        <family val="2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strike val="0"/>
        <outline val="0"/>
        <shadow val="0"/>
        <u val="none"/>
        <vertAlign val="baseline"/>
        <sz val="12"/>
        <color rgb="FFA6A6A6"/>
        <name val="Arial"/>
        <family val="2"/>
        <scheme val="none"/>
      </font>
      <fill>
        <patternFill patternType="solid">
          <fgColor rgb="FF000000"/>
          <bgColor rgb="FFBFBFBF"/>
        </patternFill>
      </fill>
      <protection locked="0" hidden="0"/>
    </dxf>
    <dxf>
      <font>
        <strike val="0"/>
        <outline val="0"/>
        <shadow val="0"/>
        <u val="none"/>
        <vertAlign val="baseline"/>
        <sz val="10"/>
        <color rgb="FFA6A6A6"/>
        <name val="Arial"/>
        <family val="2"/>
        <scheme val="none"/>
      </font>
      <fill>
        <patternFill patternType="none">
          <fgColor rgb="FF000000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2"/>
        <color theme="1"/>
        <name val="Arial"/>
        <family val="2"/>
        <scheme val="major"/>
      </font>
      <alignment horizontal="center" vertical="center" textRotation="0" wrapText="1" indent="0" justifyLastLine="0" shrinkToFit="0" readingOrder="0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numFmt numFmtId="0" formatCode="General"/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0" tint="-0.34998626667073579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0" tint="-0.34998626667073579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0" tint="-0.34998626667073579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0" tint="-0.34998626667073579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0" tint="-0.34998626667073579"/>
        <name val="Arial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minor"/>
      </font>
      <numFmt numFmtId="164" formatCode="0.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0" tint="-0.34998626667073579"/>
        <name val="Arial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0"/>
        <color theme="0" tint="-0.34998626667073579"/>
        <name val="Arial"/>
        <family val="2"/>
        <scheme val="minor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2"/>
        <color theme="0" tint="-0.34998626667073579"/>
        <name val="Arial"/>
        <family val="2"/>
        <scheme val="minor"/>
      </font>
      <fill>
        <patternFill patternType="solid">
          <fgColor indexed="64"/>
          <bgColor theme="0" tint="-0.249977111117893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color theme="0" tint="-0.34998626667073579"/>
        <name val="Arial"/>
        <family val="2"/>
        <scheme val="minor"/>
      </font>
      <fill>
        <patternFill patternType="none">
          <fgColor indexed="64"/>
          <bgColor auto="1"/>
        </patternFill>
      </fill>
      <protection locked="1" hidden="0"/>
    </dxf>
    <dxf>
      <font>
        <b val="0"/>
        <strike val="0"/>
        <outline val="0"/>
        <shadow val="0"/>
        <u val="none"/>
        <vertAlign val="baseline"/>
        <sz val="12"/>
        <color theme="1"/>
        <name val="Arial"/>
        <family val="2"/>
        <scheme val="major"/>
      </font>
      <alignment horizontal="center" vertical="center" textRotation="0" wrapText="1" indent="0" justifyLastLine="0" shrinkToFit="0" readingOrder="0"/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 tint="-0.34998626667073579"/>
      </font>
    </dxf>
    <dxf>
      <font>
        <b/>
        <i val="0"/>
        <color theme="0" tint="-0.34998626667073579"/>
      </font>
    </dxf>
    <dxf>
      <font>
        <color theme="0" tint="-0.34998626667073579"/>
      </font>
      <border>
        <top style="thin">
          <color theme="1"/>
        </top>
        <bottom/>
      </border>
    </dxf>
    <dxf>
      <font>
        <b val="0"/>
        <i val="0"/>
        <color theme="0" tint="-4.9989318521683403E-2"/>
      </font>
      <border diagonalUp="0" diagonalDown="0">
        <left/>
        <right/>
        <top/>
        <bottom/>
        <vertical/>
        <horizontal/>
      </border>
    </dxf>
    <dxf>
      <font>
        <b val="0"/>
        <i val="0"/>
        <color theme="0" tint="-0.34998626667073579"/>
      </font>
      <fill>
        <patternFill patternType="solid">
          <bgColor theme="1" tint="0.14996795556505021"/>
        </patternFill>
      </fill>
      <border>
        <top style="thin">
          <color theme="1"/>
        </top>
        <bottom/>
        <vertical/>
        <horizontal style="thin">
          <color theme="1"/>
        </horizontal>
      </border>
    </dxf>
    <dxf>
      <font>
        <b/>
        <i val="0"/>
        <color theme="0" tint="-0.34998626667073579"/>
      </font>
    </dxf>
    <dxf>
      <font>
        <b/>
        <i val="0"/>
        <color theme="0" tint="-0.34998626667073579"/>
      </font>
    </dxf>
    <dxf>
      <font>
        <color theme="0" tint="-0.34998626667073579"/>
      </font>
      <border>
        <top style="thin">
          <color theme="1"/>
        </top>
        <bottom/>
      </border>
    </dxf>
    <dxf>
      <font>
        <b val="0"/>
        <i val="0"/>
        <color theme="4"/>
      </font>
      <border diagonalUp="0" diagonalDown="0">
        <left/>
        <right/>
        <top/>
        <bottom/>
        <vertical/>
        <horizontal/>
      </border>
    </dxf>
    <dxf>
      <font>
        <b val="0"/>
        <i val="0"/>
        <color theme="0" tint="-0.34998626667073579"/>
      </font>
      <fill>
        <patternFill patternType="solid">
          <bgColor theme="1" tint="0.14996795556505021"/>
        </patternFill>
      </fill>
      <border>
        <top style="thin">
          <color theme="1"/>
        </top>
        <bottom/>
        <vertical/>
        <horizontal style="thin">
          <color theme="1"/>
        </horizontal>
      </border>
    </dxf>
  </dxfs>
  <tableStyles count="2" defaultTableStyle="College course manager table style" defaultPivotStyle="PivotStyleLight16">
    <tableStyle name="College course manager table style" pivot="0" count="5" xr9:uid="{00000000-0011-0000-FFFF-FFFF00000000}">
      <tableStyleElement type="wholeTable" dxfId="82"/>
      <tableStyleElement type="headerRow" dxfId="81"/>
      <tableStyleElement type="totalRow" dxfId="80"/>
      <tableStyleElement type="firstColumn" dxfId="79"/>
      <tableStyleElement type="lastColumn" dxfId="78"/>
    </tableStyle>
    <tableStyle name="College course manager table style 2" pivot="0" count="5" xr9:uid="{00000000-0011-0000-FFFF-FFFF01000000}">
      <tableStyleElement type="wholeTable" dxfId="77"/>
      <tableStyleElement type="headerRow" dxfId="76"/>
      <tableStyleElement type="totalRow" dxfId="75"/>
      <tableStyleElement type="firstColumn" dxfId="74"/>
      <tableStyleElement type="lastColumn" dxfId="73"/>
    </tableStyle>
  </tableStyles>
  <colors>
    <mruColors>
      <color rgb="FF8EFA00"/>
      <color rgb="FFDDDD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11</xdr:row>
      <xdr:rowOff>111760</xdr:rowOff>
    </xdr:from>
    <xdr:to>
      <xdr:col>8</xdr:col>
      <xdr:colOff>257744</xdr:colOff>
      <xdr:row>14</xdr:row>
      <xdr:rowOff>152400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6875780" y="2321560"/>
          <a:ext cx="1992564" cy="853440"/>
          <a:chOff x="6156886" y="2023546"/>
          <a:chExt cx="1996216" cy="862636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56886" y="2023546"/>
            <a:ext cx="302698" cy="274320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>
          <a:xfrm>
            <a:off x="6455270" y="2055986"/>
            <a:ext cx="719506" cy="2540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Passed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 txBox="1"/>
        </xdr:nvSpPr>
        <xdr:spPr>
          <a:xfrm>
            <a:off x="6455270" y="2339218"/>
            <a:ext cx="1697832" cy="2514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Passed, but low grade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 txBox="1"/>
        </xdr:nvSpPr>
        <xdr:spPr>
          <a:xfrm>
            <a:off x="6453310" y="2614150"/>
            <a:ext cx="719506" cy="25563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Failed</a:t>
            </a:r>
          </a:p>
        </xdr:txBody>
      </xdr:sp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56886" y="2297867"/>
            <a:ext cx="294640" cy="302204"/>
          </a:xfrm>
          <a:prstGeom prst="rect">
            <a:avLst/>
          </a:prstGeom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56886" y="2589910"/>
            <a:ext cx="294640" cy="296272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11</xdr:row>
      <xdr:rowOff>111760</xdr:rowOff>
    </xdr:from>
    <xdr:to>
      <xdr:col>8</xdr:col>
      <xdr:colOff>257744</xdr:colOff>
      <xdr:row>14</xdr:row>
      <xdr:rowOff>152400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F5A8E8D-45D9-4848-8FF3-E2884B9EC2ED}"/>
            </a:ext>
          </a:extLst>
        </xdr:cNvPr>
        <xdr:cNvGrpSpPr/>
      </xdr:nvGrpSpPr>
      <xdr:grpSpPr>
        <a:xfrm>
          <a:off x="6882208" y="2322501"/>
          <a:ext cx="1998993" cy="871627"/>
          <a:chOff x="6156886" y="2023546"/>
          <a:chExt cx="1996216" cy="862636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C01154F8-C964-E34A-B866-22D852454B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56886" y="2023546"/>
            <a:ext cx="302698" cy="274320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DAE81BA3-75A2-EB45-9E17-497A605C9067}"/>
              </a:ext>
            </a:extLst>
          </xdr:cNvPr>
          <xdr:cNvSpPr txBox="1"/>
        </xdr:nvSpPr>
        <xdr:spPr>
          <a:xfrm>
            <a:off x="6455270" y="2055986"/>
            <a:ext cx="719506" cy="2540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Passed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F7D42DC7-B409-954A-99EA-C538760D6222}"/>
              </a:ext>
            </a:extLst>
          </xdr:cNvPr>
          <xdr:cNvSpPr txBox="1"/>
        </xdr:nvSpPr>
        <xdr:spPr>
          <a:xfrm>
            <a:off x="6455270" y="2339218"/>
            <a:ext cx="1697832" cy="2514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Passed, but low grade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E8EB6CA8-3E6A-1D47-BC1A-D9D1E9CB8F72}"/>
              </a:ext>
            </a:extLst>
          </xdr:cNvPr>
          <xdr:cNvSpPr txBox="1"/>
        </xdr:nvSpPr>
        <xdr:spPr>
          <a:xfrm>
            <a:off x="6453310" y="2614150"/>
            <a:ext cx="719506" cy="25563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Failed</a:t>
            </a:r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67CE4C30-8D82-6E43-B817-7C225E7625A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56886" y="2297867"/>
            <a:ext cx="294640" cy="302204"/>
          </a:xfrm>
          <a:prstGeom prst="rect">
            <a:avLst/>
          </a:prstGeom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C2D14B99-0F54-BF4D-819F-19465F58F2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56886" y="2589910"/>
            <a:ext cx="294640" cy="29627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91440</xdr:colOff>
      <xdr:row>6</xdr:row>
      <xdr:rowOff>0</xdr:rowOff>
    </xdr:from>
    <xdr:to>
      <xdr:col>1</xdr:col>
      <xdr:colOff>47037</xdr:colOff>
      <xdr:row>6</xdr:row>
      <xdr:rowOff>254000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29A5A67D-0008-DD4B-B54A-3894FAD32AD8}"/>
            </a:ext>
          </a:extLst>
        </xdr:cNvPr>
        <xdr:cNvSpPr/>
      </xdr:nvSpPr>
      <xdr:spPr>
        <a:xfrm>
          <a:off x="91440" y="1361440"/>
          <a:ext cx="260397" cy="254000"/>
        </a:xfrm>
        <a:prstGeom prst="ellipse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lIns="90000" rtlCol="0" anchor="ctr" anchorCtr="1"/>
        <a:lstStyle/>
        <a:p>
          <a:pPr algn="l"/>
          <a:r>
            <a:rPr lang="en-US" sz="1400" b="1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2</xdr:col>
      <xdr:colOff>1137920</xdr:colOff>
      <xdr:row>6</xdr:row>
      <xdr:rowOff>20320</xdr:rowOff>
    </xdr:from>
    <xdr:to>
      <xdr:col>2</xdr:col>
      <xdr:colOff>1398317</xdr:colOff>
      <xdr:row>6</xdr:row>
      <xdr:rowOff>274320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97038B42-E95D-284D-8609-53B7E8526CCD}"/>
            </a:ext>
          </a:extLst>
        </xdr:cNvPr>
        <xdr:cNvSpPr/>
      </xdr:nvSpPr>
      <xdr:spPr>
        <a:xfrm>
          <a:off x="4023360" y="1381760"/>
          <a:ext cx="260397" cy="254000"/>
        </a:xfrm>
        <a:prstGeom prst="ellipse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lIns="90000" rtlCol="0" anchor="ctr" anchorCtr="1"/>
        <a:lstStyle/>
        <a:p>
          <a:pPr algn="l"/>
          <a:r>
            <a:rPr lang="en-US" sz="1400" b="1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8</xdr:col>
      <xdr:colOff>0</xdr:colOff>
      <xdr:row>6</xdr:row>
      <xdr:rowOff>20320</xdr:rowOff>
    </xdr:from>
    <xdr:to>
      <xdr:col>8</xdr:col>
      <xdr:colOff>260397</xdr:colOff>
      <xdr:row>6</xdr:row>
      <xdr:rowOff>274320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BECC887C-4521-8B42-B698-10A6C48D12E8}"/>
            </a:ext>
          </a:extLst>
        </xdr:cNvPr>
        <xdr:cNvSpPr/>
      </xdr:nvSpPr>
      <xdr:spPr>
        <a:xfrm>
          <a:off x="8615680" y="1381760"/>
          <a:ext cx="260397" cy="254000"/>
        </a:xfrm>
        <a:prstGeom prst="ellipse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lIns="90000" rtlCol="0" anchor="ctr" anchorCtr="1"/>
        <a:lstStyle/>
        <a:p>
          <a:pPr algn="l"/>
          <a:r>
            <a:rPr lang="en-US" sz="1400" b="1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0</xdr:col>
      <xdr:colOff>81280</xdr:colOff>
      <xdr:row>8</xdr:row>
      <xdr:rowOff>40640</xdr:rowOff>
    </xdr:from>
    <xdr:to>
      <xdr:col>1</xdr:col>
      <xdr:colOff>36877</xdr:colOff>
      <xdr:row>9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A502D5EE-AD77-8D4C-B7A5-287BD1E433B5}"/>
            </a:ext>
          </a:extLst>
        </xdr:cNvPr>
        <xdr:cNvSpPr/>
      </xdr:nvSpPr>
      <xdr:spPr>
        <a:xfrm>
          <a:off x="81280" y="1747520"/>
          <a:ext cx="260397" cy="254000"/>
        </a:xfrm>
        <a:prstGeom prst="ellipse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lIns="90000" rtlCol="0" anchor="ctr" anchorCtr="1"/>
        <a:lstStyle/>
        <a:p>
          <a:pPr algn="l"/>
          <a:r>
            <a:rPr lang="en-US" sz="1400" b="1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2</xdr:col>
      <xdr:colOff>1127760</xdr:colOff>
      <xdr:row>8</xdr:row>
      <xdr:rowOff>50800</xdr:rowOff>
    </xdr:from>
    <xdr:to>
      <xdr:col>2</xdr:col>
      <xdr:colOff>1388157</xdr:colOff>
      <xdr:row>9</xdr:row>
      <xdr:rowOff>10160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D7C8BA37-CEB0-A34E-B11A-C84EC3CBE7B5}"/>
            </a:ext>
          </a:extLst>
        </xdr:cNvPr>
        <xdr:cNvSpPr/>
      </xdr:nvSpPr>
      <xdr:spPr>
        <a:xfrm>
          <a:off x="4013200" y="1757680"/>
          <a:ext cx="260397" cy="254000"/>
        </a:xfrm>
        <a:prstGeom prst="ellipse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lIns="90000" rtlCol="0" anchor="ctr" anchorCtr="1"/>
        <a:lstStyle/>
        <a:p>
          <a:pPr algn="l"/>
          <a:r>
            <a:rPr lang="en-US" sz="1400" b="1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8</xdr:col>
      <xdr:colOff>447040</xdr:colOff>
      <xdr:row>8</xdr:row>
      <xdr:rowOff>50800</xdr:rowOff>
    </xdr:from>
    <xdr:to>
      <xdr:col>9</xdr:col>
      <xdr:colOff>67357</xdr:colOff>
      <xdr:row>9</xdr:row>
      <xdr:rowOff>10160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22FA7A48-8962-6C44-8965-9B19FFC055F8}"/>
            </a:ext>
          </a:extLst>
        </xdr:cNvPr>
        <xdr:cNvSpPr/>
      </xdr:nvSpPr>
      <xdr:spPr>
        <a:xfrm>
          <a:off x="9062720" y="1757680"/>
          <a:ext cx="260397" cy="254000"/>
        </a:xfrm>
        <a:prstGeom prst="ellipse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lIns="90000" rtlCol="0" anchor="ctr" anchorCtr="1"/>
        <a:lstStyle/>
        <a:p>
          <a:pPr algn="l"/>
          <a:r>
            <a:rPr lang="en-US" sz="1400" b="1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0</xdr:col>
      <xdr:colOff>121920</xdr:colOff>
      <xdr:row>10</xdr:row>
      <xdr:rowOff>152400</xdr:rowOff>
    </xdr:from>
    <xdr:to>
      <xdr:col>1</xdr:col>
      <xdr:colOff>77517</xdr:colOff>
      <xdr:row>11</xdr:row>
      <xdr:rowOff>243840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A760B0DA-9ECB-E840-9BC2-5FBB0C7126E2}"/>
            </a:ext>
          </a:extLst>
        </xdr:cNvPr>
        <xdr:cNvSpPr/>
      </xdr:nvSpPr>
      <xdr:spPr>
        <a:xfrm>
          <a:off x="121920" y="2204720"/>
          <a:ext cx="260397" cy="254000"/>
        </a:xfrm>
        <a:prstGeom prst="ellipse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lIns="90000" rtlCol="0" anchor="ctr" anchorCtr="1"/>
        <a:lstStyle/>
        <a:p>
          <a:pPr algn="l"/>
          <a:r>
            <a:rPr lang="en-US" sz="1400" b="1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0</xdr:col>
      <xdr:colOff>172720</xdr:colOff>
      <xdr:row>16</xdr:row>
      <xdr:rowOff>0</xdr:rowOff>
    </xdr:from>
    <xdr:to>
      <xdr:col>1</xdr:col>
      <xdr:colOff>128317</xdr:colOff>
      <xdr:row>17</xdr:row>
      <xdr:rowOff>40640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83961340-2BD8-8645-9079-CD607B53DB50}"/>
            </a:ext>
          </a:extLst>
        </xdr:cNvPr>
        <xdr:cNvSpPr/>
      </xdr:nvSpPr>
      <xdr:spPr>
        <a:xfrm>
          <a:off x="172720" y="3383280"/>
          <a:ext cx="260397" cy="254000"/>
        </a:xfrm>
        <a:prstGeom prst="ellipse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lIns="90000" rtlCol="0" anchor="ctr" anchorCtr="1"/>
        <a:lstStyle/>
        <a:p>
          <a:pPr algn="l"/>
          <a:r>
            <a:rPr lang="en-US" sz="1400" b="1">
              <a:solidFill>
                <a:schemeClr val="tx1"/>
              </a:solidFill>
            </a:rPr>
            <a:t>8</a:t>
          </a:r>
        </a:p>
      </xdr:txBody>
    </xdr:sp>
    <xdr:clientData/>
  </xdr:twoCellAnchor>
  <xdr:twoCellAnchor>
    <xdr:from>
      <xdr:col>2</xdr:col>
      <xdr:colOff>447040</xdr:colOff>
      <xdr:row>16</xdr:row>
      <xdr:rowOff>0</xdr:rowOff>
    </xdr:from>
    <xdr:to>
      <xdr:col>2</xdr:col>
      <xdr:colOff>707437</xdr:colOff>
      <xdr:row>17</xdr:row>
      <xdr:rowOff>40640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48FFC79B-6C15-1D46-B899-5E7C788081C3}"/>
            </a:ext>
          </a:extLst>
        </xdr:cNvPr>
        <xdr:cNvSpPr/>
      </xdr:nvSpPr>
      <xdr:spPr>
        <a:xfrm>
          <a:off x="3332480" y="3383280"/>
          <a:ext cx="260397" cy="254000"/>
        </a:xfrm>
        <a:prstGeom prst="ellipse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lIns="90000" rtlCol="0" anchor="ctr" anchorCtr="1"/>
        <a:lstStyle/>
        <a:p>
          <a:pPr algn="l"/>
          <a:r>
            <a:rPr lang="en-US" sz="1400" b="1">
              <a:solidFill>
                <a:schemeClr val="tx1"/>
              </a:solidFill>
            </a:rPr>
            <a:t>9</a:t>
          </a:r>
        </a:p>
      </xdr:txBody>
    </xdr:sp>
    <xdr:clientData/>
  </xdr:twoCellAnchor>
  <xdr:twoCellAnchor>
    <xdr:from>
      <xdr:col>8</xdr:col>
      <xdr:colOff>81280</xdr:colOff>
      <xdr:row>16</xdr:row>
      <xdr:rowOff>10160</xdr:rowOff>
    </xdr:from>
    <xdr:to>
      <xdr:col>8</xdr:col>
      <xdr:colOff>619760</xdr:colOff>
      <xdr:row>17</xdr:row>
      <xdr:rowOff>50800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BB2ADF17-FB05-5B45-8E0D-200CAAEB3E2D}"/>
            </a:ext>
          </a:extLst>
        </xdr:cNvPr>
        <xdr:cNvSpPr/>
      </xdr:nvSpPr>
      <xdr:spPr>
        <a:xfrm>
          <a:off x="8696960" y="3393440"/>
          <a:ext cx="538480" cy="254000"/>
        </a:xfrm>
        <a:prstGeom prst="ellipse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lIns="90000" rtlCol="0" anchor="ctr" anchorCtr="1"/>
        <a:lstStyle/>
        <a:p>
          <a:pPr algn="l"/>
          <a:r>
            <a:rPr lang="en-US" sz="1400" b="1">
              <a:solidFill>
                <a:schemeClr val="tx1"/>
              </a:solidFill>
            </a:rPr>
            <a:t>15</a:t>
          </a:r>
        </a:p>
      </xdr:txBody>
    </xdr:sp>
    <xdr:clientData/>
  </xdr:twoCellAnchor>
  <xdr:twoCellAnchor>
    <xdr:from>
      <xdr:col>3</xdr:col>
      <xdr:colOff>294640</xdr:colOff>
      <xdr:row>15</xdr:row>
      <xdr:rowOff>101600</xdr:rowOff>
    </xdr:from>
    <xdr:to>
      <xdr:col>3</xdr:col>
      <xdr:colOff>792480</xdr:colOff>
      <xdr:row>17</xdr:row>
      <xdr:rowOff>60960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2FFD4BC0-4269-824B-96C8-390C22645C01}"/>
            </a:ext>
          </a:extLst>
        </xdr:cNvPr>
        <xdr:cNvSpPr/>
      </xdr:nvSpPr>
      <xdr:spPr>
        <a:xfrm>
          <a:off x="4602480" y="3373120"/>
          <a:ext cx="497840" cy="284480"/>
        </a:xfrm>
        <a:prstGeom prst="ellipse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lIns="90000" rtlCol="0" anchor="ctr" anchorCtr="1"/>
        <a:lstStyle/>
        <a:p>
          <a:pPr algn="l"/>
          <a:r>
            <a:rPr lang="en-US" sz="1100" b="1">
              <a:solidFill>
                <a:schemeClr val="tx1"/>
              </a:solidFill>
            </a:rPr>
            <a:t>10</a:t>
          </a:r>
        </a:p>
      </xdr:txBody>
    </xdr:sp>
    <xdr:clientData/>
  </xdr:twoCellAnchor>
  <xdr:twoCellAnchor>
    <xdr:from>
      <xdr:col>4</xdr:col>
      <xdr:colOff>243840</xdr:colOff>
      <xdr:row>15</xdr:row>
      <xdr:rowOff>91440</xdr:rowOff>
    </xdr:from>
    <xdr:to>
      <xdr:col>4</xdr:col>
      <xdr:colOff>731520</xdr:colOff>
      <xdr:row>17</xdr:row>
      <xdr:rowOff>50800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75F8654F-6B3B-0F47-A351-1DF4CE007724}"/>
            </a:ext>
          </a:extLst>
        </xdr:cNvPr>
        <xdr:cNvSpPr/>
      </xdr:nvSpPr>
      <xdr:spPr>
        <a:xfrm>
          <a:off x="5425440" y="3362960"/>
          <a:ext cx="487680" cy="284480"/>
        </a:xfrm>
        <a:prstGeom prst="ellipse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lIns="90000" rtlCol="0" anchor="ctr" anchorCtr="1"/>
        <a:lstStyle/>
        <a:p>
          <a:pPr algn="l"/>
          <a:r>
            <a:rPr lang="en-US" sz="1100" b="1">
              <a:solidFill>
                <a:schemeClr val="tx1"/>
              </a:solidFill>
            </a:rPr>
            <a:t>11</a:t>
          </a:r>
        </a:p>
      </xdr:txBody>
    </xdr:sp>
    <xdr:clientData/>
  </xdr:twoCellAnchor>
  <xdr:twoCellAnchor>
    <xdr:from>
      <xdr:col>5</xdr:col>
      <xdr:colOff>132080</xdr:colOff>
      <xdr:row>15</xdr:row>
      <xdr:rowOff>91440</xdr:rowOff>
    </xdr:from>
    <xdr:to>
      <xdr:col>5</xdr:col>
      <xdr:colOff>619760</xdr:colOff>
      <xdr:row>17</xdr:row>
      <xdr:rowOff>50800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C27B3EF4-4E9E-0840-8F1C-927BCDC32955}"/>
            </a:ext>
          </a:extLst>
        </xdr:cNvPr>
        <xdr:cNvSpPr/>
      </xdr:nvSpPr>
      <xdr:spPr>
        <a:xfrm>
          <a:off x="6217920" y="3362960"/>
          <a:ext cx="487680" cy="284480"/>
        </a:xfrm>
        <a:prstGeom prst="ellipse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lIns="90000" rtlCol="0" anchor="ctr" anchorCtr="1"/>
        <a:lstStyle/>
        <a:p>
          <a:pPr algn="l"/>
          <a:r>
            <a:rPr lang="en-US" sz="1100" b="1">
              <a:solidFill>
                <a:schemeClr val="tx1"/>
              </a:solidFill>
            </a:rPr>
            <a:t>12</a:t>
          </a:r>
        </a:p>
      </xdr:txBody>
    </xdr:sp>
    <xdr:clientData/>
  </xdr:twoCellAnchor>
  <xdr:twoCellAnchor>
    <xdr:from>
      <xdr:col>6</xdr:col>
      <xdr:colOff>233680</xdr:colOff>
      <xdr:row>15</xdr:row>
      <xdr:rowOff>81280</xdr:rowOff>
    </xdr:from>
    <xdr:to>
      <xdr:col>6</xdr:col>
      <xdr:colOff>721360</xdr:colOff>
      <xdr:row>17</xdr:row>
      <xdr:rowOff>40640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408770A7-241C-E44B-B129-FFFC9A63D53D}"/>
            </a:ext>
          </a:extLst>
        </xdr:cNvPr>
        <xdr:cNvSpPr/>
      </xdr:nvSpPr>
      <xdr:spPr>
        <a:xfrm>
          <a:off x="7081520" y="3352800"/>
          <a:ext cx="487680" cy="284480"/>
        </a:xfrm>
        <a:prstGeom prst="ellipse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lIns="90000" rtlCol="0" anchor="ctr" anchorCtr="1"/>
        <a:lstStyle/>
        <a:p>
          <a:pPr algn="l"/>
          <a:r>
            <a:rPr lang="en-US" sz="1100" b="1">
              <a:solidFill>
                <a:schemeClr val="tx1"/>
              </a:solidFill>
            </a:rPr>
            <a:t>13</a:t>
          </a:r>
        </a:p>
      </xdr:txBody>
    </xdr:sp>
    <xdr:clientData/>
  </xdr:twoCellAnchor>
  <xdr:twoCellAnchor>
    <xdr:from>
      <xdr:col>7</xdr:col>
      <xdr:colOff>172720</xdr:colOff>
      <xdr:row>15</xdr:row>
      <xdr:rowOff>91440</xdr:rowOff>
    </xdr:from>
    <xdr:to>
      <xdr:col>7</xdr:col>
      <xdr:colOff>660400</xdr:colOff>
      <xdr:row>17</xdr:row>
      <xdr:rowOff>50800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4B6C9841-2D7A-8C46-8CF6-7E3E72941182}"/>
            </a:ext>
          </a:extLst>
        </xdr:cNvPr>
        <xdr:cNvSpPr/>
      </xdr:nvSpPr>
      <xdr:spPr>
        <a:xfrm>
          <a:off x="7833360" y="3362960"/>
          <a:ext cx="487680" cy="284480"/>
        </a:xfrm>
        <a:prstGeom prst="ellipse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lIns="90000" rtlCol="0" anchor="ctr" anchorCtr="1"/>
        <a:lstStyle/>
        <a:p>
          <a:pPr algn="l"/>
          <a:r>
            <a:rPr lang="en-US" sz="1100" b="1">
              <a:solidFill>
                <a:schemeClr val="tx1"/>
              </a:solidFill>
            </a:rPr>
            <a:t>14</a:t>
          </a:r>
        </a:p>
      </xdr:txBody>
    </xdr:sp>
    <xdr:clientData/>
  </xdr:twoCellAnchor>
  <xdr:twoCellAnchor editAs="oneCell">
    <xdr:from>
      <xdr:col>9</xdr:col>
      <xdr:colOff>241300</xdr:colOff>
      <xdr:row>23</xdr:row>
      <xdr:rowOff>127000</xdr:rowOff>
    </xdr:from>
    <xdr:to>
      <xdr:col>21</xdr:col>
      <xdr:colOff>321924</xdr:colOff>
      <xdr:row>45</xdr:row>
      <xdr:rowOff>190500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CCB5F39A-F7FD-184C-8065-79D32F289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5397500"/>
          <a:ext cx="8640424" cy="5092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618D27-C25A-3E47-987E-CB35D1C533F4}" name="MainTable" displayName="MainTable" ref="B18:I46" totalsRowCount="1" headerRowDxfId="70" dataDxfId="69" totalsRowDxfId="68" headerRowCellStyle="Heading 1">
  <autoFilter ref="B18:I45" xr:uid="{9A4E6DA8-E206-5245-A8D4-003FEFBA9A2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FE57104-0C09-4F4C-939F-FFF3917819F9}" name="Course title" totalsRowLabel="Avg, GPA, Sum, Sum" dataDxfId="67" totalsRowDxfId="15"/>
    <tableColumn id="6" xr3:uid="{CD3EF8D6-D61D-474B-9A6A-684AB7E171CC}" name="Enter Percentage Grade" totalsRowFunction="average" dataDxfId="66" totalsRowDxfId="14"/>
    <tableColumn id="5" xr3:uid="{AA2043A8-6391-7B4B-9063-8AABABBB6DE2}" name="Passed" dataDxfId="65" totalsRowDxfId="13">
      <calculatedColumnFormula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calculatedColumnFormula>
    </tableColumn>
    <tableColumn id="2" xr3:uid="{C3CD6789-03AD-C644-9916-C74C646A76C1}" name="Numeric Grade" totalsRowFunction="custom" dataDxfId="64" totalsRowDxfId="12">
      <calculatedColumnFormula>IF(ISNUMBER(MainTable[[#This Row],[Enter Percentage Grade]]), VLOOKUP(MainTable[[#This Row],[Enter Percentage Grade]],GradeTable[],3,TRUE)," ")</calculatedColumnFormula>
      <totalsRowFormula>MainTable[[#Totals],[Quality Points]] / MainTable[[#Totals],[Credit Hours]]</totalsRowFormula>
    </tableColumn>
    <tableColumn id="10" xr3:uid="{879BCA7C-7B96-6542-A488-9A0904E49B39}" name="Letter Grade" dataDxfId="63" totalsRowDxfId="11">
      <calculatedColumnFormula>IF(ISNUMBER(MainTable[[#This Row],[Enter Percentage Grade]]), VLOOKUP(MainTable[[#This Row],[Enter Percentage Grade]],GradeTable[],2,TRUE), " ")</calculatedColumnFormula>
    </tableColumn>
    <tableColumn id="3" xr3:uid="{BFA49CA2-76E1-104A-B157-814539389E62}" name="Credit Hours" totalsRowFunction="sum" dataDxfId="62" totalsRowDxfId="10">
      <calculatedColumnFormula>3 * 15</calculatedColumnFormula>
    </tableColumn>
    <tableColumn id="4" xr3:uid="{940CB8EE-39B0-2D42-A1FD-9BB031B8CF8C}" name="Quality Points" totalsRowFunction="sum" dataDxfId="61" totalsRowDxfId="9">
      <calculatedColumnFormula>IF(ISNUMBER(MainTable[[#This Row],[Enter Percentage Grade]]),  MainTable[[#This Row],[Credit Hours]]*MainTable[[#This Row],[Numeric Grade]],  " ")</calculatedColumnFormula>
    </tableColumn>
    <tableColumn id="7" xr3:uid="{C69EA087-82E0-3641-8B23-59FB741CD061}" name="Term" dataDxfId="60" totalsRow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CA6FAA-393B-7343-AA5D-D1A816E01796}" name="GradeTable" displayName="GradeTable" ref="K18:M23" totalsRowShown="0" headerRowDxfId="59" dataDxfId="58">
  <autoFilter ref="K18:M23" xr:uid="{A94FFCAE-FCAE-224F-AD05-BDA4D48D5772}">
    <filterColumn colId="0" hiddenButton="1"/>
    <filterColumn colId="1" hiddenButton="1"/>
    <filterColumn colId="2" hiddenButton="1"/>
  </autoFilter>
  <tableColumns count="3">
    <tableColumn id="2" xr3:uid="{982F78F3-8950-3544-B13E-2DF5FB69A57E}" name="Percentage grade" dataDxfId="57"/>
    <tableColumn id="1" xr3:uid="{507C2859-A138-7B40-B983-8BC22A21FAC9}" name="Letter Grade" dataDxfId="56"/>
    <tableColumn id="3" xr3:uid="{9738A945-13C2-5442-95A7-E874E23C7999}" name="Numeric Grade" dataDxfId="55"/>
  </tableColumns>
  <tableStyleInfo name="TableStyleLight9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458F3-DB57-844F-8D06-BE503ED614D1}" name="Summary" displayName="Summary" ref="B12:E15" totalsRowCount="1" headerRowDxfId="54" dataDxfId="53" totalsRowDxfId="52">
  <autoFilter ref="B12:E14" xr:uid="{9587D20E-670A-8143-A460-EB2E9BD95BC3}">
    <filterColumn colId="0" hiddenButton="1"/>
    <filterColumn colId="1" hiddenButton="1"/>
    <filterColumn colId="2" hiddenButton="1"/>
    <filterColumn colId="3" hiddenButton="1"/>
  </autoFilter>
  <tableColumns count="4">
    <tableColumn id="1" xr3:uid="{9E00B97F-B24F-8F40-B3EF-1FAE6D920C2E}" name="Requirement" totalsRowLabel="TOTAL" dataDxfId="51" totalsRowDxfId="50"/>
    <tableColumn id="2" xr3:uid="{3C2E71B7-12F1-DA40-991C-394C9D9BC5CE}" name="Total Creadit Hours" totalsRowFunction="sum" dataDxfId="49" totalsRowDxfId="48"/>
    <tableColumn id="3" xr3:uid="{45B4BD6C-6E66-EB4B-A794-92277F0D5D06}" name="Earned Hours" totalsRowFunction="sum" dataDxfId="47" totalsRowDxfId="46"/>
    <tableColumn id="4" xr3:uid="{B088BE35-4986-2C48-B142-A740A05F1310}" name="Requried Hours" totalsRowFunction="sum" dataDxfId="45" totalsRowDxfId="44">
      <calculatedColumnFormula>Summary[[#This Row],[Total Creadit Hours]]-Summary[[#This Row],[Earned Hours]]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472431-DAF3-FB43-B80E-5C2E5F4DCB93}" name="MainTable2" displayName="MainTable2" ref="B18:I46" totalsRowCount="1" headerRowDxfId="41" dataDxfId="40" totalsRowDxfId="39" headerRowCellStyle="Heading 1">
  <autoFilter ref="B18:I45" xr:uid="{9A4E6DA8-E206-5245-A8D4-003FEFBA9A2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9DF9CB4-15B6-534A-AFE8-FC197247BBC2}" name="Course title" totalsRowLabel="Avg, GPA, Sum, Sum" dataDxfId="38" totalsRowDxfId="7"/>
    <tableColumn id="6" xr3:uid="{A865D6A6-C6D5-2649-B331-600E1559B8AF}" name="Enter Percentage Grade" totalsRowFunction="average" dataDxfId="37" totalsRowDxfId="6"/>
    <tableColumn id="5" xr3:uid="{8EF86A2A-30C9-5849-BE17-864C570FA547}" name="Passed" dataDxfId="36" totalsRowDxfId="5">
      <calculatedColumnFormula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calculatedColumnFormula>
    </tableColumn>
    <tableColumn id="2" xr3:uid="{680E81EA-33D1-2940-93C0-8C10C73C2BBA}" name="Numeric Grade" totalsRowFunction="custom" dataDxfId="35" totalsRowDxfId="4">
      <calculatedColumnFormula>IF(ISNUMBER(MainTable2[[#This Row],[Enter Percentage Grade]]), VLOOKUP(MainTable2[[#This Row],[Enter Percentage Grade]],GradeTable10[],3,TRUE)," ")</calculatedColumnFormula>
      <totalsRowFormula>MainTable2[[#Totals],[Quality Points]] / MainTable2[[#Totals],[Credit Hours]]</totalsRowFormula>
    </tableColumn>
    <tableColumn id="10" xr3:uid="{1ACA6E6D-B561-6942-936D-C13FE0CEE549}" name="Letter Grade" dataDxfId="34" totalsRowDxfId="3">
      <calculatedColumnFormula>IF(ISNUMBER(MainTable2[[#This Row],[Enter Percentage Grade]]), VLOOKUP(MainTable2[[#This Row],[Enter Percentage Grade]],GradeTable10[],2,TRUE), " ")</calculatedColumnFormula>
    </tableColumn>
    <tableColumn id="3" xr3:uid="{33199AEC-D22E-4340-8297-F9E7DA5F83E5}" name="Credit Hours" totalsRowFunction="sum" dataDxfId="33" totalsRowDxfId="2">
      <calculatedColumnFormula>3 * 15</calculatedColumnFormula>
    </tableColumn>
    <tableColumn id="4" xr3:uid="{8E3549A4-81A9-884F-8377-D873F92DCA86}" name="Quality Points" totalsRowFunction="sum" dataDxfId="32" totalsRowDxfId="1">
      <calculatedColumnFormula>IF(ISNUMBER(MainTable2[[#This Row],[Enter Percentage Grade]]),  MainTable2[[#This Row],[Credit Hours]]*MainTable2[[#This Row],[Numeric Grade]],  " ")</calculatedColumnFormula>
    </tableColumn>
    <tableColumn id="7" xr3:uid="{7FBF669C-555E-DB4C-8B98-CBC1E9105044}" name="Term" dataDxfId="31" totalsRowDxfId="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C7032FF-CD22-3447-9F63-6503725D0F68}" name="GradeTable10" displayName="GradeTable10" ref="K18:M23" totalsRowShown="0" headerRowDxfId="30" dataDxfId="29">
  <autoFilter ref="K18:M23" xr:uid="{A94FFCAE-FCAE-224F-AD05-BDA4D48D5772}">
    <filterColumn colId="0" hiddenButton="1"/>
    <filterColumn colId="1" hiddenButton="1"/>
    <filterColumn colId="2" hiddenButton="1"/>
  </autoFilter>
  <tableColumns count="3">
    <tableColumn id="2" xr3:uid="{DFA18D6D-F4B1-5042-ABE8-DB79C5DE8586}" name="Percentage grade" dataDxfId="28"/>
    <tableColumn id="1" xr3:uid="{92B04FCD-388F-0742-90A2-3F8EC3360EBF}" name="Letter Grade" dataDxfId="27"/>
    <tableColumn id="3" xr3:uid="{8949A82C-0D44-944C-BA4E-DC267FC026A6}" name="Numeric Grade" dataDxfId="26"/>
  </tableColumns>
  <tableStyleInfo name="TableStyleLight9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F9010D8-853A-4547-89E9-9E7368D7410A}" name="Summary11" displayName="Summary11" ref="B12:E15" totalsRowCount="1" headerRowDxfId="25" dataDxfId="24" totalsRowDxfId="23">
  <autoFilter ref="B12:E14" xr:uid="{9587D20E-670A-8143-A460-EB2E9BD95BC3}">
    <filterColumn colId="0" hiddenButton="1"/>
    <filterColumn colId="1" hiddenButton="1"/>
    <filterColumn colId="2" hiddenButton="1"/>
    <filterColumn colId="3" hiddenButton="1"/>
  </autoFilter>
  <tableColumns count="4">
    <tableColumn id="1" xr3:uid="{1ACA360F-6B52-B546-85EA-C6FFC4AE54F8}" name="Requirement" totalsRowLabel="TOTAL" dataDxfId="22" totalsRowDxfId="21"/>
    <tableColumn id="2" xr3:uid="{1A8041BF-9CB1-FB40-A308-8A75EE649D42}" name="Total Creadit Hours" totalsRowFunction="sum" dataDxfId="20" totalsRowDxfId="19"/>
    <tableColumn id="3" xr3:uid="{F0EFBE37-6B5D-AE44-A6CD-665C7A8E5A1E}" name="Earned Hours" totalsRowFunction="sum" dataDxfId="18">
      <calculatedColumnFormula xml:space="preserve"> SUMIF(D19:D22, "Passed", G19:G22) + SUMIF(D25:D36, "Passed", G25:G36) + SUMIF(D38:D45, "Passed", G38:G45)</calculatedColumnFormula>
    </tableColumn>
    <tableColumn id="4" xr3:uid="{B4865D82-B517-C844-899B-9EBED7EC9620}" name="Requried Hours" totalsRowFunction="sum" dataDxfId="17" totalsRowDxfId="16">
      <calculatedColumnFormula>Summary11[[#This Row],[Total Creadit Hours]]-Summary11[[#This Row],[Earned Hours]]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ollege course manager">
      <a:dk1>
        <a:sysClr val="windowText" lastClr="000000"/>
      </a:dk1>
      <a:lt1>
        <a:sysClr val="window" lastClr="FFFFFF"/>
      </a:lt1>
      <a:dk2>
        <a:srgbClr val="1A1715"/>
      </a:dk2>
      <a:lt2>
        <a:srgbClr val="FCFCFB"/>
      </a:lt2>
      <a:accent1>
        <a:srgbClr val="38C8CC"/>
      </a:accent1>
      <a:accent2>
        <a:srgbClr val="F6717A"/>
      </a:accent2>
      <a:accent3>
        <a:srgbClr val="80CA6F"/>
      </a:accent3>
      <a:accent4>
        <a:srgbClr val="F6CF6B"/>
      </a:accent4>
      <a:accent5>
        <a:srgbClr val="FFA957"/>
      </a:accent5>
      <a:accent6>
        <a:srgbClr val="A37CB2"/>
      </a:accent6>
      <a:hlink>
        <a:srgbClr val="38C8CC"/>
      </a:hlink>
      <a:folHlink>
        <a:srgbClr val="A37CB2"/>
      </a:folHlink>
    </a:clrScheme>
    <a:fontScheme name="College course manager2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64D6C-8D69-664C-B6F5-8CDF65331264}">
  <sheetPr codeName="Sheet1"/>
  <dimension ref="B1:M46"/>
  <sheetViews>
    <sheetView showGridLines="0" tabSelected="1" topLeftCell="A17" workbookViewId="0">
      <selection activeCell="M29" sqref="M29"/>
    </sheetView>
  </sheetViews>
  <sheetFormatPr baseColWidth="10" defaultColWidth="11" defaultRowHeight="13" x14ac:dyDescent="0.15"/>
  <cols>
    <col min="1" max="1" width="4.796875" style="83" customWidth="1"/>
    <col min="2" max="2" width="40.59765625" style="83" customWidth="1"/>
    <col min="3" max="3" width="22.3984375" style="83" customWidth="1"/>
    <col min="4" max="4" width="13.796875" style="83" customWidth="1"/>
    <col min="5" max="5" width="14.19921875" style="79" customWidth="1"/>
    <col min="6" max="6" width="12" style="79" customWidth="1"/>
    <col min="7" max="7" width="12.796875" style="79" customWidth="1"/>
    <col min="8" max="8" width="15" style="79" customWidth="1"/>
    <col min="9" max="9" width="10" style="79" customWidth="1"/>
    <col min="10" max="10" width="4.796875" style="83" customWidth="1"/>
    <col min="11" max="11" width="13.796875" style="58" customWidth="1"/>
    <col min="12" max="12" width="11.796875" style="1" customWidth="1"/>
    <col min="13" max="13" width="16.3984375" style="58" customWidth="1"/>
    <col min="14" max="16384" width="11" style="83"/>
  </cols>
  <sheetData>
    <row r="1" spans="2:12" s="58" customFormat="1" ht="28" customHeight="1" x14ac:dyDescent="0.15">
      <c r="B1" s="54" t="s">
        <v>1</v>
      </c>
      <c r="C1" s="55"/>
      <c r="D1" s="56"/>
      <c r="E1" s="57"/>
      <c r="F1" s="57"/>
      <c r="G1" s="57"/>
      <c r="H1" s="57"/>
      <c r="I1" s="57"/>
      <c r="L1" s="1"/>
    </row>
    <row r="2" spans="2:12" s="58" customFormat="1" ht="21" customHeight="1" x14ac:dyDescent="0.15">
      <c r="B2" s="59" t="s">
        <v>45</v>
      </c>
      <c r="C2" s="55"/>
      <c r="D2" s="56"/>
      <c r="E2" s="57"/>
      <c r="F2" s="57"/>
      <c r="G2" s="57"/>
      <c r="H2" s="57"/>
      <c r="I2" s="57"/>
      <c r="L2" s="1"/>
    </row>
    <row r="3" spans="2:12" s="58" customFormat="1" ht="16" x14ac:dyDescent="0.15">
      <c r="B3" s="60" t="s">
        <v>44</v>
      </c>
      <c r="C3" s="56"/>
      <c r="D3" s="56"/>
      <c r="E3" s="57"/>
      <c r="F3" s="57"/>
      <c r="G3" s="57"/>
      <c r="H3" s="57"/>
      <c r="I3" s="57"/>
      <c r="L3" s="1"/>
    </row>
    <row r="4" spans="2:12" s="58" customFormat="1" ht="11" customHeight="1" x14ac:dyDescent="0.15">
      <c r="B4" s="61"/>
      <c r="C4" s="62"/>
      <c r="D4" s="63"/>
      <c r="E4" s="64"/>
      <c r="F4" s="64"/>
      <c r="G4" s="64"/>
      <c r="H4" s="64"/>
      <c r="I4" s="64"/>
      <c r="L4" s="1"/>
    </row>
    <row r="5" spans="2:12" s="58" customFormat="1" ht="29" customHeight="1" x14ac:dyDescent="0.15">
      <c r="B5" s="65" t="s">
        <v>52</v>
      </c>
      <c r="C5" s="66"/>
      <c r="D5" s="67"/>
      <c r="E5" s="68"/>
      <c r="F5" s="68"/>
      <c r="G5" s="68"/>
      <c r="H5" s="68"/>
      <c r="I5" s="68"/>
      <c r="L5" s="1"/>
    </row>
    <row r="6" spans="2:12" s="58" customFormat="1" ht="2" customHeight="1" x14ac:dyDescent="0.15">
      <c r="B6" s="69"/>
      <c r="C6" s="69"/>
      <c r="D6" s="69"/>
      <c r="E6" s="69"/>
      <c r="F6" s="69"/>
      <c r="G6" s="69"/>
      <c r="H6" s="69"/>
      <c r="I6" s="69"/>
      <c r="L6" s="1"/>
    </row>
    <row r="7" spans="2:12" s="58" customFormat="1" ht="24" customHeight="1" x14ac:dyDescent="0.15">
      <c r="B7" s="116" t="str">
        <f>CONCATENATE("Current GPA (", TEXT( MainTable[[#Totals],[Numeric Grade]],  "0.0"),   ") / Outstanding GPA (2.0)")</f>
        <v>Current GPA (1.8) / Outstanding GPA (2.0)</v>
      </c>
      <c r="C7" s="116"/>
      <c r="D7" s="70">
        <f>MainTable[[#Totals],[Numeric Grade]] - 2</f>
        <v>-0.23927765237020315</v>
      </c>
      <c r="E7" s="71" t="str">
        <f>IF(D7&lt;0,CONCATENATE("  You need to Increase your GPA ",TEXT(D7*-1,"0.00"), " for graduation"),"  Your GPA meets to graduate ")</f>
        <v xml:space="preserve">  You need to Increase your GPA 0.24 for graduation</v>
      </c>
      <c r="F7" s="72"/>
      <c r="G7" s="72"/>
      <c r="H7" s="69"/>
      <c r="I7" s="72"/>
      <c r="L7" s="1"/>
    </row>
    <row r="8" spans="2:12" s="58" customFormat="1" ht="3" customHeight="1" x14ac:dyDescent="0.15">
      <c r="B8" s="73"/>
      <c r="C8" s="73"/>
      <c r="D8" s="73"/>
      <c r="E8" s="73"/>
      <c r="F8" s="73"/>
      <c r="G8" s="72"/>
      <c r="H8" s="69"/>
      <c r="I8" s="72"/>
      <c r="L8" s="1"/>
    </row>
    <row r="9" spans="2:12" s="58" customFormat="1" ht="23" customHeight="1" x14ac:dyDescent="0.15">
      <c r="B9" s="116" t="str">
        <f>CONCATENATE("Required Hours : ",  TEXT(Summary[[#Totals],[Requried Hours]], "0 "), "/1350 hours")</f>
        <v>Required Hours : 417 /1350 hours</v>
      </c>
      <c r="C9" s="116"/>
      <c r="D9" s="74">
        <f>(Summary[[#Totals],[Earned Hours]] - Summary[[#Totals],[Total Creadit Hours]]) * -1</f>
        <v>417</v>
      </c>
      <c r="E9" s="71" t="str">
        <f>IF(AND(D9&lt;1350, D9 &gt; 0),CONCATENATE("  You need to obtain ",TEXT(D9,"0")," more creadit hours for graduration")," You've obtained all creadit hours to graduate ")</f>
        <v xml:space="preserve">  You need to obtain 417 more creadit hours for graduration</v>
      </c>
      <c r="F9" s="72"/>
      <c r="G9" s="72"/>
      <c r="H9" s="69"/>
      <c r="I9" s="72"/>
      <c r="L9" s="1"/>
    </row>
    <row r="10" spans="2:12" s="58" customFormat="1" ht="4" customHeight="1" x14ac:dyDescent="0.15">
      <c r="B10" s="75"/>
      <c r="C10" s="76"/>
      <c r="D10" s="76"/>
      <c r="E10" s="75"/>
      <c r="F10" s="75"/>
      <c r="G10" s="75"/>
      <c r="H10" s="75"/>
      <c r="I10" s="75"/>
      <c r="L10" s="1"/>
    </row>
    <row r="11" spans="2:12" s="58" customFormat="1" x14ac:dyDescent="0.15">
      <c r="E11" s="77"/>
      <c r="F11" s="77"/>
      <c r="G11" s="77"/>
      <c r="H11" s="77"/>
      <c r="I11" s="77"/>
      <c r="L11" s="1"/>
    </row>
    <row r="12" spans="2:12" s="58" customFormat="1" ht="28" customHeight="1" x14ac:dyDescent="0.15">
      <c r="B12" s="78" t="s">
        <v>40</v>
      </c>
      <c r="C12" s="78" t="s">
        <v>41</v>
      </c>
      <c r="D12" s="78" t="s">
        <v>46</v>
      </c>
      <c r="E12" s="78" t="s">
        <v>47</v>
      </c>
      <c r="F12" s="77"/>
      <c r="G12" s="79"/>
      <c r="H12" s="79"/>
      <c r="I12" s="79"/>
      <c r="L12" s="1"/>
    </row>
    <row r="13" spans="2:12" s="58" customFormat="1" ht="18" customHeight="1" x14ac:dyDescent="0.15">
      <c r="B13" s="80" t="s">
        <v>42</v>
      </c>
      <c r="C13" s="77">
        <f>SUM(G19:G22,G25:G36,G38:G45)</f>
        <v>1197</v>
      </c>
      <c r="D13" s="81">
        <f t="shared" ref="D13" si="0" xml:space="preserve"> SUMIF(D19:D22, "Passed", G19:G22) + SUMIF(D25:D36, "Passed", G25:G36) + SUMIF(D38:D45, "Passed", G38:G45)</f>
        <v>825</v>
      </c>
      <c r="E13" s="77">
        <f>Summary[[#This Row],[Total Creadit Hours]]-Summary[[#This Row],[Earned Hours]]</f>
        <v>372</v>
      </c>
      <c r="F13" s="77"/>
      <c r="G13" s="79"/>
      <c r="H13" s="79"/>
      <c r="I13" s="79"/>
      <c r="L13" s="1"/>
    </row>
    <row r="14" spans="2:12" s="58" customFormat="1" ht="18" customHeight="1" x14ac:dyDescent="0.15">
      <c r="B14" s="80" t="s">
        <v>43</v>
      </c>
      <c r="C14" s="77">
        <f>SUM(G23,G24,G37)</f>
        <v>132</v>
      </c>
      <c r="D14" s="81">
        <f>SUMIF(D23:D24, "Passed", G23:G24) + SUMIF(D37, "Passed", G37)</f>
        <v>87</v>
      </c>
      <c r="E14" s="77">
        <f>Summary[[#This Row],[Total Creadit Hours]]-Summary[[#This Row],[Earned Hours]]</f>
        <v>45</v>
      </c>
      <c r="F14" s="77"/>
      <c r="G14" s="79"/>
      <c r="H14" s="79"/>
      <c r="I14" s="79"/>
      <c r="L14" s="1"/>
    </row>
    <row r="15" spans="2:12" s="58" customFormat="1" ht="18" customHeight="1" x14ac:dyDescent="0.15">
      <c r="B15" s="77" t="s">
        <v>0</v>
      </c>
      <c r="C15" s="77">
        <f>SUBTOTAL(109,Summary[Total Creadit Hours])</f>
        <v>1329</v>
      </c>
      <c r="D15" s="82">
        <f>SUBTOTAL(109,Summary[Earned Hours])</f>
        <v>912</v>
      </c>
      <c r="E15" s="82">
        <f>SUBTOTAL(109,Summary[Requried Hours])</f>
        <v>417</v>
      </c>
      <c r="F15" s="77"/>
      <c r="G15" s="79"/>
      <c r="H15" s="79"/>
      <c r="I15" s="79"/>
      <c r="L15" s="1"/>
    </row>
    <row r="16" spans="2:12" s="58" customFormat="1" ht="9" customHeight="1" x14ac:dyDescent="0.15">
      <c r="B16" s="77"/>
      <c r="C16" s="77"/>
      <c r="D16" s="82"/>
      <c r="E16" s="82"/>
      <c r="F16" s="77"/>
      <c r="G16" s="79"/>
      <c r="H16" s="79"/>
      <c r="I16" s="79"/>
      <c r="L16" s="1"/>
    </row>
    <row r="17" spans="2:13" ht="17" customHeight="1" thickBot="1" x14ac:dyDescent="0.2"/>
    <row r="18" spans="2:13" ht="42" customHeight="1" thickBot="1" x14ac:dyDescent="0.2">
      <c r="B18" s="84" t="s">
        <v>35</v>
      </c>
      <c r="C18" s="111" t="s">
        <v>51</v>
      </c>
      <c r="D18" s="84" t="s">
        <v>39</v>
      </c>
      <c r="E18" s="84" t="s">
        <v>33</v>
      </c>
      <c r="F18" s="84" t="s">
        <v>27</v>
      </c>
      <c r="G18" s="84" t="s">
        <v>49</v>
      </c>
      <c r="H18" s="84" t="s">
        <v>26</v>
      </c>
      <c r="I18" s="84" t="s">
        <v>48</v>
      </c>
      <c r="K18" s="85" t="s">
        <v>34</v>
      </c>
      <c r="L18" s="85" t="s">
        <v>27</v>
      </c>
      <c r="M18" s="85" t="s">
        <v>33</v>
      </c>
    </row>
    <row r="19" spans="2:13" ht="18" customHeight="1" x14ac:dyDescent="0.15">
      <c r="B19" s="86" t="s">
        <v>2</v>
      </c>
      <c r="C19" s="105">
        <v>79.2</v>
      </c>
      <c r="D19" s="87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Passed</v>
      </c>
      <c r="E19" s="87">
        <f>IF(ISNUMBER(MainTable[[#This Row],[Enter Percentage Grade]]), VLOOKUP(MainTable[[#This Row],[Enter Percentage Grade]],GradeTable[],3,TRUE)," ")</f>
        <v>3</v>
      </c>
      <c r="F19" s="88" t="str">
        <f>IF(ISNUMBER(MainTable[[#This Row],[Enter Percentage Grade]]), VLOOKUP(MainTable[[#This Row],[Enter Percentage Grade]],GradeTable[],2,TRUE), " ")</f>
        <v>B</v>
      </c>
      <c r="G19" s="88">
        <f>3 * 15</f>
        <v>45</v>
      </c>
      <c r="H19" s="88">
        <f>IF(ISNUMBER(MainTable[[#This Row],[Enter Percentage Grade]]),  MainTable[[#This Row],[Credit Hours]]*MainTable[[#This Row],[Numeric Grade]],  " ")</f>
        <v>135</v>
      </c>
      <c r="I19" s="88">
        <v>1</v>
      </c>
      <c r="K19" s="89">
        <v>0</v>
      </c>
      <c r="L19" s="89" t="s">
        <v>32</v>
      </c>
      <c r="M19" s="90">
        <v>0</v>
      </c>
    </row>
    <row r="20" spans="2:13" ht="19" customHeight="1" x14ac:dyDescent="0.15">
      <c r="B20" s="91" t="s">
        <v>3</v>
      </c>
      <c r="C20" s="106">
        <v>79.2</v>
      </c>
      <c r="D20" s="87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Passed</v>
      </c>
      <c r="E20" s="87">
        <f>IF(ISNUMBER(MainTable[[#This Row],[Enter Percentage Grade]]), VLOOKUP(MainTable[[#This Row],[Enter Percentage Grade]],GradeTable[],3,TRUE)," ")</f>
        <v>3</v>
      </c>
      <c r="F20" s="88" t="str">
        <f>IF(ISNUMBER(MainTable[[#This Row],[Enter Percentage Grade]]), VLOOKUP(MainTable[[#This Row],[Enter Percentage Grade]],GradeTable[],2,TRUE), " ")</f>
        <v>B</v>
      </c>
      <c r="G20" s="88">
        <f t="shared" ref="G20:G45" si="1">3 * 15</f>
        <v>45</v>
      </c>
      <c r="H20" s="88">
        <f>IF(ISNUMBER(MainTable[[#This Row],[Enter Percentage Grade]]),  MainTable[[#This Row],[Credit Hours]]*MainTable[[#This Row],[Numeric Grade]],  " ")</f>
        <v>135</v>
      </c>
      <c r="I20" s="88">
        <v>1</v>
      </c>
      <c r="K20" s="89">
        <v>50</v>
      </c>
      <c r="L20" s="89" t="s">
        <v>31</v>
      </c>
      <c r="M20" s="90">
        <v>1</v>
      </c>
    </row>
    <row r="21" spans="2:13" ht="18" customHeight="1" x14ac:dyDescent="0.15">
      <c r="B21" s="91" t="s">
        <v>4</v>
      </c>
      <c r="C21" s="106">
        <v>99</v>
      </c>
      <c r="D21" s="87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Passed</v>
      </c>
      <c r="E21" s="87">
        <f>IF(ISNUMBER(MainTable[[#This Row],[Enter Percentage Grade]]), VLOOKUP(MainTable[[#This Row],[Enter Percentage Grade]],GradeTable[],3,TRUE)," ")</f>
        <v>4</v>
      </c>
      <c r="F21" s="88" t="str">
        <f>IF(ISNUMBER(MainTable[[#This Row],[Enter Percentage Grade]]), VLOOKUP(MainTable[[#This Row],[Enter Percentage Grade]],GradeTable[],2,TRUE), " ")</f>
        <v>A</v>
      </c>
      <c r="G21" s="88">
        <f t="shared" si="1"/>
        <v>45</v>
      </c>
      <c r="H21" s="88">
        <f>IF(ISNUMBER(MainTable[[#This Row],[Enter Percentage Grade]]),  MainTable[[#This Row],[Credit Hours]]*MainTable[[#This Row],[Numeric Grade]],  " ")</f>
        <v>180</v>
      </c>
      <c r="I21" s="88">
        <v>1</v>
      </c>
      <c r="K21" s="89">
        <v>60</v>
      </c>
      <c r="L21" s="89" t="s">
        <v>30</v>
      </c>
      <c r="M21" s="90">
        <v>2</v>
      </c>
    </row>
    <row r="22" spans="2:13" ht="18" customHeight="1" x14ac:dyDescent="0.15">
      <c r="B22" s="91" t="s">
        <v>5</v>
      </c>
      <c r="C22" s="106">
        <v>97</v>
      </c>
      <c r="D22" s="87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Passed</v>
      </c>
      <c r="E22" s="87">
        <f>IF(ISNUMBER(MainTable[[#This Row],[Enter Percentage Grade]]), VLOOKUP(MainTable[[#This Row],[Enter Percentage Grade]],GradeTable[],3,TRUE)," ")</f>
        <v>4</v>
      </c>
      <c r="F22" s="88" t="str">
        <f>IF(ISNUMBER(MainTable[[#This Row],[Enter Percentage Grade]]), VLOOKUP(MainTable[[#This Row],[Enter Percentage Grade]],GradeTable[],2,TRUE), " ")</f>
        <v>A</v>
      </c>
      <c r="G22" s="88">
        <f t="shared" si="1"/>
        <v>45</v>
      </c>
      <c r="H22" s="88">
        <f>IF(ISNUMBER(MainTable[[#This Row],[Enter Percentage Grade]]),  MainTable[[#This Row],[Credit Hours]]*MainTable[[#This Row],[Numeric Grade]],  " ")</f>
        <v>180</v>
      </c>
      <c r="I22" s="88">
        <v>1</v>
      </c>
      <c r="K22" s="89">
        <v>70</v>
      </c>
      <c r="L22" s="89" t="s">
        <v>29</v>
      </c>
      <c r="M22" s="90">
        <v>3</v>
      </c>
    </row>
    <row r="23" spans="2:13" ht="18" customHeight="1" x14ac:dyDescent="0.15">
      <c r="B23" s="91" t="s">
        <v>36</v>
      </c>
      <c r="C23" s="106">
        <v>20</v>
      </c>
      <c r="D23" s="87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Failed</v>
      </c>
      <c r="E23" s="87">
        <f>IF(ISNUMBER(MainTable[[#This Row],[Enter Percentage Grade]]), VLOOKUP(MainTable[[#This Row],[Enter Percentage Grade]],GradeTable[],3,TRUE)," ")</f>
        <v>0</v>
      </c>
      <c r="F23" s="88" t="str">
        <f>IF(ISNUMBER(MainTable[[#This Row],[Enter Percentage Grade]]), VLOOKUP(MainTable[[#This Row],[Enter Percentage Grade]],GradeTable[],2,TRUE), " ")</f>
        <v>F</v>
      </c>
      <c r="G23" s="88">
        <f t="shared" si="1"/>
        <v>45</v>
      </c>
      <c r="H23" s="88">
        <f>IF(ISNUMBER(MainTable[[#This Row],[Enter Percentage Grade]]),  MainTable[[#This Row],[Credit Hours]]*MainTable[[#This Row],[Numeric Grade]],  " ")</f>
        <v>0</v>
      </c>
      <c r="I23" s="88">
        <v>1</v>
      </c>
      <c r="K23" s="89">
        <v>80</v>
      </c>
      <c r="L23" s="89" t="s">
        <v>28</v>
      </c>
      <c r="M23" s="90">
        <v>4</v>
      </c>
    </row>
    <row r="24" spans="2:13" ht="18" customHeight="1" x14ac:dyDescent="0.15">
      <c r="B24" s="91" t="s">
        <v>37</v>
      </c>
      <c r="C24" s="106">
        <v>50</v>
      </c>
      <c r="D24" s="87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Passed</v>
      </c>
      <c r="E24" s="87">
        <f>IF(ISNUMBER(MainTable[[#This Row],[Enter Percentage Grade]]), VLOOKUP(MainTable[[#This Row],[Enter Percentage Grade]],GradeTable[],3,TRUE)," ")</f>
        <v>1</v>
      </c>
      <c r="F24" s="88" t="str">
        <f>IF(ISNUMBER(MainTable[[#This Row],[Enter Percentage Grade]]), VLOOKUP(MainTable[[#This Row],[Enter Percentage Grade]],GradeTable[],2,TRUE), " ")</f>
        <v>D</v>
      </c>
      <c r="G24" s="88">
        <f t="shared" si="1"/>
        <v>45</v>
      </c>
      <c r="H24" s="88">
        <f>IF(ISNUMBER(MainTable[[#This Row],[Enter Percentage Grade]]),  MainTable[[#This Row],[Credit Hours]]*MainTable[[#This Row],[Numeric Grade]],  " ")</f>
        <v>45</v>
      </c>
      <c r="I24" s="88">
        <v>1</v>
      </c>
    </row>
    <row r="25" spans="2:13" ht="18" customHeight="1" x14ac:dyDescent="0.15">
      <c r="B25" s="92" t="s">
        <v>6</v>
      </c>
      <c r="C25" s="107">
        <v>61</v>
      </c>
      <c r="D25" s="93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Passed</v>
      </c>
      <c r="E25" s="93">
        <f>IF(ISNUMBER(MainTable[[#This Row],[Enter Percentage Grade]]), VLOOKUP(MainTable[[#This Row],[Enter Percentage Grade]],GradeTable[],3,TRUE)," ")</f>
        <v>2</v>
      </c>
      <c r="F25" s="94" t="str">
        <f>IF(ISNUMBER(MainTable[[#This Row],[Enter Percentage Grade]]), VLOOKUP(MainTable[[#This Row],[Enter Percentage Grade]],GradeTable[],2,TRUE), " ")</f>
        <v>C</v>
      </c>
      <c r="G25" s="94">
        <f t="shared" si="1"/>
        <v>45</v>
      </c>
      <c r="H25" s="94">
        <f>IF(ISNUMBER(MainTable[[#This Row],[Enter Percentage Grade]]),  MainTable[[#This Row],[Credit Hours]]*MainTable[[#This Row],[Numeric Grade]],  " ")</f>
        <v>90</v>
      </c>
      <c r="I25" s="94">
        <v>2</v>
      </c>
    </row>
    <row r="26" spans="2:13" ht="18" customHeight="1" x14ac:dyDescent="0.15">
      <c r="B26" s="92" t="s">
        <v>7</v>
      </c>
      <c r="C26" s="107">
        <v>80</v>
      </c>
      <c r="D26" s="93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Passed</v>
      </c>
      <c r="E26" s="93">
        <f>IF(ISNUMBER(MainTable[[#This Row],[Enter Percentage Grade]]), VLOOKUP(MainTable[[#This Row],[Enter Percentage Grade]],GradeTable[],3,TRUE)," ")</f>
        <v>4</v>
      </c>
      <c r="F26" s="94" t="str">
        <f>IF(ISNUMBER(MainTable[[#This Row],[Enter Percentage Grade]]), VLOOKUP(MainTable[[#This Row],[Enter Percentage Grade]],GradeTable[],2,TRUE), " ")</f>
        <v>A</v>
      </c>
      <c r="G26" s="94">
        <f t="shared" si="1"/>
        <v>45</v>
      </c>
      <c r="H26" s="94">
        <f>IF(ISNUMBER(MainTable[[#This Row],[Enter Percentage Grade]]),  MainTable[[#This Row],[Credit Hours]]*MainTable[[#This Row],[Numeric Grade]],  " ")</f>
        <v>180</v>
      </c>
      <c r="I26" s="94">
        <v>2</v>
      </c>
      <c r="K26" s="58" t="s">
        <v>53</v>
      </c>
    </row>
    <row r="27" spans="2:13" ht="18" customHeight="1" x14ac:dyDescent="0.15">
      <c r="B27" s="92" t="s">
        <v>8</v>
      </c>
      <c r="C27" s="107">
        <v>49</v>
      </c>
      <c r="D27" s="93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Failed</v>
      </c>
      <c r="E27" s="93">
        <f>IF(ISNUMBER(MainTable[[#This Row],[Enter Percentage Grade]]), VLOOKUP(MainTable[[#This Row],[Enter Percentage Grade]],GradeTable[],3,TRUE)," ")</f>
        <v>0</v>
      </c>
      <c r="F27" s="94" t="str">
        <f>IF(ISNUMBER(MainTable[[#This Row],[Enter Percentage Grade]]), VLOOKUP(MainTable[[#This Row],[Enter Percentage Grade]],GradeTable[],2,TRUE), " ")</f>
        <v>F</v>
      </c>
      <c r="G27" s="94">
        <f t="shared" si="1"/>
        <v>45</v>
      </c>
      <c r="H27" s="94">
        <f>IF(ISNUMBER(MainTable[[#This Row],[Enter Percentage Grade]]),  MainTable[[#This Row],[Credit Hours]]*MainTable[[#This Row],[Numeric Grade]],  " ")</f>
        <v>0</v>
      </c>
      <c r="I27" s="94">
        <v>2</v>
      </c>
    </row>
    <row r="28" spans="2:13" ht="18" customHeight="1" x14ac:dyDescent="0.15">
      <c r="B28" s="92" t="s">
        <v>9</v>
      </c>
      <c r="C28" s="107">
        <v>50</v>
      </c>
      <c r="D28" s="93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Passed</v>
      </c>
      <c r="E28" s="93">
        <f>IF(ISNUMBER(MainTable[[#This Row],[Enter Percentage Grade]]), VLOOKUP(MainTable[[#This Row],[Enter Percentage Grade]],GradeTable[],3,TRUE)," ")</f>
        <v>1</v>
      </c>
      <c r="F28" s="94" t="str">
        <f>IF(ISNUMBER(MainTable[[#This Row],[Enter Percentage Grade]]), VLOOKUP(MainTable[[#This Row],[Enter Percentage Grade]],GradeTable[],2,TRUE), " ")</f>
        <v>D</v>
      </c>
      <c r="G28" s="94">
        <f t="shared" si="1"/>
        <v>45</v>
      </c>
      <c r="H28" s="94">
        <f>IF(ISNUMBER(MainTable[[#This Row],[Enter Percentage Grade]]),  MainTable[[#This Row],[Credit Hours]]*MainTable[[#This Row],[Numeric Grade]],  " ")</f>
        <v>45</v>
      </c>
      <c r="I28" s="94">
        <v>2</v>
      </c>
    </row>
    <row r="29" spans="2:13" ht="18" customHeight="1" x14ac:dyDescent="0.15">
      <c r="B29" s="92" t="s">
        <v>10</v>
      </c>
      <c r="C29" s="107">
        <v>70</v>
      </c>
      <c r="D29" s="93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Passed</v>
      </c>
      <c r="E29" s="93">
        <f>IF(ISNUMBER(MainTable[[#This Row],[Enter Percentage Grade]]), VLOOKUP(MainTable[[#This Row],[Enter Percentage Grade]],GradeTable[],3,TRUE)," ")</f>
        <v>3</v>
      </c>
      <c r="F29" s="94" t="str">
        <f>IF(ISNUMBER(MainTable[[#This Row],[Enter Percentage Grade]]), VLOOKUP(MainTable[[#This Row],[Enter Percentage Grade]],GradeTable[],2,TRUE), " ")</f>
        <v>B</v>
      </c>
      <c r="G29" s="94">
        <f t="shared" si="1"/>
        <v>45</v>
      </c>
      <c r="H29" s="94">
        <f>IF(ISNUMBER(MainTable[[#This Row],[Enter Percentage Grade]]),  MainTable[[#This Row],[Credit Hours]]*MainTable[[#This Row],[Numeric Grade]],  " ")</f>
        <v>135</v>
      </c>
      <c r="I29" s="94">
        <v>2</v>
      </c>
    </row>
    <row r="30" spans="2:13" ht="18" customHeight="1" x14ac:dyDescent="0.15">
      <c r="B30" s="92" t="s">
        <v>11</v>
      </c>
      <c r="C30" s="107">
        <v>59</v>
      </c>
      <c r="D30" s="93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Passed</v>
      </c>
      <c r="E30" s="93">
        <f>IF(ISNUMBER(MainTable[[#This Row],[Enter Percentage Grade]]), VLOOKUP(MainTable[[#This Row],[Enter Percentage Grade]],GradeTable[],3,TRUE)," ")</f>
        <v>1</v>
      </c>
      <c r="F30" s="94" t="str">
        <f>IF(ISNUMBER(MainTable[[#This Row],[Enter Percentage Grade]]), VLOOKUP(MainTable[[#This Row],[Enter Percentage Grade]],GradeTable[],2,TRUE), " ")</f>
        <v>D</v>
      </c>
      <c r="G30" s="94">
        <f t="shared" si="1"/>
        <v>45</v>
      </c>
      <c r="H30" s="94">
        <f>IF(ISNUMBER(MainTable[[#This Row],[Enter Percentage Grade]]),  MainTable[[#This Row],[Credit Hours]]*MainTable[[#This Row],[Numeric Grade]],  " ")</f>
        <v>45</v>
      </c>
      <c r="I30" s="94">
        <v>2</v>
      </c>
    </row>
    <row r="31" spans="2:13" ht="18" customHeight="1" x14ac:dyDescent="0.15">
      <c r="B31" s="92" t="s">
        <v>12</v>
      </c>
      <c r="C31" s="112">
        <v>70</v>
      </c>
      <c r="D31" s="93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Passed</v>
      </c>
      <c r="E31" s="93">
        <f>IF(ISNUMBER(MainTable[[#This Row],[Enter Percentage Grade]]), VLOOKUP(MainTable[[#This Row],[Enter Percentage Grade]],GradeTable[],3,TRUE)," ")</f>
        <v>3</v>
      </c>
      <c r="F31" s="94" t="str">
        <f>IF(ISNUMBER(MainTable[[#This Row],[Enter Percentage Grade]]), VLOOKUP(MainTable[[#This Row],[Enter Percentage Grade]],GradeTable[],2,TRUE), " ")</f>
        <v>B</v>
      </c>
      <c r="G31" s="94">
        <f>5 * 15</f>
        <v>75</v>
      </c>
      <c r="H31" s="94">
        <f>IF(ISNUMBER(MainTable[[#This Row],[Enter Percentage Grade]]),  MainTable[[#This Row],[Credit Hours]]*MainTable[[#This Row],[Numeric Grade]],  " ")</f>
        <v>225</v>
      </c>
      <c r="I31" s="94">
        <v>2</v>
      </c>
    </row>
    <row r="32" spans="2:13" ht="18" customHeight="1" x14ac:dyDescent="0.15">
      <c r="B32" s="95" t="s">
        <v>13</v>
      </c>
      <c r="C32" s="108">
        <v>33</v>
      </c>
      <c r="D32" s="96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Failed</v>
      </c>
      <c r="E32" s="96">
        <f>IF(ISNUMBER(MainTable[[#This Row],[Enter Percentage Grade]]), VLOOKUP(MainTable[[#This Row],[Enter Percentage Grade]],GradeTable[],3,TRUE)," ")</f>
        <v>0</v>
      </c>
      <c r="F32" s="97" t="str">
        <f>IF(ISNUMBER(MainTable[[#This Row],[Enter Percentage Grade]]), VLOOKUP(MainTable[[#This Row],[Enter Percentage Grade]],GradeTable[],2,TRUE), " ")</f>
        <v>F</v>
      </c>
      <c r="G32" s="97">
        <v>42</v>
      </c>
      <c r="H32" s="97">
        <f>IF(ISNUMBER(MainTable[[#This Row],[Enter Percentage Grade]]),  MainTable[[#This Row],[Credit Hours]]*MainTable[[#This Row],[Numeric Grade]],  " ")</f>
        <v>0</v>
      </c>
      <c r="I32" s="97">
        <v>3</v>
      </c>
    </row>
    <row r="33" spans="2:9" ht="18" customHeight="1" x14ac:dyDescent="0.15">
      <c r="B33" s="95" t="s">
        <v>14</v>
      </c>
      <c r="C33" s="108">
        <v>59</v>
      </c>
      <c r="D33" s="96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Passed</v>
      </c>
      <c r="E33" s="96">
        <f>IF(ISNUMBER(MainTable[[#This Row],[Enter Percentage Grade]]), VLOOKUP(MainTable[[#This Row],[Enter Percentage Grade]],GradeTable[],3,TRUE)," ")</f>
        <v>1</v>
      </c>
      <c r="F33" s="97" t="str">
        <f>IF(ISNUMBER(MainTable[[#This Row],[Enter Percentage Grade]]), VLOOKUP(MainTable[[#This Row],[Enter Percentage Grade]],GradeTable[],2,TRUE), " ")</f>
        <v>D</v>
      </c>
      <c r="G33" s="97">
        <v>42</v>
      </c>
      <c r="H33" s="97">
        <f>IF(ISNUMBER(MainTable[[#This Row],[Enter Percentage Grade]]),  MainTable[[#This Row],[Credit Hours]]*MainTable[[#This Row],[Numeric Grade]],  " ")</f>
        <v>42</v>
      </c>
      <c r="I33" s="97">
        <v>3</v>
      </c>
    </row>
    <row r="34" spans="2:9" ht="18" customHeight="1" x14ac:dyDescent="0.15">
      <c r="B34" s="95" t="s">
        <v>15</v>
      </c>
      <c r="C34" s="108">
        <v>90</v>
      </c>
      <c r="D34" s="96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Passed</v>
      </c>
      <c r="E34" s="96">
        <f>IF(ISNUMBER(MainTable[[#This Row],[Enter Percentage Grade]]), VLOOKUP(MainTable[[#This Row],[Enter Percentage Grade]],GradeTable[],3,TRUE)," ")</f>
        <v>4</v>
      </c>
      <c r="F34" s="97" t="str">
        <f>IF(ISNUMBER(MainTable[[#This Row],[Enter Percentage Grade]]), VLOOKUP(MainTable[[#This Row],[Enter Percentage Grade]],GradeTable[],2,TRUE), " ")</f>
        <v>A</v>
      </c>
      <c r="G34" s="97">
        <v>42</v>
      </c>
      <c r="H34" s="97">
        <f>IF(ISNUMBER(MainTable[[#This Row],[Enter Percentage Grade]]),  MainTable[[#This Row],[Credit Hours]]*MainTable[[#This Row],[Numeric Grade]],  " ")</f>
        <v>168</v>
      </c>
      <c r="I34" s="97">
        <v>3</v>
      </c>
    </row>
    <row r="35" spans="2:9" ht="18" customHeight="1" x14ac:dyDescent="0.15">
      <c r="B35" s="95" t="s">
        <v>16</v>
      </c>
      <c r="C35" s="108">
        <v>50</v>
      </c>
      <c r="D35" s="96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Passed</v>
      </c>
      <c r="E35" s="96">
        <f>IF(ISNUMBER(MainTable[[#This Row],[Enter Percentage Grade]]), VLOOKUP(MainTable[[#This Row],[Enter Percentage Grade]],GradeTable[],3,TRUE)," ")</f>
        <v>1</v>
      </c>
      <c r="F35" s="97" t="str">
        <f>IF(ISNUMBER(MainTable[[#This Row],[Enter Percentage Grade]]), VLOOKUP(MainTable[[#This Row],[Enter Percentage Grade]],GradeTable[],2,TRUE), " ")</f>
        <v>D</v>
      </c>
      <c r="G35" s="97">
        <v>42</v>
      </c>
      <c r="H35" s="97">
        <f>IF(ISNUMBER(MainTable[[#This Row],[Enter Percentage Grade]]),  MainTable[[#This Row],[Credit Hours]]*MainTable[[#This Row],[Numeric Grade]],  " ")</f>
        <v>42</v>
      </c>
      <c r="I35" s="97">
        <v>3</v>
      </c>
    </row>
    <row r="36" spans="2:9" ht="18" customHeight="1" x14ac:dyDescent="0.15">
      <c r="B36" s="95" t="s">
        <v>17</v>
      </c>
      <c r="C36" s="108">
        <v>100</v>
      </c>
      <c r="D36" s="96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Passed</v>
      </c>
      <c r="E36" s="96">
        <f>IF(ISNUMBER(MainTable[[#This Row],[Enter Percentage Grade]]), VLOOKUP(MainTable[[#This Row],[Enter Percentage Grade]],GradeTable[],3,TRUE)," ")</f>
        <v>4</v>
      </c>
      <c r="F36" s="97" t="str">
        <f>IF(ISNUMBER(MainTable[[#This Row],[Enter Percentage Grade]]), VLOOKUP(MainTable[[#This Row],[Enter Percentage Grade]],GradeTable[],2,TRUE), " ")</f>
        <v>A</v>
      </c>
      <c r="G36" s="97">
        <v>42</v>
      </c>
      <c r="H36" s="97">
        <f>IF(ISNUMBER(MainTable[[#This Row],[Enter Percentage Grade]]),  MainTable[[#This Row],[Credit Hours]]*MainTable[[#This Row],[Numeric Grade]],  " ")</f>
        <v>168</v>
      </c>
      <c r="I36" s="97">
        <v>3</v>
      </c>
    </row>
    <row r="37" spans="2:9" ht="18" customHeight="1" x14ac:dyDescent="0.15">
      <c r="B37" s="95" t="s">
        <v>38</v>
      </c>
      <c r="C37" s="108">
        <v>100</v>
      </c>
      <c r="D37" s="96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Passed</v>
      </c>
      <c r="E37" s="96">
        <f>IF(ISNUMBER(MainTable[[#This Row],[Enter Percentage Grade]]), VLOOKUP(MainTable[[#This Row],[Enter Percentage Grade]],GradeTable[],3,TRUE)," ")</f>
        <v>4</v>
      </c>
      <c r="F37" s="97" t="str">
        <f>IF(ISNUMBER(MainTable[[#This Row],[Enter Percentage Grade]]), VLOOKUP(MainTable[[#This Row],[Enter Percentage Grade]],GradeTable[],2,TRUE), " ")</f>
        <v>A</v>
      </c>
      <c r="G37" s="97">
        <v>42</v>
      </c>
      <c r="H37" s="97">
        <f>IF(ISNUMBER(MainTable[[#This Row],[Enter Percentage Grade]]),  MainTable[[#This Row],[Credit Hours]]*MainTable[[#This Row],[Numeric Grade]],  " ")</f>
        <v>168</v>
      </c>
      <c r="I37" s="97">
        <v>3</v>
      </c>
    </row>
    <row r="38" spans="2:9" ht="18" customHeight="1" x14ac:dyDescent="0.15">
      <c r="B38" s="95" t="s">
        <v>18</v>
      </c>
      <c r="C38" s="108">
        <v>50</v>
      </c>
      <c r="D38" s="96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Passed</v>
      </c>
      <c r="E38" s="96">
        <f>IF(ISNUMBER(MainTable[[#This Row],[Enter Percentage Grade]]), VLOOKUP(MainTable[[#This Row],[Enter Percentage Grade]],GradeTable[],3,TRUE)," ")</f>
        <v>1</v>
      </c>
      <c r="F38" s="97" t="str">
        <f>IF(ISNUMBER(MainTable[[#This Row],[Enter Percentage Grade]]), VLOOKUP(MainTable[[#This Row],[Enter Percentage Grade]],GradeTable[],2,TRUE), " ")</f>
        <v>D</v>
      </c>
      <c r="G38" s="97">
        <v>42</v>
      </c>
      <c r="H38" s="97">
        <f>IF(ISNUMBER(MainTable[[#This Row],[Enter Percentage Grade]]),  MainTable[[#This Row],[Credit Hours]]*MainTable[[#This Row],[Numeric Grade]],  " ")</f>
        <v>42</v>
      </c>
      <c r="I38" s="97">
        <v>3</v>
      </c>
    </row>
    <row r="39" spans="2:9" ht="18" customHeight="1" x14ac:dyDescent="0.15">
      <c r="B39" s="98" t="s">
        <v>19</v>
      </c>
      <c r="C39" s="109">
        <v>50</v>
      </c>
      <c r="D39" s="99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Passed</v>
      </c>
      <c r="E39" s="99">
        <f>IF(ISNUMBER(MainTable[[#This Row],[Enter Percentage Grade]]), VLOOKUP(MainTable[[#This Row],[Enter Percentage Grade]],GradeTable[],3,TRUE)," ")</f>
        <v>1</v>
      </c>
      <c r="F39" s="100" t="str">
        <f>IF(ISNUMBER(MainTable[[#This Row],[Enter Percentage Grade]]), VLOOKUP(MainTable[[#This Row],[Enter Percentage Grade]],GradeTable[],2,TRUE), " ")</f>
        <v>D</v>
      </c>
      <c r="G39" s="100">
        <f t="shared" si="1"/>
        <v>45</v>
      </c>
      <c r="H39" s="100">
        <f>IF(ISNUMBER(MainTable[[#This Row],[Enter Percentage Grade]]),  MainTable[[#This Row],[Credit Hours]]*MainTable[[#This Row],[Numeric Grade]],  " ")</f>
        <v>45</v>
      </c>
      <c r="I39" s="100">
        <v>4</v>
      </c>
    </row>
    <row r="40" spans="2:9" ht="18" customHeight="1" x14ac:dyDescent="0.15">
      <c r="B40" s="98" t="s">
        <v>20</v>
      </c>
      <c r="C40" s="109">
        <v>62.5</v>
      </c>
      <c r="D40" s="99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Passed</v>
      </c>
      <c r="E40" s="99">
        <f>IF(ISNUMBER(MainTable[[#This Row],[Enter Percentage Grade]]), VLOOKUP(MainTable[[#This Row],[Enter Percentage Grade]],GradeTable[],3,TRUE)," ")</f>
        <v>2</v>
      </c>
      <c r="F40" s="100" t="str">
        <f>IF(ISNUMBER(MainTable[[#This Row],[Enter Percentage Grade]]), VLOOKUP(MainTable[[#This Row],[Enter Percentage Grade]],GradeTable[],2,TRUE), " ")</f>
        <v>C</v>
      </c>
      <c r="G40" s="100">
        <f t="shared" si="1"/>
        <v>45</v>
      </c>
      <c r="H40" s="100">
        <f>IF(ISNUMBER(MainTable[[#This Row],[Enter Percentage Grade]]),  MainTable[[#This Row],[Credit Hours]]*MainTable[[#This Row],[Numeric Grade]],  " ")</f>
        <v>90</v>
      </c>
      <c r="I40" s="100">
        <v>4</v>
      </c>
    </row>
    <row r="41" spans="2:9" ht="18" customHeight="1" x14ac:dyDescent="0.15">
      <c r="B41" s="98" t="s">
        <v>21</v>
      </c>
      <c r="C41" s="109">
        <v>20.3</v>
      </c>
      <c r="D41" s="99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Failed</v>
      </c>
      <c r="E41" s="99">
        <f>IF(ISNUMBER(MainTable[[#This Row],[Enter Percentage Grade]]), VLOOKUP(MainTable[[#This Row],[Enter Percentage Grade]],GradeTable[],3,TRUE)," ")</f>
        <v>0</v>
      </c>
      <c r="F41" s="100" t="str">
        <f>IF(ISNUMBER(MainTable[[#This Row],[Enter Percentage Grade]]), VLOOKUP(MainTable[[#This Row],[Enter Percentage Grade]],GradeTable[],2,TRUE), " ")</f>
        <v>F</v>
      </c>
      <c r="G41" s="100">
        <f t="shared" si="1"/>
        <v>45</v>
      </c>
      <c r="H41" s="100">
        <f>IF(ISNUMBER(MainTable[[#This Row],[Enter Percentage Grade]]),  MainTable[[#This Row],[Credit Hours]]*MainTable[[#This Row],[Numeric Grade]],  " ")</f>
        <v>0</v>
      </c>
      <c r="I41" s="100">
        <v>4</v>
      </c>
    </row>
    <row r="42" spans="2:9" ht="18" customHeight="1" x14ac:dyDescent="0.15">
      <c r="B42" s="98" t="s">
        <v>22</v>
      </c>
      <c r="C42" s="109">
        <v>100</v>
      </c>
      <c r="D42" s="99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Passed</v>
      </c>
      <c r="E42" s="99">
        <f>IF(ISNUMBER(MainTable[[#This Row],[Enter Percentage Grade]]), VLOOKUP(MainTable[[#This Row],[Enter Percentage Grade]],GradeTable[],3,TRUE)," ")</f>
        <v>4</v>
      </c>
      <c r="F42" s="100" t="str">
        <f>IF(ISNUMBER(MainTable[[#This Row],[Enter Percentage Grade]]), VLOOKUP(MainTable[[#This Row],[Enter Percentage Grade]],GradeTable[],2,TRUE), " ")</f>
        <v>A</v>
      </c>
      <c r="G42" s="100">
        <f t="shared" si="1"/>
        <v>45</v>
      </c>
      <c r="H42" s="100">
        <f>IF(ISNUMBER(MainTable[[#This Row],[Enter Percentage Grade]]),  MainTable[[#This Row],[Credit Hours]]*MainTable[[#This Row],[Numeric Grade]],  " ")</f>
        <v>180</v>
      </c>
      <c r="I42" s="100">
        <v>4</v>
      </c>
    </row>
    <row r="43" spans="2:9" ht="18" customHeight="1" x14ac:dyDescent="0.15">
      <c r="B43" s="98" t="s">
        <v>23</v>
      </c>
      <c r="C43" s="109"/>
      <c r="D43" s="99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Required</v>
      </c>
      <c r="E43" s="99" t="str">
        <f>IF(ISNUMBER(MainTable[[#This Row],[Enter Percentage Grade]]), VLOOKUP(MainTable[[#This Row],[Enter Percentage Grade]],GradeTable[],3,TRUE)," ")</f>
        <v xml:space="preserve"> </v>
      </c>
      <c r="F43" s="100" t="str">
        <f>IF(ISNUMBER(MainTable[[#This Row],[Enter Percentage Grade]]), VLOOKUP(MainTable[[#This Row],[Enter Percentage Grade]],GradeTable[],2,TRUE), " ")</f>
        <v xml:space="preserve"> </v>
      </c>
      <c r="G43" s="100">
        <f t="shared" si="1"/>
        <v>45</v>
      </c>
      <c r="H43" s="100" t="str">
        <f>IF(ISNUMBER(MainTable[[#This Row],[Enter Percentage Grade]]),  MainTable[[#This Row],[Credit Hours]]*MainTable[[#This Row],[Numeric Grade]],  " ")</f>
        <v xml:space="preserve"> </v>
      </c>
      <c r="I43" s="100">
        <v>4</v>
      </c>
    </row>
    <row r="44" spans="2:9" ht="18" customHeight="1" x14ac:dyDescent="0.15">
      <c r="B44" s="98" t="s">
        <v>24</v>
      </c>
      <c r="C44" s="109"/>
      <c r="D44" s="99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Required</v>
      </c>
      <c r="E44" s="99" t="str">
        <f>IF(ISNUMBER(MainTable[[#This Row],[Enter Percentage Grade]]), VLOOKUP(MainTable[[#This Row],[Enter Percentage Grade]],GradeTable[],3,TRUE)," ")</f>
        <v xml:space="preserve"> </v>
      </c>
      <c r="F44" s="100" t="str">
        <f>IF(ISNUMBER(MainTable[[#This Row],[Enter Percentage Grade]]), VLOOKUP(MainTable[[#This Row],[Enter Percentage Grade]],GradeTable[],2,TRUE), " ")</f>
        <v xml:space="preserve"> </v>
      </c>
      <c r="G44" s="100">
        <f>10 * 15</f>
        <v>150</v>
      </c>
      <c r="H44" s="100" t="str">
        <f>IF(ISNUMBER(MainTable[[#This Row],[Enter Percentage Grade]]),  MainTable[[#This Row],[Credit Hours]]*MainTable[[#This Row],[Numeric Grade]],  " ")</f>
        <v xml:space="preserve"> </v>
      </c>
      <c r="I44" s="100">
        <v>4</v>
      </c>
    </row>
    <row r="45" spans="2:9" ht="18" customHeight="1" thickBot="1" x14ac:dyDescent="0.2">
      <c r="B45" s="98" t="s">
        <v>25</v>
      </c>
      <c r="C45" s="110"/>
      <c r="D45" s="99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Required</v>
      </c>
      <c r="E45" s="99" t="str">
        <f>IF(ISNUMBER(MainTable[[#This Row],[Enter Percentage Grade]]), VLOOKUP(MainTable[[#This Row],[Enter Percentage Grade]],GradeTable[],3,TRUE)," ")</f>
        <v xml:space="preserve"> </v>
      </c>
      <c r="F45" s="100" t="str">
        <f>IF(ISNUMBER(MainTable[[#This Row],[Enter Percentage Grade]]), VLOOKUP(MainTable[[#This Row],[Enter Percentage Grade]],GradeTable[],2,TRUE), " ")</f>
        <v xml:space="preserve"> </v>
      </c>
      <c r="G45" s="100">
        <f t="shared" si="1"/>
        <v>45</v>
      </c>
      <c r="H45" s="100" t="str">
        <f>IF(ISNUMBER(MainTable[[#This Row],[Enter Percentage Grade]]),  MainTable[[#This Row],[Credit Hours]]*MainTable[[#This Row],[Numeric Grade]],  " ")</f>
        <v xml:space="preserve"> </v>
      </c>
      <c r="I45" s="100">
        <v>4</v>
      </c>
    </row>
    <row r="46" spans="2:9" ht="19" customHeight="1" x14ac:dyDescent="0.15">
      <c r="B46" s="101" t="s">
        <v>50</v>
      </c>
      <c r="C46" s="102">
        <f>SUBTOTAL(101,MainTable[Enter Percentage Grade])</f>
        <v>65.75833333333334</v>
      </c>
      <c r="D46" s="102"/>
      <c r="E46" s="103">
        <f>MainTable[[#Totals],[Quality Points]] / MainTable[[#Totals],[Credit Hours]]</f>
        <v>1.7607223476297968</v>
      </c>
      <c r="F46" s="104"/>
      <c r="G46" s="104">
        <f>SUBTOTAL(109,MainTable[Credit Hours])</f>
        <v>1329</v>
      </c>
      <c r="H46" s="104">
        <f>SUBTOTAL(109,MainTable[Quality Points])</f>
        <v>2340</v>
      </c>
      <c r="I46" s="104"/>
    </row>
  </sheetData>
  <mergeCells count="2">
    <mergeCell ref="B7:C7"/>
    <mergeCell ref="B9:C9"/>
  </mergeCells>
  <conditionalFormatting sqref="D19:D45">
    <cfRule type="containsText" dxfId="72" priority="6" operator="containsText" text="Passed">
      <formula>NOT(ISERROR(SEARCH("Passed",D19)))</formula>
    </cfRule>
    <cfRule type="containsText" dxfId="71" priority="7" operator="containsText" text="Fail">
      <formula>NOT(ISERROR(SEARCH("Fail",D19)))</formula>
    </cfRule>
  </conditionalFormatting>
  <conditionalFormatting sqref="D7">
    <cfRule type="dataBar" priority="4">
      <dataBar>
        <cfvo type="num" val="-2"/>
        <cfvo type="num" val="0"/>
        <color theme="6"/>
      </dataBar>
      <extLst>
        <ext xmlns:x14="http://schemas.microsoft.com/office/spreadsheetml/2009/9/main" uri="{B025F937-C7B1-47D3-B67F-A62EFF666E3E}">
          <x14:id>{1A1F31DC-41CF-D24A-A084-86FC818F29A4}</x14:id>
        </ext>
      </extLst>
    </cfRule>
  </conditionalFormatting>
  <conditionalFormatting sqref="D9">
    <cfRule type="dataBar" priority="1">
      <dataBar>
        <cfvo type="num" val="0"/>
        <cfvo type="num" val="1360"/>
        <color theme="8"/>
      </dataBar>
      <extLst>
        <ext xmlns:x14="http://schemas.microsoft.com/office/spreadsheetml/2009/9/main" uri="{B025F937-C7B1-47D3-B67F-A62EFF666E3E}">
          <x14:id>{2B2AE5F8-2E91-A84E-8262-0AE13BCCEC10}</x14:id>
        </ext>
      </extLst>
    </cfRule>
  </conditionalFormatting>
  <pageMargins left="0.7" right="0.7" top="0.75" bottom="0.75" header="0.3" footer="0.3"/>
  <pageSetup orientation="portrait" horizontalDpi="0" verticalDpi="0"/>
  <ignoredErrors>
    <ignoredError sqref="C13:C14 E20:H30 E39:H43 E31:F38 H31:H38 E45:H45 E44:F44 H44 B7:C9 D7:H8 D9:E9 F9:H9 E13:E14 D13:D14 E19:H19 D19:D45" unlockedFormula="1"/>
    <ignoredError sqref="G31:G38 G44" unlockedFormula="1" calculatedColumn="1"/>
  </ignoredErrors>
  <drawing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1F31DC-41CF-D24A-A084-86FC818F29A4}">
            <x14:dataBar minLength="0" maxLength="100" axisPosition="none">
              <x14:cfvo type="num">
                <xm:f>-2</xm:f>
              </x14:cfvo>
              <x14:cfvo type="num">
                <xm:f>0</xm:f>
              </x14:cfvo>
              <x14:negativeFillColor theme="5"/>
            </x14:dataBar>
          </x14:cfRule>
          <xm:sqref>D7</xm:sqref>
        </x14:conditionalFormatting>
        <x14:conditionalFormatting xmlns:xm="http://schemas.microsoft.com/office/excel/2006/main">
          <x14:cfRule type="dataBar" id="{2B2AE5F8-2E91-A84E-8262-0AE13BCCEC10}">
            <x14:dataBar minLength="0" maxLength="100" direction="leftToRight">
              <x14:cfvo type="num">
                <xm:f>0</xm:f>
              </x14:cfvo>
              <x14:cfvo type="num">
                <xm:f>1360</xm:f>
              </x14:cfvo>
              <x14:negativeFillColor theme="0"/>
              <x14:axisColor rgb="FF000000"/>
            </x14:dataBar>
          </x14:cfRule>
          <xm:sqref>D9</xm:sqref>
        </x14:conditionalFormatting>
        <x14:conditionalFormatting xmlns:xm="http://schemas.microsoft.com/office/excel/2006/main">
          <x14:cfRule type="iconSet" priority="15" id="{A0E03D34-0321-5441-A5B7-0CAEE9BFEFDF}">
            <x14:iconSet iconSet="3Symbols" custom="1">
              <x14:cfvo type="percent">
                <xm:f>0</xm:f>
              </x14:cfvo>
              <x14:cfvo type="num">
                <xm:f>50</xm:f>
              </x14:cfvo>
              <x14:cfvo type="num">
                <xm:f>70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C19:C45</xm:sqref>
        </x14:conditionalFormatting>
        <x14:conditionalFormatting xmlns:xm="http://schemas.microsoft.com/office/excel/2006/main">
          <x14:cfRule type="iconSet" priority="3" id="{904AEACA-1670-794C-B6A2-737C69EC5CA6}">
            <x14:iconSet iconSet="3Flags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Flags" iconId="0"/>
              <x14:cfIcon iconSet="3Flags" iconId="0"/>
              <x14:cfIcon iconSet="3Flags" iconId="2"/>
            </x14:iconSet>
          </x14:cfRule>
          <xm:sqref>D7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09268-BB09-114C-ABF2-EFE2C514982F}">
  <sheetPr codeName="Sheet4"/>
  <dimension ref="B1:M46"/>
  <sheetViews>
    <sheetView showGridLines="0" zoomScale="81" workbookViewId="0">
      <selection activeCell="E29" sqref="E29"/>
    </sheetView>
  </sheetViews>
  <sheetFormatPr baseColWidth="10" defaultColWidth="11" defaultRowHeight="13" x14ac:dyDescent="0.15"/>
  <cols>
    <col min="1" max="1" width="4.796875" style="31" customWidth="1"/>
    <col min="2" max="2" width="40.59765625" style="31" customWidth="1"/>
    <col min="3" max="3" width="22.3984375" style="31" customWidth="1"/>
    <col min="4" max="4" width="13.796875" style="31" customWidth="1"/>
    <col min="5" max="5" width="14.19921875" style="27" customWidth="1"/>
    <col min="6" max="6" width="12" style="27" customWidth="1"/>
    <col min="7" max="7" width="12.796875" style="27" customWidth="1"/>
    <col min="8" max="8" width="15" style="27" customWidth="1"/>
    <col min="9" max="9" width="10" style="27" customWidth="1"/>
    <col min="10" max="10" width="4.796875" style="31" customWidth="1"/>
    <col min="11" max="11" width="13.796875" style="6" customWidth="1"/>
    <col min="12" max="12" width="11.796875" style="7" customWidth="1"/>
    <col min="13" max="13" width="16.3984375" style="6" customWidth="1"/>
    <col min="14" max="16384" width="11" style="31"/>
  </cols>
  <sheetData>
    <row r="1" spans="2:12" s="6" customFormat="1" ht="28" customHeight="1" x14ac:dyDescent="0.15">
      <c r="B1" s="2" t="s">
        <v>1</v>
      </c>
      <c r="C1" s="3"/>
      <c r="D1" s="4"/>
      <c r="E1" s="5"/>
      <c r="F1" s="5"/>
      <c r="G1" s="5"/>
      <c r="H1" s="5"/>
      <c r="I1" s="5"/>
      <c r="L1" s="7"/>
    </row>
    <row r="2" spans="2:12" s="6" customFormat="1" ht="21" customHeight="1" x14ac:dyDescent="0.15">
      <c r="B2" s="8" t="s">
        <v>45</v>
      </c>
      <c r="C2" s="3"/>
      <c r="D2" s="4"/>
      <c r="E2" s="5"/>
      <c r="F2" s="5"/>
      <c r="G2" s="5"/>
      <c r="H2" s="5"/>
      <c r="I2" s="5"/>
      <c r="L2" s="7"/>
    </row>
    <row r="3" spans="2:12" s="6" customFormat="1" ht="16" x14ac:dyDescent="0.15">
      <c r="B3" s="9" t="s">
        <v>44</v>
      </c>
      <c r="C3" s="4"/>
      <c r="D3" s="4"/>
      <c r="E3" s="5"/>
      <c r="F3" s="5"/>
      <c r="G3" s="5"/>
      <c r="H3" s="5"/>
      <c r="I3" s="5"/>
      <c r="L3" s="7"/>
    </row>
    <row r="4" spans="2:12" s="6" customFormat="1" ht="11" customHeight="1" x14ac:dyDescent="0.15">
      <c r="B4" s="10"/>
      <c r="C4" s="11"/>
      <c r="D4" s="12"/>
      <c r="E4" s="13"/>
      <c r="F4" s="13"/>
      <c r="G4" s="13"/>
      <c r="H4" s="13"/>
      <c r="I4" s="13"/>
      <c r="L4" s="7"/>
    </row>
    <row r="5" spans="2:12" s="6" customFormat="1" ht="29" customHeight="1" x14ac:dyDescent="0.15">
      <c r="B5" s="53" t="s">
        <v>52</v>
      </c>
      <c r="C5" s="14"/>
      <c r="D5" s="15"/>
      <c r="E5" s="16"/>
      <c r="F5" s="16"/>
      <c r="G5" s="16"/>
      <c r="H5" s="16"/>
      <c r="I5" s="16"/>
      <c r="L5" s="7"/>
    </row>
    <row r="6" spans="2:12" s="6" customFormat="1" ht="2" customHeight="1" x14ac:dyDescent="0.15">
      <c r="B6" s="17"/>
      <c r="C6" s="17"/>
      <c r="D6" s="17"/>
      <c r="E6" s="17"/>
      <c r="F6" s="17"/>
      <c r="G6" s="17"/>
      <c r="H6" s="17"/>
      <c r="I6" s="17"/>
      <c r="L6" s="7"/>
    </row>
    <row r="7" spans="2:12" s="6" customFormat="1" ht="24" customHeight="1" x14ac:dyDescent="0.15">
      <c r="B7" s="117" t="str">
        <f>CONCATENATE("Current GPA (", TEXT( MainTable2[[#Totals],[Numeric Grade]],  "0.0"),   ") / Outstanding GPA (2.0)")</f>
        <v>Current GPA (1.8) / Outstanding GPA (2.0)</v>
      </c>
      <c r="C7" s="117"/>
      <c r="D7" s="18">
        <f>MainTable2[[#Totals],[Numeric Grade]] - 2</f>
        <v>-0.23927765237020315</v>
      </c>
      <c r="E7" s="19" t="str">
        <f>IF(D7&lt;0,CONCATENATE("  You need to Increase your GPA ",TEXT(D7*-1,"0.00"), " for graduation"),"  Your GPA meets to graduate ")</f>
        <v xml:space="preserve">  You need to Increase your GPA 0.24 for graduation</v>
      </c>
      <c r="F7" s="20"/>
      <c r="G7" s="20"/>
      <c r="H7" s="17"/>
      <c r="I7" s="20"/>
      <c r="L7" s="7"/>
    </row>
    <row r="8" spans="2:12" s="6" customFormat="1" ht="3" customHeight="1" x14ac:dyDescent="0.15">
      <c r="B8" s="21"/>
      <c r="C8" s="21"/>
      <c r="D8" s="21"/>
      <c r="E8" s="21"/>
      <c r="F8" s="21"/>
      <c r="G8" s="20"/>
      <c r="H8" s="17"/>
      <c r="I8" s="20"/>
      <c r="L8" s="7"/>
    </row>
    <row r="9" spans="2:12" s="6" customFormat="1" ht="23" customHeight="1" x14ac:dyDescent="0.15">
      <c r="B9" s="117" t="str">
        <f>CONCATENATE("Required Hours : ",  TEXT(Summary11[[#Totals],[Requried Hours]], "0 "), "/1350 hours")</f>
        <v>Required Hours : 417 /1350 hours</v>
      </c>
      <c r="C9" s="117"/>
      <c r="D9" s="22">
        <f>(Summary11[[#Totals],[Earned Hours]] - Summary11[[#Totals],[Total Creadit Hours]]) * -1</f>
        <v>417</v>
      </c>
      <c r="E9" s="19" t="str">
        <f>IF(AND(D9&lt;1350, D9 &gt; 0),CONCATENATE("  You need to obtain ",TEXT(D9,"0")," more creadit hours for graduration")," You've obtained all creadit hours to graduate ")</f>
        <v xml:space="preserve">  You need to obtain 417 more creadit hours for graduration</v>
      </c>
      <c r="F9" s="20"/>
      <c r="G9" s="20"/>
      <c r="H9" s="17"/>
      <c r="I9" s="20"/>
      <c r="L9" s="7"/>
    </row>
    <row r="10" spans="2:12" s="6" customFormat="1" ht="4" customHeight="1" x14ac:dyDescent="0.15">
      <c r="B10" s="23"/>
      <c r="C10" s="24"/>
      <c r="D10" s="24"/>
      <c r="E10" s="23"/>
      <c r="F10" s="23"/>
      <c r="G10" s="23"/>
      <c r="H10" s="23"/>
      <c r="I10" s="23"/>
      <c r="L10" s="7"/>
    </row>
    <row r="11" spans="2:12" s="6" customFormat="1" x14ac:dyDescent="0.15">
      <c r="E11" s="25"/>
      <c r="F11" s="25"/>
      <c r="G11" s="25"/>
      <c r="H11" s="25"/>
      <c r="I11" s="25"/>
      <c r="L11" s="7"/>
    </row>
    <row r="12" spans="2:12" s="6" customFormat="1" ht="28" customHeight="1" x14ac:dyDescent="0.15">
      <c r="B12" s="26" t="s">
        <v>40</v>
      </c>
      <c r="C12" s="26" t="s">
        <v>41</v>
      </c>
      <c r="D12" s="26" t="s">
        <v>46</v>
      </c>
      <c r="E12" s="26" t="s">
        <v>47</v>
      </c>
      <c r="F12" s="25"/>
      <c r="G12" s="27"/>
      <c r="H12" s="27"/>
      <c r="I12" s="27"/>
      <c r="L12" s="7"/>
    </row>
    <row r="13" spans="2:12" s="6" customFormat="1" ht="18" customHeight="1" x14ac:dyDescent="0.15">
      <c r="B13" s="28" t="s">
        <v>42</v>
      </c>
      <c r="C13" s="25">
        <f>SUM(G19:G22,G25:G36,G38:G45)</f>
        <v>1197</v>
      </c>
      <c r="D13" s="29">
        <f t="shared" ref="D13" si="0" xml:space="preserve"> SUMIF(D19:D22, "Passed", G19:G22) + SUMIF(D25:D36, "Passed", G25:G36) + SUMIF(D38:D45, "Passed", G38:G45)</f>
        <v>825</v>
      </c>
      <c r="E13" s="25">
        <f>Summary11[[#This Row],[Total Creadit Hours]]-Summary11[[#This Row],[Earned Hours]]</f>
        <v>372</v>
      </c>
      <c r="F13" s="25"/>
      <c r="G13" s="27"/>
      <c r="H13" s="27"/>
      <c r="I13" s="27"/>
      <c r="L13" s="7"/>
    </row>
    <row r="14" spans="2:12" s="6" customFormat="1" ht="18" customHeight="1" x14ac:dyDescent="0.15">
      <c r="B14" s="28" t="s">
        <v>43</v>
      </c>
      <c r="C14" s="25">
        <f>SUM(G23,G24,G37)</f>
        <v>132</v>
      </c>
      <c r="D14" s="29">
        <f>SUMIF(D23:D24, "Passed", G23:G24) + SUMIF(D37, "Passed", G37)</f>
        <v>87</v>
      </c>
      <c r="E14" s="25">
        <f>Summary11[[#This Row],[Total Creadit Hours]]-Summary11[[#This Row],[Earned Hours]]</f>
        <v>45</v>
      </c>
      <c r="F14" s="25"/>
      <c r="G14" s="27"/>
      <c r="H14" s="27"/>
      <c r="I14" s="27"/>
      <c r="L14" s="7"/>
    </row>
    <row r="15" spans="2:12" s="6" customFormat="1" ht="18" customHeight="1" x14ac:dyDescent="0.15">
      <c r="B15" s="25" t="s">
        <v>0</v>
      </c>
      <c r="C15" s="25">
        <f>SUBTOTAL(109,Summary11[Total Creadit Hours])</f>
        <v>1329</v>
      </c>
      <c r="D15" s="30">
        <f>SUBTOTAL(109,Summary11[Earned Hours])</f>
        <v>912</v>
      </c>
      <c r="E15" s="30">
        <f>SUBTOTAL(109,Summary11[Requried Hours])</f>
        <v>417</v>
      </c>
      <c r="F15" s="25"/>
      <c r="G15" s="27"/>
      <c r="H15" s="27"/>
      <c r="I15" s="27"/>
      <c r="L15" s="7"/>
    </row>
    <row r="16" spans="2:12" s="6" customFormat="1" ht="9" customHeight="1" x14ac:dyDescent="0.15">
      <c r="B16" s="25"/>
      <c r="C16" s="25"/>
      <c r="D16" s="30"/>
      <c r="E16" s="30"/>
      <c r="F16" s="25"/>
      <c r="G16" s="27"/>
      <c r="H16" s="27"/>
      <c r="I16" s="27"/>
      <c r="L16" s="7"/>
    </row>
    <row r="17" spans="2:13" ht="17" customHeight="1" thickBot="1" x14ac:dyDescent="0.2"/>
    <row r="18" spans="2:13" ht="42" customHeight="1" thickBot="1" x14ac:dyDescent="0.2">
      <c r="B18" s="32" t="s">
        <v>35</v>
      </c>
      <c r="C18" s="115" t="s">
        <v>51</v>
      </c>
      <c r="D18" s="32" t="s">
        <v>39</v>
      </c>
      <c r="E18" s="32" t="s">
        <v>33</v>
      </c>
      <c r="F18" s="32" t="s">
        <v>27</v>
      </c>
      <c r="G18" s="32" t="s">
        <v>49</v>
      </c>
      <c r="H18" s="32" t="s">
        <v>26</v>
      </c>
      <c r="I18" s="32" t="s">
        <v>48</v>
      </c>
      <c r="K18" s="33" t="s">
        <v>34</v>
      </c>
      <c r="L18" s="33" t="s">
        <v>27</v>
      </c>
      <c r="M18" s="33" t="s">
        <v>33</v>
      </c>
    </row>
    <row r="19" spans="2:13" ht="18" customHeight="1" x14ac:dyDescent="0.15">
      <c r="B19" s="34" t="s">
        <v>2</v>
      </c>
      <c r="C19" s="105">
        <v>79.2</v>
      </c>
      <c r="D19" s="35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Passed</v>
      </c>
      <c r="E19" s="35">
        <f>IF(ISNUMBER(MainTable2[[#This Row],[Enter Percentage Grade]]), VLOOKUP(MainTable2[[#This Row],[Enter Percentage Grade]],GradeTable10[],3,TRUE)," ")</f>
        <v>3</v>
      </c>
      <c r="F19" s="36" t="str">
        <f>IF(ISNUMBER(MainTable2[[#This Row],[Enter Percentage Grade]]), VLOOKUP(MainTable2[[#This Row],[Enter Percentage Grade]],GradeTable10[],2,TRUE), " ")</f>
        <v>B</v>
      </c>
      <c r="G19" s="36">
        <f>3 * 15</f>
        <v>45</v>
      </c>
      <c r="H19" s="36">
        <f>IF(ISNUMBER(MainTable2[[#This Row],[Enter Percentage Grade]]),  MainTable2[[#This Row],[Credit Hours]]*MainTable2[[#This Row],[Numeric Grade]],  " ")</f>
        <v>135</v>
      </c>
      <c r="I19" s="36">
        <v>1</v>
      </c>
      <c r="K19" s="37">
        <v>0</v>
      </c>
      <c r="L19" s="37" t="s">
        <v>32</v>
      </c>
      <c r="M19" s="38">
        <v>0</v>
      </c>
    </row>
    <row r="20" spans="2:13" ht="19" customHeight="1" x14ac:dyDescent="0.15">
      <c r="B20" s="39" t="s">
        <v>3</v>
      </c>
      <c r="C20" s="106">
        <v>79.2</v>
      </c>
      <c r="D20" s="35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Passed</v>
      </c>
      <c r="E20" s="35">
        <f>IF(ISNUMBER(MainTable2[[#This Row],[Enter Percentage Grade]]), VLOOKUP(MainTable2[[#This Row],[Enter Percentage Grade]],GradeTable10[],3,TRUE)," ")</f>
        <v>3</v>
      </c>
      <c r="F20" s="36" t="str">
        <f>IF(ISNUMBER(MainTable2[[#This Row],[Enter Percentage Grade]]), VLOOKUP(MainTable2[[#This Row],[Enter Percentage Grade]],GradeTable10[],2,TRUE), " ")</f>
        <v>B</v>
      </c>
      <c r="G20" s="36">
        <f t="shared" ref="G20:G45" si="1">3 * 15</f>
        <v>45</v>
      </c>
      <c r="H20" s="36">
        <f>IF(ISNUMBER(MainTable2[[#This Row],[Enter Percentage Grade]]),  MainTable2[[#This Row],[Credit Hours]]*MainTable2[[#This Row],[Numeric Grade]],  " ")</f>
        <v>135</v>
      </c>
      <c r="I20" s="36">
        <v>1</v>
      </c>
      <c r="K20" s="37">
        <v>50</v>
      </c>
      <c r="L20" s="37" t="s">
        <v>31</v>
      </c>
      <c r="M20" s="38">
        <v>1</v>
      </c>
    </row>
    <row r="21" spans="2:13" ht="18" customHeight="1" x14ac:dyDescent="0.15">
      <c r="B21" s="39" t="s">
        <v>4</v>
      </c>
      <c r="C21" s="106">
        <v>99</v>
      </c>
      <c r="D21" s="35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Passed</v>
      </c>
      <c r="E21" s="35">
        <f>IF(ISNUMBER(MainTable2[[#This Row],[Enter Percentage Grade]]), VLOOKUP(MainTable2[[#This Row],[Enter Percentage Grade]],GradeTable10[],3,TRUE)," ")</f>
        <v>4</v>
      </c>
      <c r="F21" s="36" t="str">
        <f>IF(ISNUMBER(MainTable2[[#This Row],[Enter Percentage Grade]]), VLOOKUP(MainTable2[[#This Row],[Enter Percentage Grade]],GradeTable10[],2,TRUE), " ")</f>
        <v>A</v>
      </c>
      <c r="G21" s="36">
        <f t="shared" si="1"/>
        <v>45</v>
      </c>
      <c r="H21" s="36">
        <f>IF(ISNUMBER(MainTable2[[#This Row],[Enter Percentage Grade]]),  MainTable2[[#This Row],[Credit Hours]]*MainTable2[[#This Row],[Numeric Grade]],  " ")</f>
        <v>180</v>
      </c>
      <c r="I21" s="36">
        <v>1</v>
      </c>
      <c r="K21" s="37">
        <v>60</v>
      </c>
      <c r="L21" s="37" t="s">
        <v>30</v>
      </c>
      <c r="M21" s="38">
        <v>2</v>
      </c>
    </row>
    <row r="22" spans="2:13" ht="18" customHeight="1" x14ac:dyDescent="0.15">
      <c r="B22" s="39" t="s">
        <v>5</v>
      </c>
      <c r="C22" s="106">
        <v>97</v>
      </c>
      <c r="D22" s="35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Passed</v>
      </c>
      <c r="E22" s="35">
        <f>IF(ISNUMBER(MainTable2[[#This Row],[Enter Percentage Grade]]), VLOOKUP(MainTable2[[#This Row],[Enter Percentage Grade]],GradeTable10[],3,TRUE)," ")</f>
        <v>4</v>
      </c>
      <c r="F22" s="36" t="str">
        <f>IF(ISNUMBER(MainTable2[[#This Row],[Enter Percentage Grade]]), VLOOKUP(MainTable2[[#This Row],[Enter Percentage Grade]],GradeTable10[],2,TRUE), " ")</f>
        <v>A</v>
      </c>
      <c r="G22" s="36">
        <f t="shared" si="1"/>
        <v>45</v>
      </c>
      <c r="H22" s="36">
        <f>IF(ISNUMBER(MainTable2[[#This Row],[Enter Percentage Grade]]),  MainTable2[[#This Row],[Credit Hours]]*MainTable2[[#This Row],[Numeric Grade]],  " ")</f>
        <v>180</v>
      </c>
      <c r="I22" s="36">
        <v>1</v>
      </c>
      <c r="K22" s="37">
        <v>70</v>
      </c>
      <c r="L22" s="37" t="s">
        <v>29</v>
      </c>
      <c r="M22" s="38">
        <v>3</v>
      </c>
    </row>
    <row r="23" spans="2:13" ht="18" customHeight="1" x14ac:dyDescent="0.15">
      <c r="B23" s="39" t="s">
        <v>36</v>
      </c>
      <c r="C23" s="106">
        <v>20</v>
      </c>
      <c r="D23" s="35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Failed</v>
      </c>
      <c r="E23" s="35">
        <f>IF(ISNUMBER(MainTable2[[#This Row],[Enter Percentage Grade]]), VLOOKUP(MainTable2[[#This Row],[Enter Percentage Grade]],GradeTable10[],3,TRUE)," ")</f>
        <v>0</v>
      </c>
      <c r="F23" s="36" t="str">
        <f>IF(ISNUMBER(MainTable2[[#This Row],[Enter Percentage Grade]]), VLOOKUP(MainTable2[[#This Row],[Enter Percentage Grade]],GradeTable10[],2,TRUE), " ")</f>
        <v>F</v>
      </c>
      <c r="G23" s="36">
        <f t="shared" si="1"/>
        <v>45</v>
      </c>
      <c r="H23" s="36">
        <f>IF(ISNUMBER(MainTable2[[#This Row],[Enter Percentage Grade]]),  MainTable2[[#This Row],[Credit Hours]]*MainTable2[[#This Row],[Numeric Grade]],  " ")</f>
        <v>0</v>
      </c>
      <c r="I23" s="36">
        <v>1</v>
      </c>
      <c r="K23" s="37">
        <v>80</v>
      </c>
      <c r="L23" s="37" t="s">
        <v>28</v>
      </c>
      <c r="M23" s="38">
        <v>4</v>
      </c>
    </row>
    <row r="24" spans="2:13" ht="18" customHeight="1" x14ac:dyDescent="0.15">
      <c r="B24" s="39" t="s">
        <v>37</v>
      </c>
      <c r="C24" s="106">
        <v>50</v>
      </c>
      <c r="D24" s="35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Passed</v>
      </c>
      <c r="E24" s="35">
        <f>IF(ISNUMBER(MainTable2[[#This Row],[Enter Percentage Grade]]), VLOOKUP(MainTable2[[#This Row],[Enter Percentage Grade]],GradeTable10[],3,TRUE)," ")</f>
        <v>1</v>
      </c>
      <c r="F24" s="36" t="str">
        <f>IF(ISNUMBER(MainTable2[[#This Row],[Enter Percentage Grade]]), VLOOKUP(MainTable2[[#This Row],[Enter Percentage Grade]],GradeTable10[],2,TRUE), " ")</f>
        <v>D</v>
      </c>
      <c r="G24" s="36">
        <f t="shared" si="1"/>
        <v>45</v>
      </c>
      <c r="H24" s="36">
        <f>IF(ISNUMBER(MainTable2[[#This Row],[Enter Percentage Grade]]),  MainTable2[[#This Row],[Credit Hours]]*MainTable2[[#This Row],[Numeric Grade]],  " ")</f>
        <v>45</v>
      </c>
      <c r="I24" s="36">
        <v>1</v>
      </c>
    </row>
    <row r="25" spans="2:13" ht="18" customHeight="1" x14ac:dyDescent="0.15">
      <c r="B25" s="40" t="s">
        <v>6</v>
      </c>
      <c r="C25" s="107">
        <v>61</v>
      </c>
      <c r="D25" s="41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Passed</v>
      </c>
      <c r="E25" s="41">
        <f>IF(ISNUMBER(MainTable2[[#This Row],[Enter Percentage Grade]]), VLOOKUP(MainTable2[[#This Row],[Enter Percentage Grade]],GradeTable10[],3,TRUE)," ")</f>
        <v>2</v>
      </c>
      <c r="F25" s="42" t="str">
        <f>IF(ISNUMBER(MainTable2[[#This Row],[Enter Percentage Grade]]), VLOOKUP(MainTable2[[#This Row],[Enter Percentage Grade]],GradeTable10[],2,TRUE), " ")</f>
        <v>C</v>
      </c>
      <c r="G25" s="42">
        <f t="shared" si="1"/>
        <v>45</v>
      </c>
      <c r="H25" s="42">
        <f>IF(ISNUMBER(MainTable2[[#This Row],[Enter Percentage Grade]]),  MainTable2[[#This Row],[Credit Hours]]*MainTable2[[#This Row],[Numeric Grade]],  " ")</f>
        <v>90</v>
      </c>
      <c r="I25" s="42">
        <v>2</v>
      </c>
    </row>
    <row r="26" spans="2:13" ht="18" customHeight="1" x14ac:dyDescent="0.15">
      <c r="B26" s="40" t="s">
        <v>7</v>
      </c>
      <c r="C26" s="107">
        <v>80</v>
      </c>
      <c r="D26" s="41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Passed</v>
      </c>
      <c r="E26" s="41">
        <f>IF(ISNUMBER(MainTable2[[#This Row],[Enter Percentage Grade]]), VLOOKUP(MainTable2[[#This Row],[Enter Percentage Grade]],GradeTable10[],3,TRUE)," ")</f>
        <v>4</v>
      </c>
      <c r="F26" s="42" t="str">
        <f>IF(ISNUMBER(MainTable2[[#This Row],[Enter Percentage Grade]]), VLOOKUP(MainTable2[[#This Row],[Enter Percentage Grade]],GradeTable10[],2,TRUE), " ")</f>
        <v>A</v>
      </c>
      <c r="G26" s="42">
        <f t="shared" si="1"/>
        <v>45</v>
      </c>
      <c r="H26" s="42">
        <f>IF(ISNUMBER(MainTable2[[#This Row],[Enter Percentage Grade]]),  MainTable2[[#This Row],[Credit Hours]]*MainTable2[[#This Row],[Numeric Grade]],  " ")</f>
        <v>180</v>
      </c>
      <c r="I26" s="42">
        <v>2</v>
      </c>
    </row>
    <row r="27" spans="2:13" ht="18" customHeight="1" x14ac:dyDescent="0.15">
      <c r="B27" s="40" t="s">
        <v>8</v>
      </c>
      <c r="C27" s="107">
        <v>49</v>
      </c>
      <c r="D27" s="41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Failed</v>
      </c>
      <c r="E27" s="41">
        <f>IF(ISNUMBER(MainTable2[[#This Row],[Enter Percentage Grade]]), VLOOKUP(MainTable2[[#This Row],[Enter Percentage Grade]],GradeTable10[],3,TRUE)," ")</f>
        <v>0</v>
      </c>
      <c r="F27" s="42" t="str">
        <f>IF(ISNUMBER(MainTable2[[#This Row],[Enter Percentage Grade]]), VLOOKUP(MainTable2[[#This Row],[Enter Percentage Grade]],GradeTable10[],2,TRUE), " ")</f>
        <v>F</v>
      </c>
      <c r="G27" s="42">
        <f t="shared" si="1"/>
        <v>45</v>
      </c>
      <c r="H27" s="42">
        <f>IF(ISNUMBER(MainTable2[[#This Row],[Enter Percentage Grade]]),  MainTable2[[#This Row],[Credit Hours]]*MainTable2[[#This Row],[Numeric Grade]],  " ")</f>
        <v>0</v>
      </c>
      <c r="I27" s="42">
        <v>2</v>
      </c>
    </row>
    <row r="28" spans="2:13" ht="18" customHeight="1" x14ac:dyDescent="0.15">
      <c r="B28" s="40" t="s">
        <v>9</v>
      </c>
      <c r="C28" s="107">
        <v>50</v>
      </c>
      <c r="D28" s="41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Passed</v>
      </c>
      <c r="E28" s="41">
        <f>IF(ISNUMBER(MainTable2[[#This Row],[Enter Percentage Grade]]), VLOOKUP(MainTable2[[#This Row],[Enter Percentage Grade]],GradeTable10[],3,TRUE)," ")</f>
        <v>1</v>
      </c>
      <c r="F28" s="42" t="str">
        <f>IF(ISNUMBER(MainTable2[[#This Row],[Enter Percentage Grade]]), VLOOKUP(MainTable2[[#This Row],[Enter Percentage Grade]],GradeTable10[],2,TRUE), " ")</f>
        <v>D</v>
      </c>
      <c r="G28" s="42">
        <f t="shared" si="1"/>
        <v>45</v>
      </c>
      <c r="H28" s="42">
        <f>IF(ISNUMBER(MainTable2[[#This Row],[Enter Percentage Grade]]),  MainTable2[[#This Row],[Credit Hours]]*MainTable2[[#This Row],[Numeric Grade]],  " ")</f>
        <v>45</v>
      </c>
      <c r="I28" s="42">
        <v>2</v>
      </c>
    </row>
    <row r="29" spans="2:13" ht="18" customHeight="1" x14ac:dyDescent="0.15">
      <c r="B29" s="40" t="s">
        <v>10</v>
      </c>
      <c r="C29" s="107">
        <v>70</v>
      </c>
      <c r="D29" s="41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Passed</v>
      </c>
      <c r="E29" s="41">
        <f>IF(ISNUMBER(MainTable2[[#This Row],[Enter Percentage Grade]]), VLOOKUP(MainTable2[[#This Row],[Enter Percentage Grade]],GradeTable10[],3,TRUE)," ")</f>
        <v>3</v>
      </c>
      <c r="F29" s="42" t="str">
        <f>IF(ISNUMBER(MainTable2[[#This Row],[Enter Percentage Grade]]), VLOOKUP(MainTable2[[#This Row],[Enter Percentage Grade]],GradeTable10[],2,TRUE), " ")</f>
        <v>B</v>
      </c>
      <c r="G29" s="42">
        <f t="shared" si="1"/>
        <v>45</v>
      </c>
      <c r="H29" s="42">
        <f>IF(ISNUMBER(MainTable2[[#This Row],[Enter Percentage Grade]]),  MainTable2[[#This Row],[Credit Hours]]*MainTable2[[#This Row],[Numeric Grade]],  " ")</f>
        <v>135</v>
      </c>
      <c r="I29" s="42">
        <v>2</v>
      </c>
    </row>
    <row r="30" spans="2:13" ht="18" customHeight="1" x14ac:dyDescent="0.15">
      <c r="B30" s="40" t="s">
        <v>11</v>
      </c>
      <c r="C30" s="107">
        <v>59</v>
      </c>
      <c r="D30" s="41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Passed</v>
      </c>
      <c r="E30" s="41">
        <f>IF(ISNUMBER(MainTable2[[#This Row],[Enter Percentage Grade]]), VLOOKUP(MainTable2[[#This Row],[Enter Percentage Grade]],GradeTable10[],3,TRUE)," ")</f>
        <v>1</v>
      </c>
      <c r="F30" s="42" t="str">
        <f>IF(ISNUMBER(MainTable2[[#This Row],[Enter Percentage Grade]]), VLOOKUP(MainTable2[[#This Row],[Enter Percentage Grade]],GradeTable10[],2,TRUE), " ")</f>
        <v>D</v>
      </c>
      <c r="G30" s="42">
        <f t="shared" si="1"/>
        <v>45</v>
      </c>
      <c r="H30" s="42">
        <f>IF(ISNUMBER(MainTable2[[#This Row],[Enter Percentage Grade]]),  MainTable2[[#This Row],[Credit Hours]]*MainTable2[[#This Row],[Numeric Grade]],  " ")</f>
        <v>45</v>
      </c>
      <c r="I30" s="42">
        <v>2</v>
      </c>
    </row>
    <row r="31" spans="2:13" ht="18" customHeight="1" x14ac:dyDescent="0.15">
      <c r="B31" s="40" t="s">
        <v>12</v>
      </c>
      <c r="C31" s="112">
        <v>70</v>
      </c>
      <c r="D31" s="41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Passed</v>
      </c>
      <c r="E31" s="41">
        <f>IF(ISNUMBER(MainTable2[[#This Row],[Enter Percentage Grade]]), VLOOKUP(MainTable2[[#This Row],[Enter Percentage Grade]],GradeTable10[],3,TRUE)," ")</f>
        <v>3</v>
      </c>
      <c r="F31" s="42" t="str">
        <f>IF(ISNUMBER(MainTable2[[#This Row],[Enter Percentage Grade]]), VLOOKUP(MainTable2[[#This Row],[Enter Percentage Grade]],GradeTable10[],2,TRUE), " ")</f>
        <v>B</v>
      </c>
      <c r="G31" s="42">
        <f>5 * 15</f>
        <v>75</v>
      </c>
      <c r="H31" s="42">
        <f>IF(ISNUMBER(MainTable2[[#This Row],[Enter Percentage Grade]]),  MainTable2[[#This Row],[Credit Hours]]*MainTable2[[#This Row],[Numeric Grade]],  " ")</f>
        <v>225</v>
      </c>
      <c r="I31" s="42">
        <v>2</v>
      </c>
    </row>
    <row r="32" spans="2:13" ht="18" customHeight="1" x14ac:dyDescent="0.15">
      <c r="B32" s="43" t="s">
        <v>13</v>
      </c>
      <c r="C32" s="108">
        <v>33</v>
      </c>
      <c r="D32" s="44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Failed</v>
      </c>
      <c r="E32" s="44">
        <f>IF(ISNUMBER(MainTable2[[#This Row],[Enter Percentage Grade]]), VLOOKUP(MainTable2[[#This Row],[Enter Percentage Grade]],GradeTable10[],3,TRUE)," ")</f>
        <v>0</v>
      </c>
      <c r="F32" s="45" t="str">
        <f>IF(ISNUMBER(MainTable2[[#This Row],[Enter Percentage Grade]]), VLOOKUP(MainTable2[[#This Row],[Enter Percentage Grade]],GradeTable10[],2,TRUE), " ")</f>
        <v>F</v>
      </c>
      <c r="G32" s="45">
        <v>42</v>
      </c>
      <c r="H32" s="45">
        <f>IF(ISNUMBER(MainTable2[[#This Row],[Enter Percentage Grade]]),  MainTable2[[#This Row],[Credit Hours]]*MainTable2[[#This Row],[Numeric Grade]],  " ")</f>
        <v>0</v>
      </c>
      <c r="I32" s="45">
        <v>3</v>
      </c>
    </row>
    <row r="33" spans="2:9" ht="18" customHeight="1" x14ac:dyDescent="0.15">
      <c r="B33" s="43" t="s">
        <v>14</v>
      </c>
      <c r="C33" s="108">
        <v>59</v>
      </c>
      <c r="D33" s="44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Passed</v>
      </c>
      <c r="E33" s="44">
        <f>IF(ISNUMBER(MainTable2[[#This Row],[Enter Percentage Grade]]), VLOOKUP(MainTable2[[#This Row],[Enter Percentage Grade]],GradeTable10[],3,TRUE)," ")</f>
        <v>1</v>
      </c>
      <c r="F33" s="45" t="str">
        <f>IF(ISNUMBER(MainTable2[[#This Row],[Enter Percentage Grade]]), VLOOKUP(MainTable2[[#This Row],[Enter Percentage Grade]],GradeTable10[],2,TRUE), " ")</f>
        <v>D</v>
      </c>
      <c r="G33" s="45">
        <v>42</v>
      </c>
      <c r="H33" s="45">
        <f>IF(ISNUMBER(MainTable2[[#This Row],[Enter Percentage Grade]]),  MainTable2[[#This Row],[Credit Hours]]*MainTable2[[#This Row],[Numeric Grade]],  " ")</f>
        <v>42</v>
      </c>
      <c r="I33" s="45">
        <v>3</v>
      </c>
    </row>
    <row r="34" spans="2:9" ht="18" customHeight="1" x14ac:dyDescent="0.15">
      <c r="B34" s="43" t="s">
        <v>15</v>
      </c>
      <c r="C34" s="108">
        <v>90</v>
      </c>
      <c r="D34" s="44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Passed</v>
      </c>
      <c r="E34" s="44">
        <f>IF(ISNUMBER(MainTable2[[#This Row],[Enter Percentage Grade]]), VLOOKUP(MainTable2[[#This Row],[Enter Percentage Grade]],GradeTable10[],3,TRUE)," ")</f>
        <v>4</v>
      </c>
      <c r="F34" s="45" t="str">
        <f>IF(ISNUMBER(MainTable2[[#This Row],[Enter Percentage Grade]]), VLOOKUP(MainTable2[[#This Row],[Enter Percentage Grade]],GradeTable10[],2,TRUE), " ")</f>
        <v>A</v>
      </c>
      <c r="G34" s="45">
        <v>42</v>
      </c>
      <c r="H34" s="45">
        <f>IF(ISNUMBER(MainTable2[[#This Row],[Enter Percentage Grade]]),  MainTable2[[#This Row],[Credit Hours]]*MainTable2[[#This Row],[Numeric Grade]],  " ")</f>
        <v>168</v>
      </c>
      <c r="I34" s="45">
        <v>3</v>
      </c>
    </row>
    <row r="35" spans="2:9" ht="18" customHeight="1" x14ac:dyDescent="0.15">
      <c r="B35" s="43" t="s">
        <v>16</v>
      </c>
      <c r="C35" s="108">
        <v>50</v>
      </c>
      <c r="D35" s="44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Passed</v>
      </c>
      <c r="E35" s="44">
        <f>IF(ISNUMBER(MainTable2[[#This Row],[Enter Percentage Grade]]), VLOOKUP(MainTable2[[#This Row],[Enter Percentage Grade]],GradeTable10[],3,TRUE)," ")</f>
        <v>1</v>
      </c>
      <c r="F35" s="45" t="str">
        <f>IF(ISNUMBER(MainTable2[[#This Row],[Enter Percentage Grade]]), VLOOKUP(MainTable2[[#This Row],[Enter Percentage Grade]],GradeTable10[],2,TRUE), " ")</f>
        <v>D</v>
      </c>
      <c r="G35" s="45">
        <v>42</v>
      </c>
      <c r="H35" s="45">
        <f>IF(ISNUMBER(MainTable2[[#This Row],[Enter Percentage Grade]]),  MainTable2[[#This Row],[Credit Hours]]*MainTable2[[#This Row],[Numeric Grade]],  " ")</f>
        <v>42</v>
      </c>
      <c r="I35" s="45">
        <v>3</v>
      </c>
    </row>
    <row r="36" spans="2:9" ht="18" customHeight="1" x14ac:dyDescent="0.15">
      <c r="B36" s="43" t="s">
        <v>17</v>
      </c>
      <c r="C36" s="108">
        <v>100</v>
      </c>
      <c r="D36" s="44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Passed</v>
      </c>
      <c r="E36" s="44">
        <f>IF(ISNUMBER(MainTable2[[#This Row],[Enter Percentage Grade]]), VLOOKUP(MainTable2[[#This Row],[Enter Percentage Grade]],GradeTable10[],3,TRUE)," ")</f>
        <v>4</v>
      </c>
      <c r="F36" s="45" t="str">
        <f>IF(ISNUMBER(MainTable2[[#This Row],[Enter Percentage Grade]]), VLOOKUP(MainTable2[[#This Row],[Enter Percentage Grade]],GradeTable10[],2,TRUE), " ")</f>
        <v>A</v>
      </c>
      <c r="G36" s="45">
        <v>42</v>
      </c>
      <c r="H36" s="45">
        <f>IF(ISNUMBER(MainTable2[[#This Row],[Enter Percentage Grade]]),  MainTable2[[#This Row],[Credit Hours]]*MainTable2[[#This Row],[Numeric Grade]],  " ")</f>
        <v>168</v>
      </c>
      <c r="I36" s="45">
        <v>3</v>
      </c>
    </row>
    <row r="37" spans="2:9" ht="18" customHeight="1" x14ac:dyDescent="0.15">
      <c r="B37" s="43" t="s">
        <v>38</v>
      </c>
      <c r="C37" s="108">
        <v>100</v>
      </c>
      <c r="D37" s="44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Passed</v>
      </c>
      <c r="E37" s="44">
        <f>IF(ISNUMBER(MainTable2[[#This Row],[Enter Percentage Grade]]), VLOOKUP(MainTable2[[#This Row],[Enter Percentage Grade]],GradeTable10[],3,TRUE)," ")</f>
        <v>4</v>
      </c>
      <c r="F37" s="45" t="str">
        <f>IF(ISNUMBER(MainTable2[[#This Row],[Enter Percentage Grade]]), VLOOKUP(MainTable2[[#This Row],[Enter Percentage Grade]],GradeTable10[],2,TRUE), " ")</f>
        <v>A</v>
      </c>
      <c r="G37" s="45">
        <v>42</v>
      </c>
      <c r="H37" s="45">
        <f>IF(ISNUMBER(MainTable2[[#This Row],[Enter Percentage Grade]]),  MainTable2[[#This Row],[Credit Hours]]*MainTable2[[#This Row],[Numeric Grade]],  " ")</f>
        <v>168</v>
      </c>
      <c r="I37" s="45">
        <v>3</v>
      </c>
    </row>
    <row r="38" spans="2:9" ht="18" customHeight="1" x14ac:dyDescent="0.15">
      <c r="B38" s="43" t="s">
        <v>18</v>
      </c>
      <c r="C38" s="108">
        <v>50</v>
      </c>
      <c r="D38" s="47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Passed</v>
      </c>
      <c r="E38" s="44">
        <f>IF(ISNUMBER(MainTable2[[#This Row],[Enter Percentage Grade]]), VLOOKUP(MainTable2[[#This Row],[Enter Percentage Grade]],GradeTable10[],3,TRUE)," ")</f>
        <v>1</v>
      </c>
      <c r="F38" s="45" t="str">
        <f>IF(ISNUMBER(MainTable2[[#This Row],[Enter Percentage Grade]]), VLOOKUP(MainTable2[[#This Row],[Enter Percentage Grade]],GradeTable10[],2,TRUE), " ")</f>
        <v>D</v>
      </c>
      <c r="G38" s="45">
        <v>42</v>
      </c>
      <c r="H38" s="45">
        <f>IF(ISNUMBER(MainTable2[[#This Row],[Enter Percentage Grade]]),  MainTable2[[#This Row],[Credit Hours]]*MainTable2[[#This Row],[Numeric Grade]],  " ")</f>
        <v>42</v>
      </c>
      <c r="I38" s="45">
        <v>3</v>
      </c>
    </row>
    <row r="39" spans="2:9" ht="18" customHeight="1" x14ac:dyDescent="0.15">
      <c r="B39" s="46" t="s">
        <v>19</v>
      </c>
      <c r="C39" s="109">
        <v>50</v>
      </c>
      <c r="D39" s="47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Passed</v>
      </c>
      <c r="E39" s="47">
        <f>IF(ISNUMBER(MainTable2[[#This Row],[Enter Percentage Grade]]), VLOOKUP(MainTable2[[#This Row],[Enter Percentage Grade]],GradeTable10[],3,TRUE)," ")</f>
        <v>1</v>
      </c>
      <c r="F39" s="48" t="str">
        <f>IF(ISNUMBER(MainTable2[[#This Row],[Enter Percentage Grade]]), VLOOKUP(MainTable2[[#This Row],[Enter Percentage Grade]],GradeTable10[],2,TRUE), " ")</f>
        <v>D</v>
      </c>
      <c r="G39" s="48">
        <f t="shared" si="1"/>
        <v>45</v>
      </c>
      <c r="H39" s="48">
        <f>IF(ISNUMBER(MainTable2[[#This Row],[Enter Percentage Grade]]),  MainTable2[[#This Row],[Credit Hours]]*MainTable2[[#This Row],[Numeric Grade]],  " ")</f>
        <v>45</v>
      </c>
      <c r="I39" s="48">
        <v>4</v>
      </c>
    </row>
    <row r="40" spans="2:9" ht="18" customHeight="1" x14ac:dyDescent="0.15">
      <c r="B40" s="46" t="s">
        <v>20</v>
      </c>
      <c r="C40" s="109">
        <v>62.5</v>
      </c>
      <c r="D40" s="47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Passed</v>
      </c>
      <c r="E40" s="47">
        <f>IF(ISNUMBER(MainTable2[[#This Row],[Enter Percentage Grade]]), VLOOKUP(MainTable2[[#This Row],[Enter Percentage Grade]],GradeTable10[],3,TRUE)," ")</f>
        <v>2</v>
      </c>
      <c r="F40" s="48" t="str">
        <f>IF(ISNUMBER(MainTable2[[#This Row],[Enter Percentage Grade]]), VLOOKUP(MainTable2[[#This Row],[Enter Percentage Grade]],GradeTable10[],2,TRUE), " ")</f>
        <v>C</v>
      </c>
      <c r="G40" s="48">
        <f t="shared" si="1"/>
        <v>45</v>
      </c>
      <c r="H40" s="48">
        <f>IF(ISNUMBER(MainTable2[[#This Row],[Enter Percentage Grade]]),  MainTable2[[#This Row],[Credit Hours]]*MainTable2[[#This Row],[Numeric Grade]],  " ")</f>
        <v>90</v>
      </c>
      <c r="I40" s="48">
        <v>4</v>
      </c>
    </row>
    <row r="41" spans="2:9" ht="18" customHeight="1" x14ac:dyDescent="0.15">
      <c r="B41" s="46" t="s">
        <v>21</v>
      </c>
      <c r="C41" s="109">
        <v>20.3</v>
      </c>
      <c r="D41" s="47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Failed</v>
      </c>
      <c r="E41" s="47">
        <f>IF(ISNUMBER(MainTable2[[#This Row],[Enter Percentage Grade]]), VLOOKUP(MainTable2[[#This Row],[Enter Percentage Grade]],GradeTable10[],3,TRUE)," ")</f>
        <v>0</v>
      </c>
      <c r="F41" s="48" t="str">
        <f>IF(ISNUMBER(MainTable2[[#This Row],[Enter Percentage Grade]]), VLOOKUP(MainTable2[[#This Row],[Enter Percentage Grade]],GradeTable10[],2,TRUE), " ")</f>
        <v>F</v>
      </c>
      <c r="G41" s="48">
        <f t="shared" si="1"/>
        <v>45</v>
      </c>
      <c r="H41" s="48">
        <f>IF(ISNUMBER(MainTable2[[#This Row],[Enter Percentage Grade]]),  MainTable2[[#This Row],[Credit Hours]]*MainTable2[[#This Row],[Numeric Grade]],  " ")</f>
        <v>0</v>
      </c>
      <c r="I41" s="48">
        <v>4</v>
      </c>
    </row>
    <row r="42" spans="2:9" ht="18" customHeight="1" x14ac:dyDescent="0.15">
      <c r="B42" s="46" t="s">
        <v>22</v>
      </c>
      <c r="C42" s="109">
        <v>100</v>
      </c>
      <c r="D42" s="47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Passed</v>
      </c>
      <c r="E42" s="47">
        <f>IF(ISNUMBER(MainTable2[[#This Row],[Enter Percentage Grade]]), VLOOKUP(MainTable2[[#This Row],[Enter Percentage Grade]],GradeTable10[],3,TRUE)," ")</f>
        <v>4</v>
      </c>
      <c r="F42" s="48" t="str">
        <f>IF(ISNUMBER(MainTable2[[#This Row],[Enter Percentage Grade]]), VLOOKUP(MainTable2[[#This Row],[Enter Percentage Grade]],GradeTable10[],2,TRUE), " ")</f>
        <v>A</v>
      </c>
      <c r="G42" s="48">
        <f t="shared" si="1"/>
        <v>45</v>
      </c>
      <c r="H42" s="48">
        <f>IF(ISNUMBER(MainTable2[[#This Row],[Enter Percentage Grade]]),  MainTable2[[#This Row],[Credit Hours]]*MainTable2[[#This Row],[Numeric Grade]],  " ")</f>
        <v>180</v>
      </c>
      <c r="I42" s="48">
        <v>4</v>
      </c>
    </row>
    <row r="43" spans="2:9" ht="18" customHeight="1" x14ac:dyDescent="0.15">
      <c r="B43" s="46" t="s">
        <v>23</v>
      </c>
      <c r="C43" s="113"/>
      <c r="D43" s="47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Required</v>
      </c>
      <c r="E43" s="47" t="str">
        <f>IF(ISNUMBER(MainTable2[[#This Row],[Enter Percentage Grade]]), VLOOKUP(MainTable2[[#This Row],[Enter Percentage Grade]],GradeTable10[],3,TRUE)," ")</f>
        <v xml:space="preserve"> </v>
      </c>
      <c r="F43" s="48" t="str">
        <f>IF(ISNUMBER(MainTable2[[#This Row],[Enter Percentage Grade]]), VLOOKUP(MainTable2[[#This Row],[Enter Percentage Grade]],GradeTable10[],2,TRUE), " ")</f>
        <v xml:space="preserve"> </v>
      </c>
      <c r="G43" s="48">
        <f t="shared" si="1"/>
        <v>45</v>
      </c>
      <c r="H43" s="48" t="str">
        <f>IF(ISNUMBER(MainTable2[[#This Row],[Enter Percentage Grade]]),  MainTable2[[#This Row],[Credit Hours]]*MainTable2[[#This Row],[Numeric Grade]],  " ")</f>
        <v xml:space="preserve"> </v>
      </c>
      <c r="I43" s="48">
        <v>4</v>
      </c>
    </row>
    <row r="44" spans="2:9" ht="18" customHeight="1" x14ac:dyDescent="0.15">
      <c r="B44" s="46" t="s">
        <v>24</v>
      </c>
      <c r="C44" s="113"/>
      <c r="D44" s="47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Required</v>
      </c>
      <c r="E44" s="47" t="str">
        <f>IF(ISNUMBER(MainTable2[[#This Row],[Enter Percentage Grade]]), VLOOKUP(MainTable2[[#This Row],[Enter Percentage Grade]],GradeTable10[],3,TRUE)," ")</f>
        <v xml:space="preserve"> </v>
      </c>
      <c r="F44" s="48" t="str">
        <f>IF(ISNUMBER(MainTable2[[#This Row],[Enter Percentage Grade]]), VLOOKUP(MainTable2[[#This Row],[Enter Percentage Grade]],GradeTable10[],2,TRUE), " ")</f>
        <v xml:space="preserve"> </v>
      </c>
      <c r="G44" s="48">
        <f>10 * 15</f>
        <v>150</v>
      </c>
      <c r="H44" s="48" t="str">
        <f>IF(ISNUMBER(MainTable2[[#This Row],[Enter Percentage Grade]]),  MainTable2[[#This Row],[Credit Hours]]*MainTable2[[#This Row],[Numeric Grade]],  " ")</f>
        <v xml:space="preserve"> </v>
      </c>
      <c r="I44" s="48">
        <v>4</v>
      </c>
    </row>
    <row r="45" spans="2:9" ht="18" customHeight="1" thickBot="1" x14ac:dyDescent="0.2">
      <c r="B45" s="46" t="s">
        <v>25</v>
      </c>
      <c r="C45" s="114"/>
      <c r="D45" s="47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Required</v>
      </c>
      <c r="E45" s="47" t="str">
        <f>IF(ISNUMBER(MainTable2[[#This Row],[Enter Percentage Grade]]), VLOOKUP(MainTable2[[#This Row],[Enter Percentage Grade]],GradeTable10[],3,TRUE)," ")</f>
        <v xml:space="preserve"> </v>
      </c>
      <c r="F45" s="48" t="str">
        <f>IF(ISNUMBER(MainTable2[[#This Row],[Enter Percentage Grade]]), VLOOKUP(MainTable2[[#This Row],[Enter Percentage Grade]],GradeTable10[],2,TRUE), " ")</f>
        <v xml:space="preserve"> </v>
      </c>
      <c r="G45" s="48">
        <f t="shared" si="1"/>
        <v>45</v>
      </c>
      <c r="H45" s="48" t="str">
        <f>IF(ISNUMBER(MainTable2[[#This Row],[Enter Percentage Grade]]),  MainTable2[[#This Row],[Credit Hours]]*MainTable2[[#This Row],[Numeric Grade]],  " ")</f>
        <v xml:space="preserve"> </v>
      </c>
      <c r="I45" s="48">
        <v>4</v>
      </c>
    </row>
    <row r="46" spans="2:9" ht="19" customHeight="1" x14ac:dyDescent="0.15">
      <c r="B46" s="49" t="s">
        <v>50</v>
      </c>
      <c r="C46" s="50">
        <f>SUBTOTAL(101,MainTable2[Enter Percentage Grade])</f>
        <v>65.75833333333334</v>
      </c>
      <c r="D46" s="50"/>
      <c r="E46" s="51">
        <f>MainTable2[[#Totals],[Quality Points]] / MainTable2[[#Totals],[Credit Hours]]</f>
        <v>1.7607223476297968</v>
      </c>
      <c r="F46" s="52"/>
      <c r="G46" s="52">
        <f>SUBTOTAL(109,MainTable2[Credit Hours])</f>
        <v>1329</v>
      </c>
      <c r="H46" s="52">
        <f>SUBTOTAL(109,MainTable2[Quality Points])</f>
        <v>2340</v>
      </c>
      <c r="I46" s="52"/>
    </row>
  </sheetData>
  <mergeCells count="2">
    <mergeCell ref="B7:C7"/>
    <mergeCell ref="B9:C9"/>
  </mergeCells>
  <conditionalFormatting sqref="D19:D45">
    <cfRule type="containsText" dxfId="43" priority="5" operator="containsText" text="Passed">
      <formula>NOT(ISERROR(SEARCH("Passed",D19)))</formula>
    </cfRule>
    <cfRule type="containsText" dxfId="42" priority="6" operator="containsText" text="Fail">
      <formula>NOT(ISERROR(SEARCH("Fail",D19)))</formula>
    </cfRule>
  </conditionalFormatting>
  <conditionalFormatting sqref="D7">
    <cfRule type="dataBar" priority="4">
      <dataBar>
        <cfvo type="num" val="-2"/>
        <cfvo type="num" val="0"/>
        <color theme="6"/>
      </dataBar>
      <extLst>
        <ext xmlns:x14="http://schemas.microsoft.com/office/spreadsheetml/2009/9/main" uri="{B025F937-C7B1-47D3-B67F-A62EFF666E3E}">
          <x14:id>{01E1B179-ECD6-A845-9569-DAB1A9DA0764}</x14:id>
        </ext>
      </extLst>
    </cfRule>
  </conditionalFormatting>
  <conditionalFormatting sqref="D9">
    <cfRule type="dataBar" priority="2">
      <dataBar>
        <cfvo type="num" val="0"/>
        <cfvo type="num" val="1360"/>
        <color theme="8"/>
      </dataBar>
      <extLst>
        <ext xmlns:x14="http://schemas.microsoft.com/office/spreadsheetml/2009/9/main" uri="{B025F937-C7B1-47D3-B67F-A62EFF666E3E}">
          <x14:id>{332A7737-6901-4F45-AE74-338DFC0FFB85}</x14:id>
        </ext>
      </extLst>
    </cfRule>
  </conditionalFormatting>
  <pageMargins left="0.7" right="0.7" top="0.75" bottom="0.75" header="0.3" footer="0.3"/>
  <pageSetup orientation="portrait" horizontalDpi="0" verticalDpi="0"/>
  <ignoredErrors>
    <ignoredError sqref="B7:I8 E19:H30 E40:H43 E31:F38 H31:H38 E45:H45 E44:F44 H44 B15:I15 B13:D13 E13:I13 B14:C14 E14:I14 B10:I12 B9:E9 F9:I9 E39:H39 D19:D45" unlockedFormula="1"/>
    <ignoredError sqref="G31:G38 G44 D14" unlockedFormula="1" calculatedColumn="1"/>
  </ignoredErrors>
  <drawing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E1B179-ECD6-A845-9569-DAB1A9DA0764}">
            <x14:dataBar minLength="0" maxLength="100" axisPosition="none">
              <x14:cfvo type="num">
                <xm:f>-2</xm:f>
              </x14:cfvo>
              <x14:cfvo type="num">
                <xm:f>0</xm:f>
              </x14:cfvo>
              <x14:negativeFillColor theme="5"/>
            </x14:dataBar>
          </x14:cfRule>
          <xm:sqref>D7</xm:sqref>
        </x14:conditionalFormatting>
        <x14:conditionalFormatting xmlns:xm="http://schemas.microsoft.com/office/excel/2006/main">
          <x14:cfRule type="dataBar" id="{332A7737-6901-4F45-AE74-338DFC0FFB85}">
            <x14:dataBar minLength="0" maxLength="100" direction="leftToRight">
              <x14:cfvo type="num">
                <xm:f>0</xm:f>
              </x14:cfvo>
              <x14:cfvo type="num">
                <xm:f>1360</xm:f>
              </x14:cfvo>
              <x14:negativeFillColor theme="0"/>
              <x14:axisColor rgb="FF000000"/>
            </x14:dataBar>
          </x14:cfRule>
          <xm:sqref>D9</xm:sqref>
        </x14:conditionalFormatting>
        <x14:conditionalFormatting xmlns:xm="http://schemas.microsoft.com/office/excel/2006/main">
          <x14:cfRule type="iconSet" priority="8" id="{F221B723-B491-C64B-BE86-E19D1471937D}">
            <x14:iconSet iconSet="3Symbols" custom="1">
              <x14:cfvo type="percent">
                <xm:f>0</xm:f>
              </x14:cfvo>
              <x14:cfvo type="num">
                <xm:f>50</xm:f>
              </x14:cfvo>
              <x14:cfvo type="num">
                <xm:f>70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C43:C45</xm:sqref>
        </x14:conditionalFormatting>
        <x14:conditionalFormatting xmlns:xm="http://schemas.microsoft.com/office/excel/2006/main">
          <x14:cfRule type="iconSet" priority="3" id="{09DCB1D2-04AD-184C-8838-064FDA6E7D80}">
            <x14:iconSet iconSet="3Flags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Flags" iconId="0"/>
              <x14:cfIcon iconSet="3Flags" iconId="0"/>
              <x14:cfIcon iconSet="3Flags" iconId="2"/>
            </x14:iconSet>
          </x14:cfRule>
          <xm:sqref>D7</xm:sqref>
        </x14:conditionalFormatting>
        <x14:conditionalFormatting xmlns:xm="http://schemas.microsoft.com/office/excel/2006/main">
          <x14:cfRule type="iconSet" priority="1" id="{6ED90379-D60F-A543-A8B4-90DEF0222BDB}">
            <x14:iconSet iconSet="3Symbols" custom="1">
              <x14:cfvo type="percent">
                <xm:f>0</xm:f>
              </x14:cfvo>
              <x14:cfvo type="num">
                <xm:f>50</xm:f>
              </x14:cfvo>
              <x14:cfvo type="num">
                <xm:f>70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C19:C42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Planner</vt:lpstr>
      <vt:lpstr>ListMethod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 (Byounghyun Oh)</dc:creator>
  <cp:lastModifiedBy>Microsoft Office User</cp:lastModifiedBy>
  <dcterms:created xsi:type="dcterms:W3CDTF">2014-09-11T17:19:09Z</dcterms:created>
  <dcterms:modified xsi:type="dcterms:W3CDTF">2019-01-11T19:07:21Z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TF10000010</vt:lpwstr>
  </property>
</Properties>
</file>