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app.xml" ContentType="application/vnd.openxmlformats-officedocument.extended-properties+xml"/>
  <Override PartName="/docProps/custom.xml" ContentType="application/vnd.openxmlformats-officedocument.custom-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autoCompressPictures="0"/>
  <mc:AlternateContent xmlns:mc="http://schemas.openxmlformats.org/markup-compatibility/2006">
    <mc:Choice Requires="x15">
      <x15ac:absPath xmlns:x15ac="http://schemas.microsoft.com/office/spreadsheetml/2010/11/ac" url="M:\Communications\Digital and Creative\Tickets\Online publishing\PJ230, 231, 233\Prepared for Upload\"/>
    </mc:Choice>
  </mc:AlternateContent>
  <xr:revisionPtr revIDLastSave="0" documentId="13_ncr:1_{A8AC7E13-0422-41B9-8BB5-DDBD710ECED4}" xr6:coauthVersionLast="45" xr6:coauthVersionMax="45" xr10:uidLastSave="{00000000-0000-0000-0000-000000000000}"/>
  <workbookProtection workbookAlgorithmName="SHA-256" workbookHashValue="TNWRivq1mFv7hZ8csdKvZW0lselRPmyjyJ8UrYop4FQ=" workbookSaltValue="D2J2NhAUHBKm0esbS++YtQ==" workbookSpinCount="100000" lockStructure="1"/>
  <bookViews>
    <workbookView xWindow="19090" yWindow="740" windowWidth="22780" windowHeight="14660" tabRatio="724" xr2:uid="{00000000-000D-0000-FFFF-FFFF00000000}"/>
  </bookViews>
  <sheets>
    <sheet name="Start page" sheetId="25" r:id="rId1"/>
    <sheet name="Facility 1" sheetId="1" r:id="rId2"/>
    <sheet name="Facility 2" sheetId="33" r:id="rId3"/>
    <sheet name="Facility 3" sheetId="34" r:id="rId4"/>
    <sheet name="Facility 4" sheetId="35" r:id="rId5"/>
    <sheet name="Facility 5" sheetId="36" r:id="rId6"/>
    <sheet name="Facility 6" sheetId="37" r:id="rId7"/>
    <sheet name="Output" sheetId="12" r:id="rId8"/>
    <sheet name="Example" sheetId="13" r:id="rId9"/>
    <sheet name=" Convert &amp; Lookup" sheetId="14" r:id="rId10"/>
    <sheet name="Calculation engine" sheetId="27" state="veryHidden" r:id="rId11"/>
    <sheet name="About" sheetId="26" r:id="rId12"/>
  </sheets>
  <definedNames>
    <definedName name="_xlnm._FilterDatabase" localSheetId="8" hidden="1">Example!$AE$7:$AJ$7</definedName>
    <definedName name="_xlnm.Print_Area" localSheetId="8">Example!$B$6:$N$50</definedName>
    <definedName name="_xlnm.Print_Area" localSheetId="1">'Facility 1'!$B$6:$N$50</definedName>
    <definedName name="_xlnm.Print_Area" localSheetId="2">'Facility 2'!$B$6:$N$50</definedName>
    <definedName name="_xlnm.Print_Area" localSheetId="3">'Facility 3'!$B$6:$N$50</definedName>
    <definedName name="_xlnm.Print_Area" localSheetId="4">'Facility 4'!$B$6:$N$50</definedName>
    <definedName name="_xlnm.Print_Area" localSheetId="5">'Facility 5'!$B$6:$N$50</definedName>
    <definedName name="_xlnm.Print_Area" localSheetId="6">'Facility 6'!$B$6:$N$50</definedName>
    <definedName name="_xlnm.Print_Area" localSheetId="7">Output!#REF!</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0" i="12" l="1"/>
  <c r="N9" i="12"/>
  <c r="N8" i="12"/>
  <c r="N7" i="12"/>
  <c r="N6" i="12"/>
  <c r="N57" i="37"/>
  <c r="M57" i="37"/>
  <c r="M56" i="37"/>
  <c r="M58" i="37" s="1"/>
  <c r="T50" i="37"/>
  <c r="N50" i="37" s="1"/>
  <c r="M50" i="37"/>
  <c r="G50" i="37"/>
  <c r="T49" i="37"/>
  <c r="N49" i="37" s="1"/>
  <c r="G49" i="37"/>
  <c r="T48" i="37"/>
  <c r="N48" i="37" s="1"/>
  <c r="M48" i="37"/>
  <c r="G48" i="37"/>
  <c r="T42" i="37"/>
  <c r="N42" i="37" s="1"/>
  <c r="M42" i="37"/>
  <c r="G42" i="37"/>
  <c r="T41" i="37"/>
  <c r="N41" i="37" s="1"/>
  <c r="G41" i="37"/>
  <c r="T40" i="37"/>
  <c r="N40" i="37" s="1"/>
  <c r="M40" i="37"/>
  <c r="G40" i="37"/>
  <c r="Q35" i="37"/>
  <c r="N34" i="37" s="1"/>
  <c r="Q34" i="37"/>
  <c r="N33" i="37" s="1"/>
  <c r="J34" i="37"/>
  <c r="I34" i="37"/>
  <c r="M34" i="37" s="1"/>
  <c r="J33" i="37"/>
  <c r="I33" i="37"/>
  <c r="M33" i="37" s="1"/>
  <c r="T27" i="37"/>
  <c r="N27" i="37" s="1"/>
  <c r="S27" i="37"/>
  <c r="R27" i="37"/>
  <c r="Q27" i="37"/>
  <c r="G27" i="37"/>
  <c r="T26" i="37"/>
  <c r="N26" i="37" s="1"/>
  <c r="S26" i="37"/>
  <c r="R26" i="37"/>
  <c r="Q26" i="37"/>
  <c r="G26" i="37"/>
  <c r="T25" i="37"/>
  <c r="N25" i="37" s="1"/>
  <c r="K25" i="37" s="1"/>
  <c r="S25" i="37"/>
  <c r="R25" i="37"/>
  <c r="Q25" i="37"/>
  <c r="G25" i="37"/>
  <c r="T24" i="37"/>
  <c r="N24" i="37" s="1"/>
  <c r="J24" i="37" s="1"/>
  <c r="S24" i="37"/>
  <c r="R24" i="37"/>
  <c r="Q24" i="37"/>
  <c r="G24" i="37"/>
  <c r="T23" i="37"/>
  <c r="S23" i="37"/>
  <c r="K23" i="37" s="1"/>
  <c r="R23" i="37"/>
  <c r="Q23" i="37"/>
  <c r="N23" i="37"/>
  <c r="G23" i="37"/>
  <c r="T22" i="37"/>
  <c r="N22" i="37" s="1"/>
  <c r="J22" i="37" s="1"/>
  <c r="S22" i="37"/>
  <c r="R22" i="37"/>
  <c r="Q22" i="37"/>
  <c r="G22" i="37"/>
  <c r="T21" i="37"/>
  <c r="N21" i="37" s="1"/>
  <c r="S21" i="37"/>
  <c r="R21" i="37"/>
  <c r="Q21" i="37"/>
  <c r="G21" i="37"/>
  <c r="T15" i="37"/>
  <c r="N15" i="37" s="1"/>
  <c r="S15" i="37"/>
  <c r="K15" i="37" s="1"/>
  <c r="R15" i="37"/>
  <c r="Q15" i="37"/>
  <c r="G15" i="37"/>
  <c r="T14" i="37"/>
  <c r="S14" i="37"/>
  <c r="R14" i="37"/>
  <c r="Q14" i="37"/>
  <c r="N14" i="37"/>
  <c r="I14" i="37" s="1"/>
  <c r="G14" i="37"/>
  <c r="T13" i="37"/>
  <c r="N13" i="37" s="1"/>
  <c r="S13" i="37"/>
  <c r="R13" i="37"/>
  <c r="Q13" i="37"/>
  <c r="G13" i="37"/>
  <c r="T12" i="37"/>
  <c r="N12" i="37" s="1"/>
  <c r="J12" i="37" s="1"/>
  <c r="S12" i="37"/>
  <c r="R12" i="37"/>
  <c r="Q12" i="37"/>
  <c r="G12" i="37"/>
  <c r="T11" i="37"/>
  <c r="N11" i="37" s="1"/>
  <c r="K11" i="37" s="1"/>
  <c r="S11" i="37"/>
  <c r="R11" i="37"/>
  <c r="Q11" i="37"/>
  <c r="G11" i="37"/>
  <c r="T10" i="37"/>
  <c r="N10" i="37" s="1"/>
  <c r="J10" i="37" s="1"/>
  <c r="S10" i="37"/>
  <c r="R10" i="37"/>
  <c r="Q10" i="37"/>
  <c r="G10" i="37"/>
  <c r="T9" i="37"/>
  <c r="N9" i="37" s="1"/>
  <c r="S9" i="37"/>
  <c r="R9" i="37"/>
  <c r="Q9" i="37"/>
  <c r="G9" i="37"/>
  <c r="N4" i="37"/>
  <c r="N3" i="37"/>
  <c r="N57" i="36"/>
  <c r="M57" i="36"/>
  <c r="M56" i="36"/>
  <c r="T50" i="36"/>
  <c r="N50" i="36" s="1"/>
  <c r="M50" i="36"/>
  <c r="G50" i="36"/>
  <c r="T49" i="36"/>
  <c r="N49" i="36" s="1"/>
  <c r="G49" i="36"/>
  <c r="T48" i="36"/>
  <c r="N48" i="36"/>
  <c r="M48" i="36"/>
  <c r="G48" i="36"/>
  <c r="T42" i="36"/>
  <c r="N42" i="36" s="1"/>
  <c r="M42" i="36"/>
  <c r="G42" i="36"/>
  <c r="T41" i="36"/>
  <c r="N41" i="36"/>
  <c r="G41" i="36"/>
  <c r="T40" i="36"/>
  <c r="N40" i="36" s="1"/>
  <c r="N43" i="36" s="1"/>
  <c r="M40" i="36"/>
  <c r="G40" i="36"/>
  <c r="Q35" i="36"/>
  <c r="N34" i="36" s="1"/>
  <c r="Q34" i="36"/>
  <c r="N33" i="36" s="1"/>
  <c r="J34" i="36"/>
  <c r="I34" i="36"/>
  <c r="M34" i="36" s="1"/>
  <c r="J33" i="36"/>
  <c r="I33" i="36"/>
  <c r="M33" i="36" s="1"/>
  <c r="T27" i="36"/>
  <c r="N27" i="36" s="1"/>
  <c r="J27" i="36" s="1"/>
  <c r="S27" i="36"/>
  <c r="R27" i="36"/>
  <c r="Q27" i="36"/>
  <c r="G27" i="36"/>
  <c r="T26" i="36"/>
  <c r="N26" i="36" s="1"/>
  <c r="S26" i="36"/>
  <c r="R26" i="36"/>
  <c r="Q26" i="36"/>
  <c r="G26" i="36"/>
  <c r="T25" i="36"/>
  <c r="N25" i="36" s="1"/>
  <c r="S25" i="36"/>
  <c r="R25" i="36"/>
  <c r="Q25" i="36"/>
  <c r="G25" i="36"/>
  <c r="T24" i="36"/>
  <c r="N24" i="36" s="1"/>
  <c r="S24" i="36"/>
  <c r="R24" i="36"/>
  <c r="Q24" i="36"/>
  <c r="G24" i="36"/>
  <c r="T23" i="36"/>
  <c r="N23" i="36" s="1"/>
  <c r="S23" i="36"/>
  <c r="R23" i="36"/>
  <c r="Q23" i="36"/>
  <c r="G23" i="36"/>
  <c r="T22" i="36"/>
  <c r="S22" i="36"/>
  <c r="R22" i="36"/>
  <c r="Q22" i="36"/>
  <c r="N22" i="36"/>
  <c r="K22" i="36"/>
  <c r="G22" i="36"/>
  <c r="T21" i="36"/>
  <c r="N21" i="36" s="1"/>
  <c r="S21" i="36"/>
  <c r="R21" i="36"/>
  <c r="Q21" i="36"/>
  <c r="G21" i="36"/>
  <c r="T15" i="36"/>
  <c r="N15" i="36" s="1"/>
  <c r="J15" i="36" s="1"/>
  <c r="S15" i="36"/>
  <c r="R15" i="36"/>
  <c r="Q15" i="36"/>
  <c r="G15" i="36"/>
  <c r="T14" i="36"/>
  <c r="N14" i="36" s="1"/>
  <c r="S14" i="36"/>
  <c r="R14" i="36"/>
  <c r="Q14" i="36"/>
  <c r="G14" i="36"/>
  <c r="T13" i="36"/>
  <c r="N13" i="36" s="1"/>
  <c r="S13" i="36"/>
  <c r="R13" i="36"/>
  <c r="Q13" i="36"/>
  <c r="G13" i="36"/>
  <c r="T12" i="36"/>
  <c r="N12" i="36" s="1"/>
  <c r="S12" i="36"/>
  <c r="R12" i="36"/>
  <c r="Q12" i="36"/>
  <c r="G12" i="36"/>
  <c r="T11" i="36"/>
  <c r="S11" i="36"/>
  <c r="R11" i="36"/>
  <c r="Q11" i="36"/>
  <c r="N11" i="36"/>
  <c r="J11" i="36" s="1"/>
  <c r="G11" i="36"/>
  <c r="T10" i="36"/>
  <c r="S10" i="36"/>
  <c r="R10" i="36"/>
  <c r="Q10" i="36"/>
  <c r="N10" i="36"/>
  <c r="K10" i="36"/>
  <c r="G10" i="36"/>
  <c r="T9" i="36"/>
  <c r="N9" i="36" s="1"/>
  <c r="S9" i="36"/>
  <c r="R9" i="36"/>
  <c r="Q9" i="36"/>
  <c r="G9" i="36"/>
  <c r="N4" i="36"/>
  <c r="N3" i="36"/>
  <c r="N57" i="35"/>
  <c r="M57" i="35"/>
  <c r="M56" i="35"/>
  <c r="T50" i="35"/>
  <c r="N50" i="35" s="1"/>
  <c r="M50" i="35"/>
  <c r="G50" i="35"/>
  <c r="T49" i="35"/>
  <c r="N49" i="35" s="1"/>
  <c r="G49" i="35"/>
  <c r="T48" i="35"/>
  <c r="N48" i="35" s="1"/>
  <c r="N51" i="35" s="1"/>
  <c r="D66" i="35" s="1"/>
  <c r="M48" i="35"/>
  <c r="G48" i="35"/>
  <c r="T42" i="35"/>
  <c r="N42" i="35" s="1"/>
  <c r="M42" i="35"/>
  <c r="G42" i="35"/>
  <c r="T41" i="35"/>
  <c r="N41" i="35" s="1"/>
  <c r="G41" i="35"/>
  <c r="T40" i="35"/>
  <c r="N40" i="35" s="1"/>
  <c r="N43" i="35" s="1"/>
  <c r="M40" i="35"/>
  <c r="G40" i="35"/>
  <c r="Q35" i="35"/>
  <c r="N34" i="35" s="1"/>
  <c r="Q34" i="35"/>
  <c r="N33" i="35" s="1"/>
  <c r="J34" i="35"/>
  <c r="I34" i="35"/>
  <c r="M34" i="35" s="1"/>
  <c r="J33" i="35"/>
  <c r="I33" i="35"/>
  <c r="M33" i="35" s="1"/>
  <c r="T27" i="35"/>
  <c r="S27" i="35"/>
  <c r="R27" i="35"/>
  <c r="Q27" i="35"/>
  <c r="I27" i="35" s="1"/>
  <c r="N27" i="35"/>
  <c r="K27" i="35"/>
  <c r="G27" i="35"/>
  <c r="T26" i="35"/>
  <c r="N26" i="35" s="1"/>
  <c r="J26" i="35" s="1"/>
  <c r="S26" i="35"/>
  <c r="R26" i="35"/>
  <c r="Q26" i="35"/>
  <c r="G26" i="35"/>
  <c r="T25" i="35"/>
  <c r="N25" i="35" s="1"/>
  <c r="S25" i="35"/>
  <c r="R25" i="35"/>
  <c r="Q25" i="35"/>
  <c r="G25" i="35"/>
  <c r="T24" i="35"/>
  <c r="N24" i="35" s="1"/>
  <c r="S24" i="35"/>
  <c r="R24" i="35"/>
  <c r="Q24" i="35"/>
  <c r="G24" i="35"/>
  <c r="T23" i="35"/>
  <c r="N23" i="35" s="1"/>
  <c r="K23" i="35" s="1"/>
  <c r="S23" i="35"/>
  <c r="R23" i="35"/>
  <c r="Q23" i="35"/>
  <c r="G23" i="35"/>
  <c r="T22" i="35"/>
  <c r="N22" i="35" s="1"/>
  <c r="J22" i="35" s="1"/>
  <c r="S22" i="35"/>
  <c r="R22" i="35"/>
  <c r="Q22" i="35"/>
  <c r="I22" i="35" s="1"/>
  <c r="G22" i="35"/>
  <c r="T21" i="35"/>
  <c r="S21" i="35"/>
  <c r="K21" i="35" s="1"/>
  <c r="R21" i="35"/>
  <c r="Q21" i="35"/>
  <c r="N21" i="35"/>
  <c r="G21" i="35"/>
  <c r="T15" i="35"/>
  <c r="S15" i="35"/>
  <c r="R15" i="35"/>
  <c r="Q15" i="35"/>
  <c r="N15" i="35"/>
  <c r="K15" i="35"/>
  <c r="G15" i="35"/>
  <c r="T14" i="35"/>
  <c r="S14" i="35"/>
  <c r="R14" i="35"/>
  <c r="Q14" i="35"/>
  <c r="N14" i="35"/>
  <c r="J14" i="35" s="1"/>
  <c r="G14" i="35"/>
  <c r="T13" i="35"/>
  <c r="N13" i="35" s="1"/>
  <c r="S13" i="35"/>
  <c r="R13" i="35"/>
  <c r="Q13" i="35"/>
  <c r="G13" i="35"/>
  <c r="T12" i="35"/>
  <c r="N12" i="35" s="1"/>
  <c r="S12" i="35"/>
  <c r="R12" i="35"/>
  <c r="Q12" i="35"/>
  <c r="G12" i="35"/>
  <c r="T11" i="35"/>
  <c r="N11" i="35" s="1"/>
  <c r="S11" i="35"/>
  <c r="R11" i="35"/>
  <c r="Q11" i="35"/>
  <c r="G11" i="35"/>
  <c r="T10" i="35"/>
  <c r="N10" i="35" s="1"/>
  <c r="J10" i="35" s="1"/>
  <c r="S10" i="35"/>
  <c r="R10" i="35"/>
  <c r="Q10" i="35"/>
  <c r="G10" i="35"/>
  <c r="T9" i="35"/>
  <c r="N9" i="35" s="1"/>
  <c r="S9" i="35"/>
  <c r="R9" i="35"/>
  <c r="Q9" i="35"/>
  <c r="G9" i="35"/>
  <c r="N4" i="35"/>
  <c r="N3" i="35"/>
  <c r="N57" i="34"/>
  <c r="M57" i="34"/>
  <c r="M56" i="34"/>
  <c r="M58" i="34" s="1"/>
  <c r="T50" i="34"/>
  <c r="N50" i="34" s="1"/>
  <c r="M50" i="34"/>
  <c r="G50" i="34"/>
  <c r="T49" i="34"/>
  <c r="N49" i="34" s="1"/>
  <c r="G49" i="34"/>
  <c r="T48" i="34"/>
  <c r="N48" i="34" s="1"/>
  <c r="M48" i="34"/>
  <c r="G48" i="34"/>
  <c r="T42" i="34"/>
  <c r="N42" i="34" s="1"/>
  <c r="M42" i="34"/>
  <c r="G42" i="34"/>
  <c r="T41" i="34"/>
  <c r="N41" i="34" s="1"/>
  <c r="G41" i="34"/>
  <c r="T40" i="34"/>
  <c r="N40" i="34" s="1"/>
  <c r="M40" i="34"/>
  <c r="G40" i="34"/>
  <c r="Q35" i="34"/>
  <c r="N34" i="34" s="1"/>
  <c r="Q34" i="34"/>
  <c r="N33" i="34" s="1"/>
  <c r="J34" i="34"/>
  <c r="I34" i="34"/>
  <c r="M34" i="34" s="1"/>
  <c r="J33" i="34"/>
  <c r="I33" i="34"/>
  <c r="M33" i="34" s="1"/>
  <c r="T27" i="34"/>
  <c r="N27" i="34" s="1"/>
  <c r="J27" i="34" s="1"/>
  <c r="S27" i="34"/>
  <c r="R27" i="34"/>
  <c r="Q27" i="34"/>
  <c r="G27" i="34"/>
  <c r="T26" i="34"/>
  <c r="N26" i="34" s="1"/>
  <c r="S26" i="34"/>
  <c r="R26" i="34"/>
  <c r="Q26" i="34"/>
  <c r="G26" i="34"/>
  <c r="T25" i="34"/>
  <c r="N25" i="34" s="1"/>
  <c r="S25" i="34"/>
  <c r="R25" i="34"/>
  <c r="Q25" i="34"/>
  <c r="G25" i="34"/>
  <c r="T24" i="34"/>
  <c r="N24" i="34" s="1"/>
  <c r="S24" i="34"/>
  <c r="R24" i="34"/>
  <c r="Q24" i="34"/>
  <c r="G24" i="34"/>
  <c r="T23" i="34"/>
  <c r="N23" i="34" s="1"/>
  <c r="S23" i="34"/>
  <c r="R23" i="34"/>
  <c r="Q23" i="34"/>
  <c r="G23" i="34"/>
  <c r="T22" i="34"/>
  <c r="N22" i="34" s="1"/>
  <c r="K22" i="34" s="1"/>
  <c r="S22" i="34"/>
  <c r="R22" i="34"/>
  <c r="J22" i="34" s="1"/>
  <c r="Q22" i="34"/>
  <c r="G22" i="34"/>
  <c r="T21" i="34"/>
  <c r="N21" i="34" s="1"/>
  <c r="S21" i="34"/>
  <c r="R21" i="34"/>
  <c r="Q21" i="34"/>
  <c r="I21" i="34" s="1"/>
  <c r="G21" i="34"/>
  <c r="T15" i="34"/>
  <c r="N15" i="34" s="1"/>
  <c r="S15" i="34"/>
  <c r="R15" i="34"/>
  <c r="Q15" i="34"/>
  <c r="G15" i="34"/>
  <c r="T14" i="34"/>
  <c r="N14" i="34" s="1"/>
  <c r="S14" i="34"/>
  <c r="R14" i="34"/>
  <c r="Q14" i="34"/>
  <c r="G14" i="34"/>
  <c r="T13" i="34"/>
  <c r="N13" i="34" s="1"/>
  <c r="S13" i="34"/>
  <c r="R13" i="34"/>
  <c r="Q13" i="34"/>
  <c r="G13" i="34"/>
  <c r="T12" i="34"/>
  <c r="N12" i="34" s="1"/>
  <c r="S12" i="34"/>
  <c r="R12" i="34"/>
  <c r="Q12" i="34"/>
  <c r="G12" i="34"/>
  <c r="T11" i="34"/>
  <c r="S11" i="34"/>
  <c r="R11" i="34"/>
  <c r="Q11" i="34"/>
  <c r="N11" i="34"/>
  <c r="G11" i="34"/>
  <c r="T10" i="34"/>
  <c r="N10" i="34" s="1"/>
  <c r="J10" i="34" s="1"/>
  <c r="S10" i="34"/>
  <c r="R10" i="34"/>
  <c r="Q10" i="34"/>
  <c r="I10" i="34" s="1"/>
  <c r="G10" i="34"/>
  <c r="T9" i="34"/>
  <c r="N9" i="34" s="1"/>
  <c r="S9" i="34"/>
  <c r="R9" i="34"/>
  <c r="Q9" i="34"/>
  <c r="G9" i="34"/>
  <c r="N4" i="34"/>
  <c r="N3" i="34"/>
  <c r="N57" i="33"/>
  <c r="M57" i="33"/>
  <c r="M56" i="33"/>
  <c r="T50" i="33"/>
  <c r="N50" i="33"/>
  <c r="M50" i="33"/>
  <c r="G50" i="33"/>
  <c r="T49" i="33"/>
  <c r="N49" i="33"/>
  <c r="G49" i="33"/>
  <c r="T48" i="33"/>
  <c r="N48" i="33" s="1"/>
  <c r="M48" i="33"/>
  <c r="G48" i="33"/>
  <c r="T42" i="33"/>
  <c r="N42" i="33"/>
  <c r="M42" i="33"/>
  <c r="G42" i="33"/>
  <c r="T41" i="33"/>
  <c r="N41" i="33" s="1"/>
  <c r="G41" i="33"/>
  <c r="T40" i="33"/>
  <c r="N40" i="33" s="1"/>
  <c r="M40" i="33"/>
  <c r="G40" i="33"/>
  <c r="Q35" i="33"/>
  <c r="N34" i="33" s="1"/>
  <c r="Q34" i="33"/>
  <c r="N33" i="33" s="1"/>
  <c r="J34" i="33"/>
  <c r="I34" i="33"/>
  <c r="M34" i="33" s="1"/>
  <c r="J33" i="33"/>
  <c r="I33" i="33"/>
  <c r="M33" i="33" s="1"/>
  <c r="T27" i="33"/>
  <c r="N27" i="33" s="1"/>
  <c r="S27" i="33"/>
  <c r="R27" i="33"/>
  <c r="Q27" i="33"/>
  <c r="G27" i="33"/>
  <c r="T26" i="33"/>
  <c r="N26" i="33" s="1"/>
  <c r="J26" i="33" s="1"/>
  <c r="S26" i="33"/>
  <c r="R26" i="33"/>
  <c r="Q26" i="33"/>
  <c r="G26" i="33"/>
  <c r="T25" i="33"/>
  <c r="N25" i="33" s="1"/>
  <c r="S25" i="33"/>
  <c r="R25" i="33"/>
  <c r="Q25" i="33"/>
  <c r="G25" i="33"/>
  <c r="T24" i="33"/>
  <c r="S24" i="33"/>
  <c r="R24" i="33"/>
  <c r="J24" i="33" s="1"/>
  <c r="Q24" i="33"/>
  <c r="N24" i="33"/>
  <c r="G24" i="33"/>
  <c r="T23" i="33"/>
  <c r="S23" i="33"/>
  <c r="R23" i="33"/>
  <c r="Q23" i="33"/>
  <c r="N23" i="33"/>
  <c r="J23" i="33" s="1"/>
  <c r="G23" i="33"/>
  <c r="T22" i="33"/>
  <c r="N22" i="33" s="1"/>
  <c r="K22" i="33" s="1"/>
  <c r="S22" i="33"/>
  <c r="R22" i="33"/>
  <c r="Q22" i="33"/>
  <c r="G22" i="33"/>
  <c r="T21" i="33"/>
  <c r="N21" i="33" s="1"/>
  <c r="S21" i="33"/>
  <c r="R21" i="33"/>
  <c r="Q21" i="33"/>
  <c r="G21" i="33"/>
  <c r="T15" i="33"/>
  <c r="S15" i="33"/>
  <c r="R15" i="33"/>
  <c r="Q15" i="33"/>
  <c r="N15" i="33"/>
  <c r="I15" i="33" s="1"/>
  <c r="G15" i="33"/>
  <c r="T14" i="33"/>
  <c r="N14" i="33" s="1"/>
  <c r="K14" i="33" s="1"/>
  <c r="S14" i="33"/>
  <c r="R14" i="33"/>
  <c r="Q14" i="33"/>
  <c r="G14" i="33"/>
  <c r="T13" i="33"/>
  <c r="N13" i="33" s="1"/>
  <c r="J13" i="33" s="1"/>
  <c r="S13" i="33"/>
  <c r="R13" i="33"/>
  <c r="Q13" i="33"/>
  <c r="G13" i="33"/>
  <c r="T12" i="33"/>
  <c r="N12" i="33" s="1"/>
  <c r="S12" i="33"/>
  <c r="K12" i="33" s="1"/>
  <c r="R12" i="33"/>
  <c r="Q12" i="33"/>
  <c r="G12" i="33"/>
  <c r="T11" i="33"/>
  <c r="N11" i="33" s="1"/>
  <c r="S11" i="33"/>
  <c r="R11" i="33"/>
  <c r="Q11" i="33"/>
  <c r="G11" i="33"/>
  <c r="T10" i="33"/>
  <c r="S10" i="33"/>
  <c r="K10" i="33" s="1"/>
  <c r="R10" i="33"/>
  <c r="J10" i="33" s="1"/>
  <c r="Q10" i="33"/>
  <c r="N10" i="33"/>
  <c r="G10" i="33"/>
  <c r="T9" i="33"/>
  <c r="S9" i="33"/>
  <c r="R9" i="33"/>
  <c r="Q9" i="33"/>
  <c r="I9" i="33" s="1"/>
  <c r="N9" i="33"/>
  <c r="G9" i="33"/>
  <c r="N4" i="33"/>
  <c r="N3" i="33"/>
  <c r="G49" i="1"/>
  <c r="G50" i="1"/>
  <c r="G48" i="1"/>
  <c r="G41" i="1"/>
  <c r="G42" i="1"/>
  <c r="G40" i="1"/>
  <c r="G22" i="1"/>
  <c r="G23" i="1"/>
  <c r="G24" i="1"/>
  <c r="G25" i="1"/>
  <c r="G26" i="1"/>
  <c r="G27" i="1"/>
  <c r="G21" i="1"/>
  <c r="G10" i="1"/>
  <c r="G11" i="1"/>
  <c r="G12" i="1"/>
  <c r="G13" i="1"/>
  <c r="G14" i="1"/>
  <c r="G15" i="1"/>
  <c r="G9" i="1"/>
  <c r="T49" i="1"/>
  <c r="T50" i="1"/>
  <c r="T48" i="1"/>
  <c r="T41" i="1"/>
  <c r="T42" i="1"/>
  <c r="T40" i="1"/>
  <c r="I34" i="1"/>
  <c r="I33" i="1"/>
  <c r="Q35" i="1"/>
  <c r="Q34" i="1"/>
  <c r="Q22" i="1"/>
  <c r="R22" i="1"/>
  <c r="S22" i="1"/>
  <c r="T22" i="1"/>
  <c r="Q23" i="1"/>
  <c r="R23" i="1"/>
  <c r="S23" i="1"/>
  <c r="T23" i="1"/>
  <c r="Q24" i="1"/>
  <c r="R24" i="1"/>
  <c r="S24" i="1"/>
  <c r="T24" i="1"/>
  <c r="Q25" i="1"/>
  <c r="R25" i="1"/>
  <c r="S25" i="1"/>
  <c r="T25" i="1"/>
  <c r="Q26" i="1"/>
  <c r="R26" i="1"/>
  <c r="S26" i="1"/>
  <c r="T26" i="1"/>
  <c r="Q27" i="1"/>
  <c r="R27" i="1"/>
  <c r="S27" i="1"/>
  <c r="T27" i="1"/>
  <c r="T21" i="1"/>
  <c r="S21" i="1"/>
  <c r="R21" i="1"/>
  <c r="Q21" i="1"/>
  <c r="Q10" i="1"/>
  <c r="R10" i="1"/>
  <c r="S10" i="1"/>
  <c r="T10" i="1"/>
  <c r="Q11" i="1"/>
  <c r="R11" i="1"/>
  <c r="S11" i="1"/>
  <c r="T11" i="1"/>
  <c r="Q12" i="1"/>
  <c r="R12" i="1"/>
  <c r="S12" i="1"/>
  <c r="T12" i="1"/>
  <c r="Q13" i="1"/>
  <c r="R13" i="1"/>
  <c r="S13" i="1"/>
  <c r="T13" i="1"/>
  <c r="Q14" i="1"/>
  <c r="R14" i="1"/>
  <c r="S14" i="1"/>
  <c r="T14" i="1"/>
  <c r="Q15" i="1"/>
  <c r="R15" i="1"/>
  <c r="S15" i="1"/>
  <c r="T15" i="1"/>
  <c r="T9" i="1"/>
  <c r="S9" i="1"/>
  <c r="R9" i="1"/>
  <c r="Q9" i="1"/>
  <c r="T19" i="27"/>
  <c r="T18" i="27"/>
  <c r="T17" i="27"/>
  <c r="T16" i="27"/>
  <c r="T15" i="27"/>
  <c r="T14" i="27"/>
  <c r="T13" i="27"/>
  <c r="T12" i="27"/>
  <c r="T11" i="27"/>
  <c r="K9" i="34" l="1"/>
  <c r="K9" i="35"/>
  <c r="I9" i="35"/>
  <c r="J9" i="35"/>
  <c r="K15" i="34"/>
  <c r="I15" i="35"/>
  <c r="J21" i="35"/>
  <c r="M21" i="35" s="1"/>
  <c r="K22" i="35"/>
  <c r="M22" i="35" s="1"/>
  <c r="K25" i="35"/>
  <c r="J23" i="36"/>
  <c r="K26" i="36"/>
  <c r="K9" i="33"/>
  <c r="J12" i="34"/>
  <c r="I25" i="34"/>
  <c r="J12" i="35"/>
  <c r="J15" i="35"/>
  <c r="M15" i="35" s="1"/>
  <c r="K14" i="36"/>
  <c r="I11" i="33"/>
  <c r="J12" i="33"/>
  <c r="I26" i="33"/>
  <c r="J11" i="34"/>
  <c r="M27" i="35"/>
  <c r="I10" i="37"/>
  <c r="M10" i="37" s="1"/>
  <c r="I23" i="33"/>
  <c r="M23" i="33" s="1"/>
  <c r="I25" i="33"/>
  <c r="K11" i="34"/>
  <c r="J14" i="34"/>
  <c r="J21" i="34"/>
  <c r="I27" i="34"/>
  <c r="K11" i="35"/>
  <c r="J24" i="35"/>
  <c r="I26" i="35"/>
  <c r="J27" i="35"/>
  <c r="K12" i="36"/>
  <c r="I13" i="33"/>
  <c r="K24" i="33"/>
  <c r="K26" i="33"/>
  <c r="M58" i="33"/>
  <c r="J13" i="34"/>
  <c r="J13" i="36"/>
  <c r="I15" i="36"/>
  <c r="I21" i="36"/>
  <c r="J24" i="36"/>
  <c r="K10" i="37"/>
  <c r="I24" i="37"/>
  <c r="K26" i="34"/>
  <c r="K15" i="36"/>
  <c r="I11" i="36"/>
  <c r="K9" i="37"/>
  <c r="J11" i="33"/>
  <c r="K25" i="33"/>
  <c r="J9" i="34"/>
  <c r="K10" i="34"/>
  <c r="K27" i="34"/>
  <c r="M58" i="35"/>
  <c r="K24" i="36"/>
  <c r="M24" i="36" s="1"/>
  <c r="K13" i="37"/>
  <c r="K21" i="37"/>
  <c r="M35" i="34"/>
  <c r="G7" i="12" s="1"/>
  <c r="M35" i="36"/>
  <c r="G9" i="12" s="1"/>
  <c r="N35" i="34"/>
  <c r="K13" i="34"/>
  <c r="I12" i="34"/>
  <c r="M12" i="34" s="1"/>
  <c r="J15" i="34"/>
  <c r="J25" i="36"/>
  <c r="I25" i="36"/>
  <c r="N28" i="33"/>
  <c r="I21" i="33"/>
  <c r="J25" i="34"/>
  <c r="K13" i="35"/>
  <c r="I12" i="35"/>
  <c r="I27" i="37"/>
  <c r="I14" i="34"/>
  <c r="J14" i="33"/>
  <c r="J22" i="33"/>
  <c r="J27" i="33"/>
  <c r="I27" i="33"/>
  <c r="K27" i="37"/>
  <c r="M26" i="33"/>
  <c r="K25" i="36"/>
  <c r="I13" i="37"/>
  <c r="I24" i="33"/>
  <c r="M24" i="33" s="1"/>
  <c r="K27" i="33"/>
  <c r="K24" i="34"/>
  <c r="K25" i="34"/>
  <c r="J12" i="36"/>
  <c r="M12" i="36" s="1"/>
  <c r="J13" i="37"/>
  <c r="K14" i="37"/>
  <c r="J25" i="37"/>
  <c r="J24" i="34"/>
  <c r="I12" i="36"/>
  <c r="I25" i="37"/>
  <c r="J15" i="33"/>
  <c r="M15" i="33" s="1"/>
  <c r="I22" i="33"/>
  <c r="I25" i="35"/>
  <c r="I10" i="36"/>
  <c r="I22" i="36"/>
  <c r="I23" i="37"/>
  <c r="M23" i="37" s="1"/>
  <c r="N35" i="33"/>
  <c r="K23" i="33"/>
  <c r="I13" i="35"/>
  <c r="M13" i="35" s="1"/>
  <c r="J25" i="35"/>
  <c r="M25" i="35" s="1"/>
  <c r="K26" i="35"/>
  <c r="J10" i="36"/>
  <c r="K11" i="36"/>
  <c r="J22" i="36"/>
  <c r="I11" i="37"/>
  <c r="J23" i="37"/>
  <c r="K24" i="37"/>
  <c r="M24" i="37" s="1"/>
  <c r="N43" i="37"/>
  <c r="J13" i="35"/>
  <c r="N16" i="33"/>
  <c r="I12" i="33"/>
  <c r="M12" i="33" s="1"/>
  <c r="K15" i="33"/>
  <c r="I13" i="34"/>
  <c r="I11" i="35"/>
  <c r="I23" i="35"/>
  <c r="M23" i="35" s="1"/>
  <c r="L66" i="35"/>
  <c r="M19" i="12" s="1"/>
  <c r="I14" i="36"/>
  <c r="K21" i="36"/>
  <c r="I26" i="36"/>
  <c r="M26" i="36" s="1"/>
  <c r="M58" i="36"/>
  <c r="I9" i="37"/>
  <c r="I21" i="37"/>
  <c r="K21" i="33"/>
  <c r="N43" i="33"/>
  <c r="I15" i="34"/>
  <c r="I22" i="34"/>
  <c r="M22" i="34" s="1"/>
  <c r="J11" i="37"/>
  <c r="M11" i="37" s="1"/>
  <c r="I10" i="33"/>
  <c r="M10" i="33" s="1"/>
  <c r="K13" i="33"/>
  <c r="M13" i="33" s="1"/>
  <c r="I11" i="34"/>
  <c r="M11" i="34" s="1"/>
  <c r="K14" i="34"/>
  <c r="M14" i="34" s="1"/>
  <c r="K21" i="34"/>
  <c r="M21" i="34" s="1"/>
  <c r="I26" i="34"/>
  <c r="J11" i="35"/>
  <c r="M11" i="35" s="1"/>
  <c r="K12" i="35"/>
  <c r="J23" i="35"/>
  <c r="J14" i="36"/>
  <c r="J26" i="36"/>
  <c r="N35" i="36"/>
  <c r="J9" i="37"/>
  <c r="J14" i="37"/>
  <c r="M14" i="37" s="1"/>
  <c r="I15" i="37"/>
  <c r="J21" i="37"/>
  <c r="M21" i="37" s="1"/>
  <c r="I14" i="33"/>
  <c r="K11" i="33"/>
  <c r="M11" i="33" s="1"/>
  <c r="J25" i="33"/>
  <c r="M25" i="33" s="1"/>
  <c r="I9" i="34"/>
  <c r="M9" i="34" s="1"/>
  <c r="K12" i="34"/>
  <c r="I24" i="34"/>
  <c r="J26" i="34"/>
  <c r="M26" i="34" s="1"/>
  <c r="I21" i="35"/>
  <c r="I24" i="36"/>
  <c r="J15" i="37"/>
  <c r="J27" i="37"/>
  <c r="M27" i="37" s="1"/>
  <c r="N51" i="37"/>
  <c r="D66" i="37" s="1"/>
  <c r="L66" i="37" s="1"/>
  <c r="M21" i="12" s="1"/>
  <c r="N51" i="36"/>
  <c r="D66" i="36" s="1"/>
  <c r="M8" i="12"/>
  <c r="N51" i="33"/>
  <c r="D66" i="33" s="1"/>
  <c r="M27" i="33"/>
  <c r="M10" i="34"/>
  <c r="J23" i="34"/>
  <c r="I23" i="34"/>
  <c r="M35" i="33"/>
  <c r="N51" i="34"/>
  <c r="D66" i="34" s="1"/>
  <c r="N35" i="35"/>
  <c r="N16" i="36"/>
  <c r="J9" i="36"/>
  <c r="K26" i="37"/>
  <c r="J26" i="37"/>
  <c r="N35" i="37"/>
  <c r="N16" i="34"/>
  <c r="N43" i="34"/>
  <c r="N28" i="35"/>
  <c r="N28" i="36"/>
  <c r="J21" i="36"/>
  <c r="M21" i="36" s="1"/>
  <c r="N28" i="37"/>
  <c r="J9" i="33"/>
  <c r="M9" i="33" s="1"/>
  <c r="J21" i="33"/>
  <c r="N28" i="34"/>
  <c r="I10" i="35"/>
  <c r="M10" i="35" s="1"/>
  <c r="K10" i="35"/>
  <c r="I14" i="35"/>
  <c r="K14" i="35"/>
  <c r="I24" i="35"/>
  <c r="K24" i="35"/>
  <c r="M35" i="35"/>
  <c r="I23" i="36"/>
  <c r="M23" i="36" s="1"/>
  <c r="K23" i="36"/>
  <c r="I27" i="36"/>
  <c r="K27" i="36"/>
  <c r="N16" i="37"/>
  <c r="M35" i="37"/>
  <c r="K23" i="34"/>
  <c r="N16" i="35"/>
  <c r="I9" i="36"/>
  <c r="K9" i="36"/>
  <c r="I13" i="36"/>
  <c r="K13" i="36"/>
  <c r="I12" i="37"/>
  <c r="K12" i="37"/>
  <c r="I22" i="37"/>
  <c r="K22" i="37"/>
  <c r="I26" i="37"/>
  <c r="M26" i="37" s="1"/>
  <c r="N57" i="13"/>
  <c r="M57" i="13"/>
  <c r="M56" i="13"/>
  <c r="N57" i="1"/>
  <c r="M57" i="1"/>
  <c r="M56" i="1"/>
  <c r="M22" i="37" l="1"/>
  <c r="M13" i="34"/>
  <c r="M27" i="34"/>
  <c r="M11" i="36"/>
  <c r="M22" i="36"/>
  <c r="M9" i="35"/>
  <c r="F74" i="35"/>
  <c r="M15" i="37"/>
  <c r="M10" i="36"/>
  <c r="M25" i="37"/>
  <c r="M13" i="37"/>
  <c r="E75" i="35"/>
  <c r="M26" i="35"/>
  <c r="M15" i="36"/>
  <c r="D63" i="34"/>
  <c r="L63" i="34" s="1"/>
  <c r="G18" i="12" s="1"/>
  <c r="D63" i="36"/>
  <c r="L63" i="36" s="1"/>
  <c r="G20" i="12" s="1"/>
  <c r="D65" i="34"/>
  <c r="L7" i="12" s="1"/>
  <c r="D65" i="33"/>
  <c r="L65" i="33" s="1"/>
  <c r="D63" i="37"/>
  <c r="L63" i="37" s="1"/>
  <c r="G21" i="12" s="1"/>
  <c r="G10" i="12"/>
  <c r="M10" i="12"/>
  <c r="M15" i="34"/>
  <c r="M16" i="34" s="1"/>
  <c r="M14" i="36"/>
  <c r="M25" i="34"/>
  <c r="M25" i="36"/>
  <c r="M22" i="33"/>
  <c r="M12" i="35"/>
  <c r="M58" i="13"/>
  <c r="D63" i="35"/>
  <c r="L63" i="35" s="1"/>
  <c r="G19" i="12" s="1"/>
  <c r="G8" i="12"/>
  <c r="M21" i="33"/>
  <c r="M28" i="33" s="1"/>
  <c r="M9" i="37"/>
  <c r="M16" i="37" s="1"/>
  <c r="D62" i="37" s="1"/>
  <c r="E10" i="12" s="1"/>
  <c r="M24" i="35"/>
  <c r="D63" i="33"/>
  <c r="L63" i="33" s="1"/>
  <c r="G17" i="12" s="1"/>
  <c r="G6" i="12"/>
  <c r="M14" i="33"/>
  <c r="M16" i="33" s="1"/>
  <c r="M24" i="34"/>
  <c r="E75" i="37"/>
  <c r="F74" i="37"/>
  <c r="L66" i="36"/>
  <c r="M9" i="12"/>
  <c r="L66" i="34"/>
  <c r="M18" i="12" s="1"/>
  <c r="M7" i="12"/>
  <c r="L66" i="33"/>
  <c r="M6" i="12"/>
  <c r="M28" i="35"/>
  <c r="M28" i="37"/>
  <c r="M12" i="37"/>
  <c r="D65" i="35"/>
  <c r="D65" i="37"/>
  <c r="M27" i="36"/>
  <c r="M14" i="35"/>
  <c r="M16" i="35" s="1"/>
  <c r="M23" i="34"/>
  <c r="M13" i="36"/>
  <c r="M9" i="36"/>
  <c r="D65" i="36"/>
  <c r="M58" i="1"/>
  <c r="N4" i="1"/>
  <c r="N5" i="12"/>
  <c r="C27" i="14"/>
  <c r="D25" i="14"/>
  <c r="C31" i="14"/>
  <c r="C30" i="14"/>
  <c r="C29" i="14"/>
  <c r="C28" i="14"/>
  <c r="D27" i="14"/>
  <c r="D19" i="14"/>
  <c r="D11" i="14"/>
  <c r="H19" i="14"/>
  <c r="C19" i="14" s="1"/>
  <c r="C11" i="14"/>
  <c r="M28" i="34" l="1"/>
  <c r="M28" i="36"/>
  <c r="D62" i="33"/>
  <c r="E6" i="12" s="1"/>
  <c r="L65" i="34"/>
  <c r="L18" i="12" s="1"/>
  <c r="L17" i="12"/>
  <c r="F72" i="33"/>
  <c r="E73" i="33"/>
  <c r="L6" i="12"/>
  <c r="D62" i="34"/>
  <c r="E7" i="12" s="1"/>
  <c r="L65" i="36"/>
  <c r="L20" i="12" s="1"/>
  <c r="L9" i="12"/>
  <c r="L65" i="37"/>
  <c r="L21" i="12" s="1"/>
  <c r="L10" i="12"/>
  <c r="L65" i="35"/>
  <c r="L19" i="12" s="1"/>
  <c r="L8" i="12"/>
  <c r="E75" i="34"/>
  <c r="F74" i="34"/>
  <c r="M20" i="12"/>
  <c r="E75" i="36"/>
  <c r="F74" i="36"/>
  <c r="M17" i="12"/>
  <c r="F74" i="33"/>
  <c r="E75" i="33"/>
  <c r="D64" i="34"/>
  <c r="L64" i="34" s="1"/>
  <c r="L62" i="34"/>
  <c r="E18" i="12" s="1"/>
  <c r="L62" i="33"/>
  <c r="E17" i="12" s="1"/>
  <c r="D64" i="33"/>
  <c r="L64" i="33" s="1"/>
  <c r="L62" i="37"/>
  <c r="E21" i="12" s="1"/>
  <c r="D64" i="37"/>
  <c r="L64" i="37" s="1"/>
  <c r="D62" i="35"/>
  <c r="E8" i="12" s="1"/>
  <c r="M16" i="36"/>
  <c r="D62" i="36" s="1"/>
  <c r="E9" i="12" s="1"/>
  <c r="V50" i="13"/>
  <c r="N50" i="13" s="1"/>
  <c r="M50" i="13"/>
  <c r="G50" i="13"/>
  <c r="V49" i="13"/>
  <c r="N49" i="13" s="1"/>
  <c r="G49" i="13"/>
  <c r="V48" i="13"/>
  <c r="N48" i="13" s="1"/>
  <c r="M48" i="13"/>
  <c r="G48" i="13"/>
  <c r="V42" i="13"/>
  <c r="N42" i="13" s="1"/>
  <c r="M42" i="13"/>
  <c r="G42" i="13"/>
  <c r="V41" i="13"/>
  <c r="N41" i="13"/>
  <c r="G41" i="13"/>
  <c r="V40" i="13"/>
  <c r="N40" i="13" s="1"/>
  <c r="M40" i="13"/>
  <c r="G40" i="13"/>
  <c r="S35" i="13"/>
  <c r="N34" i="13" s="1"/>
  <c r="S34" i="13"/>
  <c r="N33" i="13" s="1"/>
  <c r="J34" i="13"/>
  <c r="I34" i="13"/>
  <c r="M34" i="13" s="1"/>
  <c r="J33" i="13"/>
  <c r="I33" i="13"/>
  <c r="M33" i="13" s="1"/>
  <c r="V27" i="13"/>
  <c r="N27" i="13" s="1"/>
  <c r="U27" i="13"/>
  <c r="T27" i="13"/>
  <c r="S27" i="13"/>
  <c r="G27" i="13"/>
  <c r="V26" i="13"/>
  <c r="N26" i="13" s="1"/>
  <c r="U26" i="13"/>
  <c r="T26" i="13"/>
  <c r="S26" i="13"/>
  <c r="G26" i="13"/>
  <c r="V25" i="13"/>
  <c r="N25" i="13" s="1"/>
  <c r="U25" i="13"/>
  <c r="T25" i="13"/>
  <c r="S25" i="13"/>
  <c r="G25" i="13"/>
  <c r="V24" i="13"/>
  <c r="N24" i="13" s="1"/>
  <c r="U24" i="13"/>
  <c r="T24" i="13"/>
  <c r="S24" i="13"/>
  <c r="G24" i="13"/>
  <c r="V23" i="13"/>
  <c r="N23" i="13" s="1"/>
  <c r="U23" i="13"/>
  <c r="T23" i="13"/>
  <c r="S23" i="13"/>
  <c r="G23" i="13"/>
  <c r="V22" i="13"/>
  <c r="N22" i="13" s="1"/>
  <c r="U22" i="13"/>
  <c r="T22" i="13"/>
  <c r="S22" i="13"/>
  <c r="G22" i="13"/>
  <c r="V21" i="13"/>
  <c r="N21" i="13" s="1"/>
  <c r="U21" i="13"/>
  <c r="T21" i="13"/>
  <c r="S21" i="13"/>
  <c r="G21" i="13"/>
  <c r="AP19" i="13"/>
  <c r="AP18" i="13"/>
  <c r="AP17" i="13"/>
  <c r="AP16" i="13"/>
  <c r="AP15" i="13"/>
  <c r="V15" i="13"/>
  <c r="N15" i="13" s="1"/>
  <c r="U15" i="13"/>
  <c r="T15" i="13"/>
  <c r="S15" i="13"/>
  <c r="G15" i="13"/>
  <c r="AP14" i="13"/>
  <c r="V14" i="13"/>
  <c r="N14" i="13" s="1"/>
  <c r="U14" i="13"/>
  <c r="T14" i="13"/>
  <c r="S14" i="13"/>
  <c r="G14" i="13"/>
  <c r="AP13" i="13"/>
  <c r="V13" i="13"/>
  <c r="N13" i="13" s="1"/>
  <c r="U13" i="13"/>
  <c r="T13" i="13"/>
  <c r="S13" i="13"/>
  <c r="G13" i="13"/>
  <c r="AP12" i="13"/>
  <c r="V12" i="13"/>
  <c r="N12" i="13" s="1"/>
  <c r="U12" i="13"/>
  <c r="T12" i="13"/>
  <c r="S12" i="13"/>
  <c r="G12" i="13"/>
  <c r="AP11" i="13"/>
  <c r="V11" i="13"/>
  <c r="N11" i="13" s="1"/>
  <c r="U11" i="13"/>
  <c r="T11" i="13"/>
  <c r="S11" i="13"/>
  <c r="G11" i="13"/>
  <c r="V10" i="13"/>
  <c r="N10" i="13" s="1"/>
  <c r="U10" i="13"/>
  <c r="T10" i="13"/>
  <c r="S10" i="13"/>
  <c r="G10" i="13"/>
  <c r="V9" i="13"/>
  <c r="N9" i="13" s="1"/>
  <c r="U9" i="13"/>
  <c r="T9" i="13"/>
  <c r="S9" i="13"/>
  <c r="G9" i="13"/>
  <c r="N4" i="13"/>
  <c r="N3" i="13"/>
  <c r="J33" i="1"/>
  <c r="J34" i="1"/>
  <c r="K26" i="13" l="1"/>
  <c r="E73" i="34"/>
  <c r="E73" i="37"/>
  <c r="F72" i="34"/>
  <c r="E73" i="35"/>
  <c r="F72" i="37"/>
  <c r="E73" i="36"/>
  <c r="F72" i="36"/>
  <c r="I26" i="13"/>
  <c r="J15" i="13"/>
  <c r="I24" i="13"/>
  <c r="M24" i="13" s="1"/>
  <c r="J24" i="13"/>
  <c r="F72" i="35"/>
  <c r="I23" i="13"/>
  <c r="K24" i="13"/>
  <c r="D64" i="36"/>
  <c r="L64" i="36" s="1"/>
  <c r="L62" i="36"/>
  <c r="E20" i="12" s="1"/>
  <c r="E71" i="33"/>
  <c r="F70" i="33"/>
  <c r="F70" i="37"/>
  <c r="E71" i="37"/>
  <c r="L62" i="35"/>
  <c r="E19" i="12" s="1"/>
  <c r="D64" i="35"/>
  <c r="L64" i="35" s="1"/>
  <c r="E71" i="34"/>
  <c r="F70" i="34"/>
  <c r="I13" i="13"/>
  <c r="K27" i="13"/>
  <c r="J13" i="13"/>
  <c r="J21" i="13"/>
  <c r="M35" i="13"/>
  <c r="D63" i="13" s="1"/>
  <c r="J11" i="13"/>
  <c r="J12" i="13"/>
  <c r="K13" i="13"/>
  <c r="I22" i="13"/>
  <c r="J23" i="13"/>
  <c r="I27" i="13"/>
  <c r="N51" i="13"/>
  <c r="D66" i="13" s="1"/>
  <c r="E75" i="13" s="1"/>
  <c r="J10" i="13"/>
  <c r="J22" i="13"/>
  <c r="K15" i="13"/>
  <c r="K22" i="13"/>
  <c r="K25" i="13"/>
  <c r="I25" i="13"/>
  <c r="N43" i="13"/>
  <c r="K11" i="13"/>
  <c r="I11" i="13"/>
  <c r="I15" i="13"/>
  <c r="M15" i="13" s="1"/>
  <c r="K23" i="13"/>
  <c r="J27" i="13"/>
  <c r="N35" i="13"/>
  <c r="J25" i="13"/>
  <c r="J26" i="13"/>
  <c r="K10" i="13"/>
  <c r="I10" i="13"/>
  <c r="J9" i="13"/>
  <c r="I9" i="13"/>
  <c r="K9" i="13"/>
  <c r="I12" i="13"/>
  <c r="K12" i="13"/>
  <c r="J14" i="13"/>
  <c r="I21" i="13"/>
  <c r="N28" i="13"/>
  <c r="K21" i="13"/>
  <c r="I14" i="13"/>
  <c r="K14" i="13"/>
  <c r="N16" i="13"/>
  <c r="M11" i="13" l="1"/>
  <c r="M27" i="13"/>
  <c r="M23" i="13"/>
  <c r="M13" i="13"/>
  <c r="M26" i="13"/>
  <c r="M22" i="13"/>
  <c r="F70" i="35"/>
  <c r="E71" i="35"/>
  <c r="E71" i="36"/>
  <c r="F70" i="36"/>
  <c r="M25" i="13"/>
  <c r="M31" i="12"/>
  <c r="J8" i="12"/>
  <c r="L30" i="12"/>
  <c r="J7" i="12"/>
  <c r="D65" i="13"/>
  <c r="E73" i="13" s="1"/>
  <c r="J19" i="12"/>
  <c r="J30" i="12" s="1"/>
  <c r="J18" i="12"/>
  <c r="F74" i="13"/>
  <c r="M14" i="13"/>
  <c r="M10" i="13"/>
  <c r="M12" i="13"/>
  <c r="M9" i="13"/>
  <c r="M21" i="13"/>
  <c r="M28" i="13" s="1"/>
  <c r="M30" i="12"/>
  <c r="J10" i="12" l="1"/>
  <c r="J6" i="12"/>
  <c r="L31" i="12"/>
  <c r="M16" i="13"/>
  <c r="F72" i="13"/>
  <c r="J21" i="12"/>
  <c r="D62" i="13" l="1"/>
  <c r="D64" i="13" s="1"/>
  <c r="E71" i="13" s="1"/>
  <c r="J20" i="12"/>
  <c r="J31" i="12" s="1"/>
  <c r="J9" i="12"/>
  <c r="J17" i="12"/>
  <c r="J28" i="12" s="1"/>
  <c r="N3" i="1"/>
  <c r="M28" i="12"/>
  <c r="M29" i="12"/>
  <c r="L28" i="12"/>
  <c r="L29" i="12"/>
  <c r="L32" i="12"/>
  <c r="J29" i="12"/>
  <c r="J32" i="12"/>
  <c r="F70" i="13" l="1"/>
  <c r="N49" i="1"/>
  <c r="N50" i="1"/>
  <c r="N48" i="1"/>
  <c r="N41" i="1"/>
  <c r="N42" i="1"/>
  <c r="N40" i="1"/>
  <c r="M50" i="1" l="1"/>
  <c r="M48" i="1"/>
  <c r="M42" i="1"/>
  <c r="M40" i="1"/>
  <c r="N43" i="1" l="1"/>
  <c r="N51" i="1"/>
  <c r="D66" i="1" s="1"/>
  <c r="N27" i="1"/>
  <c r="N11" i="1"/>
  <c r="N13" i="1"/>
  <c r="M5" i="12" l="1"/>
  <c r="M12" i="12" s="1"/>
  <c r="L66" i="1"/>
  <c r="I27" i="1"/>
  <c r="K27" i="1"/>
  <c r="J27" i="1"/>
  <c r="I11" i="1"/>
  <c r="K11" i="1"/>
  <c r="I13" i="1"/>
  <c r="K13" i="1"/>
  <c r="J13" i="1"/>
  <c r="J11" i="1"/>
  <c r="N9" i="1"/>
  <c r="N10" i="1"/>
  <c r="N14" i="1"/>
  <c r="N15" i="1"/>
  <c r="N22" i="1"/>
  <c r="N23" i="1"/>
  <c r="N24" i="1"/>
  <c r="N25" i="1"/>
  <c r="N26" i="1"/>
  <c r="N33" i="1"/>
  <c r="N34" i="1"/>
  <c r="M33" i="1"/>
  <c r="M34" i="1"/>
  <c r="N21" i="1"/>
  <c r="N12" i="1"/>
  <c r="K12" i="1" s="1"/>
  <c r="E75" i="1" l="1"/>
  <c r="M32" i="12"/>
  <c r="M16" i="12"/>
  <c r="M23" i="12" s="1"/>
  <c r="F74" i="1"/>
  <c r="M27" i="1"/>
  <c r="K9" i="1"/>
  <c r="J9" i="1"/>
  <c r="K26" i="1"/>
  <c r="M11" i="1"/>
  <c r="I14" i="1"/>
  <c r="J24" i="1"/>
  <c r="J25" i="1"/>
  <c r="J15" i="1"/>
  <c r="I12" i="1"/>
  <c r="K23" i="1"/>
  <c r="J12" i="1"/>
  <c r="M13" i="1"/>
  <c r="J14" i="1"/>
  <c r="K10" i="1"/>
  <c r="J22" i="1"/>
  <c r="I23" i="1"/>
  <c r="I25" i="1"/>
  <c r="J10" i="1"/>
  <c r="I15" i="1"/>
  <c r="K25" i="1"/>
  <c r="K14" i="1"/>
  <c r="J23" i="1"/>
  <c r="J26" i="1"/>
  <c r="K15" i="1"/>
  <c r="I22" i="1"/>
  <c r="N35" i="1"/>
  <c r="M35" i="1"/>
  <c r="G5" i="12" s="1"/>
  <c r="N16" i="1"/>
  <c r="I9" i="1"/>
  <c r="I26" i="1"/>
  <c r="K22" i="1"/>
  <c r="I24" i="1"/>
  <c r="K24" i="1"/>
  <c r="I10" i="1"/>
  <c r="K21" i="1"/>
  <c r="N28" i="1"/>
  <c r="J21" i="1"/>
  <c r="I21" i="1"/>
  <c r="M27" i="12" l="1"/>
  <c r="G12" i="12"/>
  <c r="M34" i="12"/>
  <c r="F43" i="12"/>
  <c r="E44" i="12"/>
  <c r="D65" i="1"/>
  <c r="L65" i="1" s="1"/>
  <c r="D63" i="1"/>
  <c r="L63" i="1" s="1"/>
  <c r="G16" i="12" s="1"/>
  <c r="G23" i="12" s="1"/>
  <c r="M12" i="1"/>
  <c r="M14" i="1"/>
  <c r="M9" i="1"/>
  <c r="M10" i="1"/>
  <c r="M26" i="1"/>
  <c r="M25" i="1"/>
  <c r="M23" i="1"/>
  <c r="M21" i="1"/>
  <c r="M15" i="1"/>
  <c r="M22" i="1"/>
  <c r="M24" i="1"/>
  <c r="F72" i="1" l="1"/>
  <c r="L16" i="12"/>
  <c r="L5" i="12"/>
  <c r="E73" i="1"/>
  <c r="M16" i="1"/>
  <c r="M28" i="1"/>
  <c r="D62" i="1" l="1"/>
  <c r="L12" i="12"/>
  <c r="L23" i="12"/>
  <c r="F41" i="12" s="1"/>
  <c r="L27" i="12"/>
  <c r="L62" i="1" l="1"/>
  <c r="E16" i="12" s="1"/>
  <c r="J16" i="12" s="1"/>
  <c r="E5" i="12"/>
  <c r="L34" i="12"/>
  <c r="E42" i="12"/>
  <c r="D64" i="1"/>
  <c r="L64" i="1" s="1"/>
  <c r="F70" i="1" s="1"/>
  <c r="J5" i="12" l="1"/>
  <c r="J12" i="12" s="1"/>
  <c r="E12" i="12"/>
  <c r="E71" i="1"/>
  <c r="E23" i="12"/>
  <c r="J23" i="12" l="1"/>
  <c r="J27" i="12"/>
  <c r="J34" i="12" l="1"/>
  <c r="E40" i="12"/>
  <c r="F39"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Warren Griffiths</author>
  </authors>
  <commentList>
    <comment ref="M4" authorId="0" shapeId="0" xr:uid="{00000000-0006-0000-0800-000001000000}">
      <text>
        <r>
          <rPr>
            <sz val="11"/>
            <color indexed="81"/>
            <rFont val="Calibri"/>
            <family val="2"/>
          </rPr>
          <t>Operational control relates to how much of the reporting period the facility has been under your control. The options are:
Full year - the facility has been under your control from 1 July to 30 June of a financial year.
Part year - The facility has been under your control for only part of the financial year. You will need to enter the number of days you have had control over the facility. Threshold estimations on the Output page will be based on extrapolated full-year data and not the actual data entered for the facility.</t>
        </r>
      </text>
    </comment>
    <comment ref="G6" authorId="0" shapeId="0" xr:uid="{00000000-0006-0000-0800-000002000000}">
      <text>
        <r>
          <rPr>
            <sz val="11"/>
            <color indexed="81"/>
            <rFont val="Calibri"/>
            <family val="2"/>
          </rPr>
          <t>The unit is automatically determined by the calculator based on the fuel you have selected from the drop-down menu. This field cannot be changed.</t>
        </r>
        <r>
          <rPr>
            <sz val="9"/>
            <color indexed="81"/>
            <rFont val="Tahoma"/>
            <family val="2"/>
          </rPr>
          <t xml:space="preserve">
</t>
        </r>
      </text>
    </comment>
    <comment ref="I6" authorId="0" shapeId="0" xr:uid="{00000000-0006-0000-0800-000003000000}">
      <text>
        <r>
          <rPr>
            <sz val="11"/>
            <color indexed="81"/>
            <rFont val="Calibri"/>
            <family val="2"/>
          </rPr>
          <t>The emissions of each of the three main greenhouse gasses will be calculated and displayed below. These fields cannot be changed.</t>
        </r>
      </text>
    </comment>
    <comment ref="M6" authorId="0" shapeId="0" xr:uid="{00000000-0006-0000-0800-000004000000}">
      <text>
        <r>
          <rPr>
            <sz val="11"/>
            <color indexed="81"/>
            <rFont val="Calibri"/>
            <family val="2"/>
          </rPr>
          <t>The total scope 1 emissions for each activity will be displayed below. These fields cannot be changed.</t>
        </r>
      </text>
    </comment>
    <comment ref="N6" authorId="0" shapeId="0" xr:uid="{00000000-0006-0000-0800-000005000000}">
      <text>
        <r>
          <rPr>
            <sz val="11"/>
            <color indexed="81"/>
            <rFont val="Calibri"/>
            <family val="2"/>
          </rPr>
          <t>The total energy consumed for each activity will be displayed below. These fields cannot be changed.</t>
        </r>
      </text>
    </comment>
    <comment ref="C8" authorId="0" shapeId="0" xr:uid="{00000000-0006-0000-0800-000006000000}">
      <text>
        <r>
          <rPr>
            <sz val="11"/>
            <color indexed="81"/>
            <rFont val="Calibri"/>
            <family val="2"/>
          </rPr>
          <t>Transport fuels are reported when combusted in engines of planes, trains, ships and road registered vehicles. Select the fuel from the drop-down menu and then enter the amount. Liquid fuels are reported in kilolitres (kL) and gaseous fuels are reported in cubic metres (m3).</t>
        </r>
      </text>
    </comment>
    <comment ref="E8" authorId="0" shapeId="0" xr:uid="{00000000-0006-0000-0800-000007000000}">
      <text>
        <r>
          <rPr>
            <sz val="11"/>
            <color indexed="81"/>
            <rFont val="Calibri"/>
            <family val="2"/>
          </rPr>
          <t>Enter the amount for each fuel below noting which unit has been selected by the calculator.</t>
        </r>
      </text>
    </comment>
    <comment ref="M16" authorId="0" shapeId="0" xr:uid="{00000000-0006-0000-0800-000008000000}">
      <text>
        <r>
          <rPr>
            <sz val="11"/>
            <color indexed="81"/>
            <rFont val="Calibri"/>
            <family val="2"/>
          </rPr>
          <t>This field displays the total scope 1 emissions for all transport fuels.</t>
        </r>
      </text>
    </comment>
    <comment ref="N16" authorId="0" shapeId="0" xr:uid="{00000000-0006-0000-0800-000009000000}">
      <text>
        <r>
          <rPr>
            <sz val="11"/>
            <color indexed="81"/>
            <rFont val="Calibri"/>
            <family val="2"/>
          </rPr>
          <t>This field displays the total energy consumption for all transport fuels.</t>
        </r>
      </text>
    </comment>
    <comment ref="G18" authorId="0" shapeId="0" xr:uid="{00000000-0006-0000-0800-00000A000000}">
      <text>
        <r>
          <rPr>
            <sz val="11"/>
            <color indexed="81"/>
            <rFont val="Calibri"/>
            <family val="2"/>
          </rPr>
          <t>The unit is automatically determined by the calculator based on the fuel you have selected from the drop-down menu. This field cannot be changed.</t>
        </r>
      </text>
    </comment>
    <comment ref="I18" authorId="0" shapeId="0" xr:uid="{00000000-0006-0000-0800-00000B000000}">
      <text>
        <r>
          <rPr>
            <sz val="11"/>
            <color indexed="81"/>
            <rFont val="Calibri"/>
            <family val="2"/>
          </rPr>
          <t>The emissions of each of the three main greenhouse gasses will be calculated and displayed below. These fields cannot be changed.</t>
        </r>
      </text>
    </comment>
    <comment ref="M18" authorId="0" shapeId="0" xr:uid="{00000000-0006-0000-0800-00000C000000}">
      <text>
        <r>
          <rPr>
            <sz val="11"/>
            <color indexed="81"/>
            <rFont val="Calibri"/>
            <family val="2"/>
          </rPr>
          <t>The total scope 1 emissions for each activity will be displayed below. These fields cannot be changed.</t>
        </r>
      </text>
    </comment>
    <comment ref="N18" authorId="0" shapeId="0" xr:uid="{00000000-0006-0000-0800-00000D000000}">
      <text>
        <r>
          <rPr>
            <sz val="11"/>
            <color indexed="81"/>
            <rFont val="Calibri"/>
            <family val="2"/>
          </rPr>
          <t>The total energy consumed for each activity will be displayed below. These fields cannot be changed.</t>
        </r>
      </text>
    </comment>
    <comment ref="C20" authorId="0" shapeId="0" xr:uid="{00000000-0006-0000-0800-00000E000000}">
      <text>
        <r>
          <rPr>
            <sz val="11"/>
            <color indexed="81"/>
            <rFont val="Calibri"/>
            <family val="2"/>
          </rPr>
          <t>Non-transport fuels are reported when combusted in engines that are not part of planes, trains, ships and road registered vehicles. Select the fuel from the drop-down menu and then enter the amount. Solid fuels are reported in tonnes (t), liquid fuels are reported in kilolitres (kL) and gaseous fuels are reported in cubic metres (m3).</t>
        </r>
      </text>
    </comment>
    <comment ref="E20" authorId="0" shapeId="0" xr:uid="{00000000-0006-0000-0800-00000F000000}">
      <text>
        <r>
          <rPr>
            <sz val="11"/>
            <color indexed="81"/>
            <rFont val="Calibri"/>
            <family val="2"/>
          </rPr>
          <t>Enter the amount for each fuel below noting which unit has been selected by the calculator.</t>
        </r>
      </text>
    </comment>
    <comment ref="M28" authorId="0" shapeId="0" xr:uid="{00000000-0006-0000-0800-000010000000}">
      <text>
        <r>
          <rPr>
            <sz val="11"/>
            <color indexed="81"/>
            <rFont val="Calibri"/>
            <family val="2"/>
          </rPr>
          <t>This field displays the total scope 1 emissions for all non-transport fuels.</t>
        </r>
      </text>
    </comment>
    <comment ref="N28" authorId="0" shapeId="0" xr:uid="{00000000-0006-0000-0800-000011000000}">
      <text>
        <r>
          <rPr>
            <sz val="11"/>
            <color indexed="81"/>
            <rFont val="Calibri"/>
            <family val="2"/>
          </rPr>
          <t>This field displays the total energy consumption for all non-transport fuels.</t>
        </r>
      </text>
    </comment>
    <comment ref="G30" authorId="0" shapeId="0" xr:uid="{00000000-0006-0000-0800-000012000000}">
      <text>
        <r>
          <rPr>
            <sz val="11"/>
            <color indexed="81"/>
            <rFont val="Calibri"/>
            <family val="2"/>
          </rPr>
          <t>The unit is automatically determined by the calculator based on the energy source you have selected from the drop-down menu. This field cannot be changed.</t>
        </r>
      </text>
    </comment>
    <comment ref="I30" authorId="0" shapeId="0" xr:uid="{00000000-0006-0000-0800-000013000000}">
      <text>
        <r>
          <rPr>
            <sz val="11"/>
            <color indexed="81"/>
            <rFont val="Calibri"/>
            <family val="2"/>
          </rPr>
          <t>Scope 2 emission factors are determined according to which state the facility is located in. These factors cannot be changed unless you have purchased electricity from a grid other than the main grid and you have been supplied with a custom emission factor.</t>
        </r>
      </text>
    </comment>
    <comment ref="M30" authorId="0" shapeId="0" xr:uid="{00000000-0006-0000-0800-000014000000}">
      <text>
        <r>
          <rPr>
            <sz val="11"/>
            <color indexed="81"/>
            <rFont val="Calibri"/>
            <family val="2"/>
          </rPr>
          <t>The total scope 2 emissions for each activity will be displayed below. These fields cannot be changed.</t>
        </r>
      </text>
    </comment>
    <comment ref="N30" authorId="0" shapeId="0" xr:uid="{00000000-0006-0000-0800-000015000000}">
      <text>
        <r>
          <rPr>
            <sz val="11"/>
            <color indexed="81"/>
            <rFont val="Calibri"/>
            <family val="2"/>
          </rPr>
          <t>The total energy consumed for each activity will be displayed below. These fields cannot be changed.</t>
        </r>
      </text>
    </comment>
    <comment ref="C32" authorId="0" shapeId="0" xr:uid="{00000000-0006-0000-0800-000016000000}">
      <text>
        <r>
          <rPr>
            <sz val="11"/>
            <color indexed="81"/>
            <rFont val="Calibri"/>
            <family val="2"/>
          </rPr>
          <t>Electricity purchased from the main electricity grid is reported according to which state the facility is located in. Each state has its own emission factor. Select the state from  the drop-down menu and enter the amount consumed in kWh.
If you purchased electricity from a grid other than the main grid then select 'Not purchased from the main grid' and enter the amount consumed in kWh. You can either use the default emission factor or enter a custom factor if one has been given to you by your electricity supplier.
If you consume electricity that has been generated onsite then this amount needs to be reported under CONSUMED WITHOUT COMBUSTION. Select Electricity (Generated onsite) from the drop down menu and enter the amount in GJ.</t>
        </r>
      </text>
    </comment>
    <comment ref="E32" authorId="0" shapeId="0" xr:uid="{00000000-0006-0000-0800-000017000000}">
      <text>
        <r>
          <rPr>
            <sz val="11"/>
            <color indexed="81"/>
            <rFont val="Calibri"/>
            <family val="2"/>
          </rPr>
          <t>Enter the amount for each electricity source below noting which unit has been selected by the calculator.</t>
        </r>
      </text>
    </comment>
    <comment ref="M35" authorId="0" shapeId="0" xr:uid="{00000000-0006-0000-0800-000018000000}">
      <text>
        <r>
          <rPr>
            <sz val="11"/>
            <color indexed="81"/>
            <rFont val="Calibri"/>
            <family val="2"/>
          </rPr>
          <t>This field displays the total scope 2 emissions for all purchased electricity.</t>
        </r>
      </text>
    </comment>
    <comment ref="N35" authorId="0" shapeId="0" xr:uid="{00000000-0006-0000-0800-000019000000}">
      <text>
        <r>
          <rPr>
            <sz val="11"/>
            <color indexed="81"/>
            <rFont val="Calibri"/>
            <family val="2"/>
          </rPr>
          <t>This field displays the total energy consumption for all purchased electricity.</t>
        </r>
      </text>
    </comment>
    <comment ref="G37" authorId="0" shapeId="0" xr:uid="{00000000-0006-0000-0800-00001A000000}">
      <text>
        <r>
          <rPr>
            <sz val="11"/>
            <color indexed="81"/>
            <rFont val="Calibri"/>
            <family val="2"/>
          </rPr>
          <t>The unit is automatically determined by the calculator based on the energy source you have selected from the drop-down menu. This field cannot be changed.</t>
        </r>
      </text>
    </comment>
    <comment ref="N37" authorId="0" shapeId="0" xr:uid="{00000000-0006-0000-0800-00001B000000}">
      <text>
        <r>
          <rPr>
            <sz val="11"/>
            <color indexed="81"/>
            <rFont val="Calibri"/>
            <family val="2"/>
          </rPr>
          <t>The total energy consumed for each activity will be displayed below. These fields cannot be changed.</t>
        </r>
      </text>
    </comment>
    <comment ref="C39" authorId="0" shapeId="0" xr:uid="{00000000-0006-0000-0800-00001C000000}">
      <text>
        <r>
          <rPr>
            <sz val="11"/>
            <color indexed="81"/>
            <rFont val="Calibri"/>
            <family val="2"/>
          </rPr>
          <t>If you consumed a fuel or energy source without combusting it (for example: using natural gas as a feedstock) then it is reported as consumed without combustion. Select the fuel from the drop-down list and enter the amount consumed. Solid fuels are reported in tonnes (t), liquid fuels are reported in kilolitres (kL), gaseous fuels are reported in cubic metres (m3) and electricity is reported in kilowatt hours (kWh). There are no reportable emissions when a fuel has not been combusted but the associated energy consumption is reportable.</t>
        </r>
      </text>
    </comment>
    <comment ref="E39" authorId="0" shapeId="0" xr:uid="{00000000-0006-0000-0800-00001D000000}">
      <text>
        <r>
          <rPr>
            <sz val="11"/>
            <color indexed="81"/>
            <rFont val="Calibri"/>
            <family val="2"/>
          </rPr>
          <t>Enter the amount for each energy source below noting which unit has been selected by the calculator.</t>
        </r>
      </text>
    </comment>
    <comment ref="N43" authorId="0" shapeId="0" xr:uid="{00000000-0006-0000-0800-00001E000000}">
      <text>
        <r>
          <rPr>
            <sz val="11"/>
            <color indexed="81"/>
            <rFont val="Calibri"/>
            <family val="2"/>
          </rPr>
          <t>This field displays the total energy consumption for all fuels/energy sources consumed without combustion.</t>
        </r>
      </text>
    </comment>
    <comment ref="G45" authorId="0" shapeId="0" xr:uid="{00000000-0006-0000-0800-00001F000000}">
      <text>
        <r>
          <rPr>
            <sz val="11"/>
            <color indexed="81"/>
            <rFont val="Calibri"/>
            <family val="2"/>
          </rPr>
          <t>The unit is automatically determined by the calculator based on the energy source you have selected from the drop-down menu. This field cannot be changed.</t>
        </r>
      </text>
    </comment>
    <comment ref="N45" authorId="0" shapeId="0" xr:uid="{00000000-0006-0000-0800-000020000000}">
      <text>
        <r>
          <rPr>
            <sz val="11"/>
            <color indexed="81"/>
            <rFont val="Calibri"/>
            <family val="2"/>
          </rPr>
          <t>The total energy consumed for each activity will be displayed below. These fields cannot be changed.</t>
        </r>
      </text>
    </comment>
    <comment ref="C47" authorId="0" shapeId="0" xr:uid="{00000000-0006-0000-0800-000021000000}">
      <text>
        <r>
          <rPr>
            <sz val="11"/>
            <color indexed="81"/>
            <rFont val="Calibri"/>
            <family val="2"/>
          </rPr>
          <t>The amount of energy produced is also reportable and contributed towards reporting thresholds. Energy production includes, but is not limited to,  saleable coal, crude oil, waste gas captured for combustion and electricity. Solid fuels are reported in tonnes (t), liquid fuels are reported in kilolitres (kL), gaseous fuels are reported in cubic metres (m3) and electricity is reported in kilowatt hours (kWh). Select the energy source from the drop-down menu and enter the amount.</t>
        </r>
      </text>
    </comment>
    <comment ref="E47" authorId="0" shapeId="0" xr:uid="{00000000-0006-0000-0800-000022000000}">
      <text>
        <r>
          <rPr>
            <sz val="11"/>
            <color indexed="81"/>
            <rFont val="Calibri"/>
            <family val="2"/>
          </rPr>
          <t>Enter the amount for each energy source below noting which unit has been selected by the calculator.</t>
        </r>
      </text>
    </comment>
    <comment ref="N51" authorId="0" shapeId="0" xr:uid="{00000000-0006-0000-0800-000023000000}">
      <text>
        <r>
          <rPr>
            <sz val="11"/>
            <color indexed="81"/>
            <rFont val="Calibri"/>
            <family val="2"/>
          </rPr>
          <t>This field displays the total energy production for all fuels/energy sources produced.</t>
        </r>
      </text>
    </comment>
    <comment ref="C55" authorId="0" shapeId="0" xr:uid="{00000000-0006-0000-0800-000024000000}">
      <text>
        <r>
          <rPr>
            <sz val="11"/>
            <color indexed="81"/>
            <rFont val="Calibri"/>
            <family val="2"/>
          </rPr>
          <t xml:space="preserve">Fugitive emissions may arise from activities associated with the extraction of coal, oil, gas, processing waste or may result from accidental or intential venting of gas during transmission or storage. Type in the name of the gas in the below fields. You may need to consult the </t>
        </r>
        <r>
          <rPr>
            <i/>
            <sz val="11"/>
            <color indexed="81"/>
            <rFont val="Calibri"/>
            <family val="2"/>
          </rPr>
          <t>National Greenhouse and Energy Reportign (Measurement) Determination 2008</t>
        </r>
        <r>
          <rPr>
            <sz val="11"/>
            <color indexed="81"/>
            <rFont val="Calibri"/>
            <family val="2"/>
          </rPr>
          <t xml:space="preserve"> prior to entering data.</t>
        </r>
      </text>
    </comment>
    <comment ref="I55" authorId="0" shapeId="0" xr:uid="{00000000-0006-0000-0800-000025000000}">
      <text>
        <r>
          <rPr>
            <sz val="11"/>
            <color indexed="81"/>
            <rFont val="Calibri"/>
            <family val="2"/>
          </rPr>
          <t>You are required to estimate the amount of each greenhouse gas assocated with fugitive emissions. This will need to be performed outside this calculator.</t>
        </r>
      </text>
    </comment>
    <comment ref="C60" authorId="0" shapeId="0" xr:uid="{00000000-0006-0000-0800-000026000000}">
      <text>
        <r>
          <rPr>
            <sz val="11"/>
            <color indexed="81"/>
            <rFont val="Calibri"/>
            <family val="2"/>
          </rPr>
          <t xml:space="preserve">This field displays the facility's total energy and emissions consumption/production. </t>
        </r>
      </text>
    </comment>
    <comment ref="C68" authorId="0" shapeId="0" xr:uid="{00000000-0006-0000-0800-000027000000}">
      <text>
        <r>
          <rPr>
            <sz val="11"/>
            <color indexed="81"/>
            <rFont val="Calibri"/>
            <family val="2"/>
          </rPr>
          <t>This field displays a graph of the facility's energy and emissions consumption/production in relation to the reporting threshold.</t>
        </r>
      </text>
    </comment>
  </commentList>
</comments>
</file>

<file path=xl/sharedStrings.xml><?xml version="1.0" encoding="utf-8"?>
<sst xmlns="http://schemas.openxmlformats.org/spreadsheetml/2006/main" count="2681" uniqueCount="361">
  <si>
    <t>Amount</t>
  </si>
  <si>
    <t>Unit</t>
  </si>
  <si>
    <t>CO2</t>
  </si>
  <si>
    <t>CH4</t>
  </si>
  <si>
    <t>N2O</t>
  </si>
  <si>
    <t>Total energy (GJ)</t>
  </si>
  <si>
    <t>Greenhouse gasses</t>
  </si>
  <si>
    <t>Total scope 1 emissions</t>
  </si>
  <si>
    <t>(Gigajoules)</t>
  </si>
  <si>
    <t>Total scope 2 emissions</t>
  </si>
  <si>
    <t>New South Wales</t>
  </si>
  <si>
    <t>Australian Capital Territory</t>
  </si>
  <si>
    <t>Victoria</t>
  </si>
  <si>
    <t>Tasmania</t>
  </si>
  <si>
    <t>South Australia</t>
  </si>
  <si>
    <t>South West Western Australia</t>
  </si>
  <si>
    <t>Northern Territory</t>
  </si>
  <si>
    <t>Queensland</t>
  </si>
  <si>
    <t>Not purchased from the main grid</t>
  </si>
  <si>
    <t>Location</t>
  </si>
  <si>
    <t>EF</t>
  </si>
  <si>
    <t>ECF</t>
  </si>
  <si>
    <t>Output</t>
  </si>
  <si>
    <t>kWh</t>
  </si>
  <si>
    <t>m3</t>
  </si>
  <si>
    <t>Blast furnace gas</t>
  </si>
  <si>
    <t>Coal mine waste gas that is captured for combustion</t>
  </si>
  <si>
    <t>Coal seam methane that is captured for combustion</t>
  </si>
  <si>
    <t>51.4</t>
  </si>
  <si>
    <t>Coke oven gas</t>
  </si>
  <si>
    <t>0.05</t>
  </si>
  <si>
    <t>Compressed natural gas that has reverted back to standard conditions</t>
  </si>
  <si>
    <t>0.0393</t>
  </si>
  <si>
    <t>Ethane</t>
  </si>
  <si>
    <t>0.0629</t>
  </si>
  <si>
    <t>Gaseous fossil fuels other than those mentioned in items 17 to 26</t>
  </si>
  <si>
    <t>Landfill biogas that is captured for combustion (methane only)</t>
  </si>
  <si>
    <t>0.0377</t>
  </si>
  <si>
    <t>Liquefied natural gas</t>
  </si>
  <si>
    <t>25.3</t>
  </si>
  <si>
    <t>kL</t>
  </si>
  <si>
    <t>Natural gas distributed in a pipeline</t>
  </si>
  <si>
    <t>Town gas</t>
  </si>
  <si>
    <t>60.2</t>
  </si>
  <si>
    <t>0.039</t>
  </si>
  <si>
    <t>Unprocessed natural gas</t>
  </si>
  <si>
    <t>2.5</t>
  </si>
  <si>
    <t>6.5</t>
  </si>
  <si>
    <t>Biodiesel</t>
  </si>
  <si>
    <t>0.07</t>
  </si>
  <si>
    <t>Crude oil including crude oil condensates</t>
  </si>
  <si>
    <t>69.6</t>
  </si>
  <si>
    <t>45.3</t>
  </si>
  <si>
    <t>tonnes</t>
  </si>
  <si>
    <t>Diesel oil</t>
  </si>
  <si>
    <t>69.9</t>
  </si>
  <si>
    <t>38.6</t>
  </si>
  <si>
    <t>23.4</t>
  </si>
  <si>
    <t>Fuel oil</t>
  </si>
  <si>
    <t>73.6</t>
  </si>
  <si>
    <t>39.7</t>
  </si>
  <si>
    <t>67.4</t>
  </si>
  <si>
    <t>34.2</t>
  </si>
  <si>
    <t>67.0</t>
  </si>
  <si>
    <t>33.1</t>
  </si>
  <si>
    <t>Heating oil</t>
  </si>
  <si>
    <t>37.3</t>
  </si>
  <si>
    <t>37.5</t>
  </si>
  <si>
    <t>36.8</t>
  </si>
  <si>
    <t>Liquefied aromatic hydrocarbons</t>
  </si>
  <si>
    <t>34.4</t>
  </si>
  <si>
    <t>Liquefied petroleum gas</t>
  </si>
  <si>
    <t>25.7</t>
  </si>
  <si>
    <t>Naphtha</t>
  </si>
  <si>
    <t>0.01</t>
  </si>
  <si>
    <t>31.4</t>
  </si>
  <si>
    <t>Other natural gas liquids</t>
  </si>
  <si>
    <t>46.5</t>
  </si>
  <si>
    <t>Petroleum coke</t>
  </si>
  <si>
    <t>Refinery coke</t>
  </si>
  <si>
    <t>Refinery gas and liquids</t>
  </si>
  <si>
    <t>42.9</t>
  </si>
  <si>
    <t>Solvents if mineral turpentine or white spirits</t>
  </si>
  <si>
    <t>0.7</t>
  </si>
  <si>
    <t>1.9</t>
  </si>
  <si>
    <t>0.6</t>
  </si>
  <si>
    <t>0.1</t>
  </si>
  <si>
    <t>0.06</t>
  </si>
  <si>
    <t>0.5</t>
  </si>
  <si>
    <t>1.8</t>
  </si>
  <si>
    <t>0.4</t>
  </si>
  <si>
    <t>26.2</t>
  </si>
  <si>
    <t>Petroleum based greases</t>
  </si>
  <si>
    <t>38.8</t>
  </si>
  <si>
    <t>Anthracite</t>
  </si>
  <si>
    <t>Bagasse</t>
  </si>
  <si>
    <t>Charcoal</t>
  </si>
  <si>
    <t>Coal briquettes</t>
  </si>
  <si>
    <t>Dry wood</t>
  </si>
  <si>
    <t>16.2</t>
  </si>
  <si>
    <t>Green and air dried wood</t>
  </si>
  <si>
    <t>10.4</t>
  </si>
  <si>
    <t>12.2</t>
  </si>
  <si>
    <t>22.1</t>
  </si>
  <si>
    <t>Diesel oil (Euro i)</t>
  </si>
  <si>
    <t>Diesel oil (Euro iii)</t>
  </si>
  <si>
    <t>Diesel oil (Euro iv or higher)</t>
  </si>
  <si>
    <t>Ethanol</t>
  </si>
  <si>
    <t>Kerosene used as fuel in an aircraft</t>
  </si>
  <si>
    <t>Liquefied natural gas (heavy duty vehicles)</t>
  </si>
  <si>
    <t>Liquefied natural gas (light duty vehicles)</t>
  </si>
  <si>
    <t>Natural gas (heavy duty vehicles)</t>
  </si>
  <si>
    <t>-</t>
  </si>
  <si>
    <t>Other biofuels</t>
  </si>
  <si>
    <t>Diesel oil  (post-2004 vehicles)</t>
  </si>
  <si>
    <t>Ethanol (post-2004 vehicles)</t>
  </si>
  <si>
    <t>Liquefied petroleum gas (post-2004 vehicles)</t>
  </si>
  <si>
    <t>Other petroleum based products</t>
  </si>
  <si>
    <t>Select state/territory below</t>
  </si>
  <si>
    <t>Select fuels below</t>
  </si>
  <si>
    <t>Enter amount below</t>
  </si>
  <si>
    <t>Emission factor</t>
  </si>
  <si>
    <t>TOTAL EMISSIONS</t>
  </si>
  <si>
    <t>TOTAL ENERGY CONSUMED</t>
  </si>
  <si>
    <t>A biogas that is captured for combustion, other than those mentioned in items 28 and 29 (methane only)</t>
  </si>
  <si>
    <t>GJ</t>
  </si>
  <si>
    <t>Biofuels other than those mentioned in items 50 and 51</t>
  </si>
  <si>
    <t>Biomass municipal and industrial materials, if recycled and combusted to produce heat or electricity</t>
  </si>
  <si>
    <t>Bitumen - Non-energy product</t>
  </si>
  <si>
    <t>Bituminous coal</t>
  </si>
  <si>
    <t>Brown coal</t>
  </si>
  <si>
    <t>Carbon black if used as a petrochemical feedstock - Non-energy product</t>
  </si>
  <si>
    <t>Coal coke</t>
  </si>
  <si>
    <t>Coal tar</t>
  </si>
  <si>
    <t>Coking coal</t>
  </si>
  <si>
    <t>Ethanol for use as a fuel in an internal combustion engine</t>
  </si>
  <si>
    <t>Ethylene if used as a petrochemical feedstock - Non-energy product</t>
  </si>
  <si>
    <t>50.3</t>
  </si>
  <si>
    <t>Gasoline (other than for use as fuel in an aircraft)</t>
  </si>
  <si>
    <t>Gasoline for use as a fuel in an aircraft</t>
  </si>
  <si>
    <t>Industrial materials and tyres that are derived from fossil fuels, if recycled and combusted to produce heat or electricity</t>
  </si>
  <si>
    <t>26.3</t>
  </si>
  <si>
    <t>Kerosene (other than for use as fuel in an aircraft)</t>
  </si>
  <si>
    <t>Kerosene for use as fuel in an aircraft</t>
  </si>
  <si>
    <t>Non-biomass municipal materials, if recycled and combusted to produce heat or electricity</t>
  </si>
  <si>
    <t>10.5</t>
  </si>
  <si>
    <t>Petroleum based oils (other than petroleum based oil used as fuel)</t>
  </si>
  <si>
    <t>Petroleum based products other than: Petroleum based products mentioned in items 31, 32 and 33 to 48</t>
  </si>
  <si>
    <t>Primary solid biomass fuels other than those mentioned in items 10 to 15</t>
  </si>
  <si>
    <t>Sludge biogas that is captured for combustion (methane only)</t>
  </si>
  <si>
    <t>Solid fossil fuels other than those mentioned in items 1 to 5</t>
  </si>
  <si>
    <t>Solvents if mineral turpentine or white spirits - Non-energy product</t>
  </si>
  <si>
    <t>Sub-bituminous coal</t>
  </si>
  <si>
    <t>21</t>
  </si>
  <si>
    <t>Sulphite lyes</t>
  </si>
  <si>
    <t>12.4</t>
  </si>
  <si>
    <t>Waxes - Non-energy product</t>
  </si>
  <si>
    <t>45.8</t>
  </si>
  <si>
    <t>CONSUMED WITHOUT COMBUSTION</t>
  </si>
  <si>
    <t>Sub‑bituminous coal</t>
  </si>
  <si>
    <t>Other primary solid biomass fuels</t>
  </si>
  <si>
    <t>Other gaseous fossil fuels</t>
  </si>
  <si>
    <t>Other solid fossil fuels</t>
  </si>
  <si>
    <t>(RCPHE), if recycled and combusted to produce heat or electricity</t>
  </si>
  <si>
    <t>Biomass municipal and industrial materials (RCPHE)</t>
  </si>
  <si>
    <t>Non‑biomass municipal materials (RCPHE)</t>
  </si>
  <si>
    <t>Industrial materials and tyres derived from fossil fuels (RCPHE)</t>
  </si>
  <si>
    <t>Compressed natural gas that has reverted to standard conditions</t>
  </si>
  <si>
    <t>Other biogas that is captured for combustion (methane only)</t>
  </si>
  <si>
    <t>Gasoline for use as fuel in an aircraft</t>
  </si>
  <si>
    <t xml:space="preserve">Other biofuels </t>
  </si>
  <si>
    <t>Gasoline (post-2004 vehicles)</t>
  </si>
  <si>
    <t>Gasoline used as a fuel in an aircraft</t>
  </si>
  <si>
    <t>Total energy consumed (GJ)</t>
  </si>
  <si>
    <t>Total energy produced (GJ)</t>
  </si>
  <si>
    <t>PRODUCTION</t>
  </si>
  <si>
    <t>Bitumen</t>
  </si>
  <si>
    <t>Waxes</t>
  </si>
  <si>
    <t>Carbon black (petrochemical feedstock)</t>
  </si>
  <si>
    <t>Ethylene (petrochemical feedstock)</t>
  </si>
  <si>
    <t>Other petrochemical</t>
  </si>
  <si>
    <t>Solvents (mineral turpentine or white spirits)</t>
  </si>
  <si>
    <t>CONSUMPTION</t>
  </si>
  <si>
    <t>Electricity</t>
  </si>
  <si>
    <t>Electricity (Generated onsite)</t>
  </si>
  <si>
    <t>Solar energy for electricity generation</t>
  </si>
  <si>
    <t>Wind energy for electricity generation</t>
  </si>
  <si>
    <t>Water energy for electricity generation</t>
  </si>
  <si>
    <t>Geothermal energy for electricity generation</t>
  </si>
  <si>
    <t>SCOPE 2</t>
  </si>
  <si>
    <t>CALCULATION FACTORS</t>
  </si>
  <si>
    <t>COMBUSTED TRANSPORT</t>
  </si>
  <si>
    <t>COMBUSTED OTHER</t>
  </si>
  <si>
    <t>SCOPE 2 CALCULATION FACTORS</t>
  </si>
  <si>
    <t>FACILITY SUMMARY</t>
  </si>
  <si>
    <t>TOTAL ENERGY PRODUCED</t>
  </si>
  <si>
    <t>Select energy source below</t>
  </si>
  <si>
    <t>Select energy product below</t>
  </si>
  <si>
    <t>.</t>
  </si>
  <si>
    <t>TRANSPORT FUEL COMBUSTION</t>
  </si>
  <si>
    <t>NON-TRANSPORT FUEL COMBUSTION</t>
  </si>
  <si>
    <t>PURCHASED ELECTRICITY</t>
  </si>
  <si>
    <t>ELECTRICITY/ENERGY PRODUCED</t>
  </si>
  <si>
    <t>0 GJ</t>
  </si>
  <si>
    <t>Total Scope 1 emissions</t>
  </si>
  <si>
    <t>Total Scope 2 emissions</t>
  </si>
  <si>
    <t>Energy consumption threshold</t>
  </si>
  <si>
    <t>Total emissions threshold</t>
  </si>
  <si>
    <t>Energy production threshold</t>
  </si>
  <si>
    <t>Solid fossil fuels other than those mentioned elsewhere</t>
  </si>
  <si>
    <t>Scope 1 emissions</t>
  </si>
  <si>
    <t>Scope 2 emissions</t>
  </si>
  <si>
    <t>ENERGY CONSUMED</t>
  </si>
  <si>
    <t>ENERGY PRODUCED</t>
  </si>
  <si>
    <t>Facility 1</t>
  </si>
  <si>
    <t>Facility 2</t>
  </si>
  <si>
    <t>Facility 3</t>
  </si>
  <si>
    <t>Facility 4</t>
  </si>
  <si>
    <t>100,000 GJ</t>
  </si>
  <si>
    <t>FACILITY REPORTING THRESHOLDS</t>
  </si>
  <si>
    <t>Corporation</t>
  </si>
  <si>
    <t>EMISSIONS
THRESHOLD</t>
  </si>
  <si>
    <t>ENERGY CONSUMED
THRESHOLD</t>
  </si>
  <si>
    <t>ENERGY PRODUCED
THRESHOLD</t>
  </si>
  <si>
    <t>Facility name (optional)</t>
  </si>
  <si>
    <t>Operational Control</t>
  </si>
  <si>
    <t>Full year</t>
  </si>
  <si>
    <t>Part year</t>
  </si>
  <si>
    <t>DATA AS ENTERED</t>
  </si>
  <si>
    <t>DAYS COVERED</t>
  </si>
  <si>
    <t>FULL-YEAR DATA</t>
  </si>
  <si>
    <t>Total for corporation - as entered</t>
  </si>
  <si>
    <t>Total for corporation - full year</t>
  </si>
  <si>
    <t>200,000 GJ</t>
  </si>
  <si>
    <t>Facility 5</t>
  </si>
  <si>
    <t>Facility 6</t>
  </si>
  <si>
    <t>FACILITY ENERGY &amp; EMISSIONS CALCULATOR</t>
  </si>
  <si>
    <t>CORPORATION EMISSIONS &amp; ENERGY CALCULATOR</t>
  </si>
  <si>
    <r>
      <t>t CO</t>
    </r>
    <r>
      <rPr>
        <vertAlign val="subscript"/>
        <sz val="12"/>
        <color theme="1"/>
        <rFont val="Calibri"/>
        <family val="2"/>
        <scheme val="minor"/>
      </rPr>
      <t>2</t>
    </r>
    <r>
      <rPr>
        <sz val="12"/>
        <color theme="1"/>
        <rFont val="Calibri"/>
        <family val="2"/>
        <scheme val="minor"/>
      </rPr>
      <t>-e</t>
    </r>
  </si>
  <si>
    <r>
      <t>t CO</t>
    </r>
    <r>
      <rPr>
        <b/>
        <vertAlign val="subscript"/>
        <sz val="12"/>
        <color theme="1"/>
        <rFont val="Calibri"/>
        <family val="2"/>
        <scheme val="minor"/>
      </rPr>
      <t>2</t>
    </r>
    <r>
      <rPr>
        <b/>
        <sz val="12"/>
        <color theme="1"/>
        <rFont val="Calibri"/>
        <family val="2"/>
        <scheme val="minor"/>
      </rPr>
      <t>-e</t>
    </r>
  </si>
  <si>
    <r>
      <t>0 tCO</t>
    </r>
    <r>
      <rPr>
        <b/>
        <vertAlign val="subscript"/>
        <sz val="11"/>
        <color theme="9" tint="-0.249977111117893"/>
        <rFont val="Calibri"/>
        <family val="2"/>
        <scheme val="minor"/>
      </rPr>
      <t>2</t>
    </r>
    <r>
      <rPr>
        <b/>
        <sz val="11"/>
        <color theme="9" tint="-0.249977111117893"/>
        <rFont val="Calibri"/>
        <family val="2"/>
        <scheme val="minor"/>
      </rPr>
      <t>-e</t>
    </r>
  </si>
  <si>
    <r>
      <t>0 t CO</t>
    </r>
    <r>
      <rPr>
        <b/>
        <vertAlign val="subscript"/>
        <sz val="11"/>
        <color theme="9" tint="-0.249977111117893"/>
        <rFont val="Calibri"/>
        <family val="2"/>
        <scheme val="minor"/>
      </rPr>
      <t>2</t>
    </r>
    <r>
      <rPr>
        <b/>
        <sz val="11"/>
        <color theme="9" tint="-0.249977111117893"/>
        <rFont val="Calibri"/>
        <family val="2"/>
        <scheme val="minor"/>
      </rPr>
      <t>-e</t>
    </r>
  </si>
  <si>
    <r>
      <t>25,000 t CO</t>
    </r>
    <r>
      <rPr>
        <b/>
        <vertAlign val="subscript"/>
        <sz val="11"/>
        <color rgb="FFFF0000"/>
        <rFont val="Calibri"/>
        <family val="2"/>
        <scheme val="minor"/>
      </rPr>
      <t>2</t>
    </r>
    <r>
      <rPr>
        <b/>
        <sz val="11"/>
        <color rgb="FFFF0000"/>
        <rFont val="Calibri"/>
        <family val="2"/>
        <scheme val="minor"/>
      </rPr>
      <t>-e</t>
    </r>
  </si>
  <si>
    <r>
      <t>50,000 tCO</t>
    </r>
    <r>
      <rPr>
        <b/>
        <vertAlign val="subscript"/>
        <sz val="11"/>
        <color rgb="FFFF0000"/>
        <rFont val="Calibri"/>
        <family val="2"/>
        <scheme val="minor"/>
      </rPr>
      <t>2</t>
    </r>
    <r>
      <rPr>
        <b/>
        <sz val="11"/>
        <color rgb="FFFF0000"/>
        <rFont val="Calibri"/>
        <family val="2"/>
        <scheme val="minor"/>
      </rPr>
      <t>-e</t>
    </r>
  </si>
  <si>
    <t xml:space="preserve">Total emissions threshold </t>
  </si>
  <si>
    <t xml:space="preserve">Energy consumption threshold </t>
  </si>
  <si>
    <t xml:space="preserve">Energy production threshold </t>
  </si>
  <si>
    <t>ELECTRICITY</t>
  </si>
  <si>
    <t>GAS</t>
  </si>
  <si>
    <t>Convert kilowatt hours (kWh) to gigajoules (GJ)</t>
  </si>
  <si>
    <t>Convert gigajoules (GJ) to kilowatt hours (kWh)</t>
  </si>
  <si>
    <t>2. enter amount to convert</t>
  </si>
  <si>
    <t>2. select gas</t>
  </si>
  <si>
    <t>3. enter amount to convert</t>
  </si>
  <si>
    <t>Converted amount</t>
  </si>
  <si>
    <t>ELECTRICITY CONVERSION</t>
  </si>
  <si>
    <t>GASEOUS CONVERSION</t>
  </si>
  <si>
    <t>Convert cubic metres (m3) to gigajoules (GJ) - gigajoules (GJ) to cubic metres (m3)</t>
  </si>
  <si>
    <t>Convert kilowatt hours (kWh) to gigajoules (GJ) - gigajoules (GJ) to kilowatt hours (kWh)</t>
  </si>
  <si>
    <t>Gaseous fossil fuels other than those mentioned in items 17 to 26</t>
  </si>
  <si>
    <r>
      <t>39.3 × 10</t>
    </r>
    <r>
      <rPr>
        <vertAlign val="superscript"/>
        <sz val="10"/>
        <color theme="1"/>
        <rFont val="Times New Roman"/>
        <family val="1"/>
      </rPr>
      <t>‑3</t>
    </r>
  </si>
  <si>
    <r>
      <t>37.7 × 10</t>
    </r>
    <r>
      <rPr>
        <vertAlign val="superscript"/>
        <sz val="10"/>
        <color theme="1"/>
        <rFont val="Times New Roman"/>
        <family val="1"/>
      </rPr>
      <t>‑3</t>
    </r>
  </si>
  <si>
    <r>
      <t>62.9 × 10</t>
    </r>
    <r>
      <rPr>
        <vertAlign val="superscript"/>
        <sz val="10"/>
        <color theme="1"/>
        <rFont val="Times New Roman"/>
        <family val="1"/>
      </rPr>
      <t>‑3</t>
    </r>
  </si>
  <si>
    <r>
      <t>18.1 × 10</t>
    </r>
    <r>
      <rPr>
        <vertAlign val="superscript"/>
        <sz val="10"/>
        <color theme="1"/>
        <rFont val="Times New Roman"/>
        <family val="1"/>
      </rPr>
      <t>‑3</t>
    </r>
  </si>
  <si>
    <r>
      <t>4.0 × 10</t>
    </r>
    <r>
      <rPr>
        <vertAlign val="superscript"/>
        <sz val="10"/>
        <color theme="1"/>
        <rFont val="Times New Roman"/>
        <family val="1"/>
      </rPr>
      <t>‑3</t>
    </r>
  </si>
  <si>
    <r>
      <t>39.0 × 10</t>
    </r>
    <r>
      <rPr>
        <vertAlign val="superscript"/>
        <sz val="10"/>
        <color theme="1"/>
        <rFont val="Times New Roman"/>
        <family val="1"/>
      </rPr>
      <t>‑3</t>
    </r>
  </si>
  <si>
    <t>25.3 GJ/kL</t>
  </si>
  <si>
    <t>Convert gigajoules (GJ) to cubic metres (m3)</t>
  </si>
  <si>
    <t>Convert cubic metres (m3) to gigajoules (GJ)</t>
  </si>
  <si>
    <t>QUICK LOOKUP</t>
  </si>
  <si>
    <t>Lookup energy content factors and emission factors of fuels and energy sources</t>
  </si>
  <si>
    <t>1. select fuel type</t>
  </si>
  <si>
    <t>LOOKUP</t>
  </si>
  <si>
    <t>Solid fuels</t>
  </si>
  <si>
    <t>Gaseous fuels</t>
  </si>
  <si>
    <t>Liquid fuels - transport</t>
  </si>
  <si>
    <t>Liquid fuels - stationary</t>
  </si>
  <si>
    <t>Biomass municipal and industrial materials *</t>
  </si>
  <si>
    <t>Non‑biomass municipal materials *</t>
  </si>
  <si>
    <t>Industrial materials and tyres that are derived from fossil fuels *</t>
  </si>
  <si>
    <t>Ethanol for use as fuel in an internal combustion engine (post 2004)</t>
  </si>
  <si>
    <t>Diesel Oil (Euro iv or higher)</t>
  </si>
  <si>
    <t>Diesel Oil (Euro iii)</t>
  </si>
  <si>
    <t>Diesel Oil (Euro i)</t>
  </si>
  <si>
    <t>GJ/kL</t>
  </si>
  <si>
    <t>GJ/tonne</t>
  </si>
  <si>
    <t>GJ/m3</t>
  </si>
  <si>
    <t>1. select conversion</t>
  </si>
  <si>
    <t>Other petroleum based products other than:</t>
  </si>
  <si>
    <t>Gasoline (other than for use as fuel in an aircraft) - transport</t>
  </si>
  <si>
    <t>Diesel oil - transport</t>
  </si>
  <si>
    <t>Gasoline for use as fuel in an aircraft - transport</t>
  </si>
  <si>
    <t>Kerosene for use as fuel in an aircraft - transport</t>
  </si>
  <si>
    <t>Fuel oil - transport</t>
  </si>
  <si>
    <t>Liquefied petroleum gas - transport</t>
  </si>
  <si>
    <t>Biodiesel - transport</t>
  </si>
  <si>
    <t>Ethanol for use as fuel in an internal combustion engine - transport</t>
  </si>
  <si>
    <t>Other biofuels - transport</t>
  </si>
  <si>
    <t>Compressed natural gas that has reverted to standard conditions (light duty vehicles) - transport</t>
  </si>
  <si>
    <t>Compressed natural gas that has reverted to standard conditions (heavy duty vehicles) - transport</t>
  </si>
  <si>
    <t>Liquefied natural gas (light duty vehicles) - transport</t>
  </si>
  <si>
    <t>Liquefied natural gas (heavy duty vehicles) - transport</t>
  </si>
  <si>
    <t>Gasoline (post 2004) - transport</t>
  </si>
  <si>
    <t>Diesel oil (post 2004) - transport</t>
  </si>
  <si>
    <t>Liquefied petroleum gas (post 2004) - transport</t>
  </si>
  <si>
    <t>Combusted</t>
  </si>
  <si>
    <t>Not combusted</t>
  </si>
  <si>
    <r>
      <t>kg CO</t>
    </r>
    <r>
      <rPr>
        <vertAlign val="subscript"/>
        <sz val="11"/>
        <color theme="1"/>
        <rFont val="Calibri"/>
        <family val="2"/>
        <scheme val="minor"/>
      </rPr>
      <t>2</t>
    </r>
    <r>
      <rPr>
        <sz val="11"/>
        <color theme="1"/>
        <rFont val="Calibri"/>
        <family val="2"/>
        <scheme val="minor"/>
      </rPr>
      <t>-e/GJ</t>
    </r>
  </si>
  <si>
    <t>Energy content factor (ECF)</t>
  </si>
  <si>
    <r>
      <t>Carbon dioxide (CO</t>
    </r>
    <r>
      <rPr>
        <b/>
        <vertAlign val="subscript"/>
        <sz val="11"/>
        <color theme="1"/>
        <rFont val="Calibri"/>
        <family val="2"/>
        <scheme val="minor"/>
      </rPr>
      <t>2</t>
    </r>
    <r>
      <rPr>
        <b/>
        <sz val="11"/>
        <color theme="1"/>
        <rFont val="Calibri"/>
        <family val="2"/>
        <scheme val="minor"/>
      </rPr>
      <t>)</t>
    </r>
  </si>
  <si>
    <r>
      <t>Methane (CH</t>
    </r>
    <r>
      <rPr>
        <b/>
        <vertAlign val="subscript"/>
        <sz val="11"/>
        <color theme="1"/>
        <rFont val="Calibri"/>
        <family val="2"/>
        <scheme val="minor"/>
      </rPr>
      <t>4</t>
    </r>
    <r>
      <rPr>
        <b/>
        <sz val="11"/>
        <color theme="1"/>
        <rFont val="Calibri"/>
        <family val="2"/>
        <scheme val="minor"/>
      </rPr>
      <t>)</t>
    </r>
  </si>
  <si>
    <r>
      <t>Nitrous Oxide (N</t>
    </r>
    <r>
      <rPr>
        <b/>
        <vertAlign val="subscript"/>
        <sz val="11"/>
        <color theme="1"/>
        <rFont val="Calibri"/>
        <family val="2"/>
        <scheme val="minor"/>
      </rPr>
      <t>2</t>
    </r>
    <r>
      <rPr>
        <b/>
        <sz val="11"/>
        <color theme="1"/>
        <rFont val="Calibri"/>
        <family val="2"/>
        <scheme val="minor"/>
      </rPr>
      <t>O)</t>
    </r>
  </si>
  <si>
    <t>1 tonne equals</t>
  </si>
  <si>
    <t>1 kilolitre equals</t>
  </si>
  <si>
    <t>1 cubic metre equals</t>
  </si>
  <si>
    <t>A biogas that is captured for combustion (methane only)</t>
  </si>
  <si>
    <t>Industrial materials and tyres that are derived from fossil fuels (RCPHE)</t>
  </si>
  <si>
    <t>Non-biomass municipal materials (RCPHE)</t>
  </si>
  <si>
    <t>Reported emissions</t>
  </si>
  <si>
    <t>Calculated full-year emissions</t>
  </si>
  <si>
    <t>ANNUAL FACILITY REPORTING THRESHOLDS</t>
  </si>
  <si>
    <t>ANNUAL REPORTING THRESHOLDS</t>
  </si>
  <si>
    <t>ANNUAL CORPORATE REPORTING THRESHOLDS</t>
  </si>
  <si>
    <t>This calculator is meant as a guide only. While reasonable efforts have been made to ensure that the contents of the calculator are factually correct, the Commonwealth does not accept responsibility for the accuracy or completeness of the contents, and shall not be liable for any loss or damage that may be occasioned directly or indirectly through the use of, or reliance on, the data produced by the calculator.</t>
  </si>
  <si>
    <t>The calculators are meant as a guide only. While reasonable efforts have been made to ensure that the contents of the calculators are factually correct, the Commonwealth does not accept responsibility for the accuracy or completeness of the contents, and shall not be liable for any loss or damage that may be occasioned directly or indirectly through the use of, or reliance on, the data produced by the calculators.</t>
  </si>
  <si>
    <t>2. select fuel</t>
  </si>
  <si>
    <t>3. select action</t>
  </si>
  <si>
    <r>
      <t>Total Scope 1 transport emissions (t CO</t>
    </r>
    <r>
      <rPr>
        <vertAlign val="subscript"/>
        <sz val="11"/>
        <color theme="1"/>
        <rFont val="Calibri"/>
        <family val="2"/>
        <scheme val="minor"/>
      </rPr>
      <t>2</t>
    </r>
    <r>
      <rPr>
        <sz val="11"/>
        <color theme="1"/>
        <rFont val="Calibri"/>
        <family val="2"/>
        <scheme val="minor"/>
      </rPr>
      <t>-e) and energy consumed (GJ)</t>
    </r>
  </si>
  <si>
    <r>
      <t>Total Scope 1 non-transport emissions (t CO</t>
    </r>
    <r>
      <rPr>
        <vertAlign val="subscript"/>
        <sz val="11"/>
        <color theme="1"/>
        <rFont val="Calibri"/>
        <family val="2"/>
        <scheme val="minor"/>
      </rPr>
      <t>2</t>
    </r>
    <r>
      <rPr>
        <sz val="11"/>
        <color theme="1"/>
        <rFont val="Calibri"/>
        <family val="2"/>
        <scheme val="minor"/>
      </rPr>
      <t>-e) and energy consumed (GJ)</t>
    </r>
  </si>
  <si>
    <r>
      <t>CO</t>
    </r>
    <r>
      <rPr>
        <vertAlign val="subscript"/>
        <sz val="11"/>
        <color theme="1"/>
        <rFont val="Calibri"/>
        <family val="2"/>
        <scheme val="minor"/>
      </rPr>
      <t>2</t>
    </r>
  </si>
  <si>
    <r>
      <t>CH</t>
    </r>
    <r>
      <rPr>
        <vertAlign val="subscript"/>
        <sz val="11"/>
        <color theme="1"/>
        <rFont val="Calibri"/>
        <family val="2"/>
        <scheme val="minor"/>
      </rPr>
      <t>4</t>
    </r>
  </si>
  <si>
    <r>
      <t>N</t>
    </r>
    <r>
      <rPr>
        <vertAlign val="subscript"/>
        <sz val="11"/>
        <color theme="1"/>
        <rFont val="Calibri"/>
        <family val="2"/>
        <scheme val="minor"/>
      </rPr>
      <t>2</t>
    </r>
    <r>
      <rPr>
        <sz val="11"/>
        <color theme="1"/>
        <rFont val="Calibri"/>
        <family val="2"/>
        <scheme val="minor"/>
      </rPr>
      <t>O</t>
    </r>
  </si>
  <si>
    <r>
      <t>(t CO</t>
    </r>
    <r>
      <rPr>
        <vertAlign val="subscript"/>
        <sz val="11"/>
        <color theme="1"/>
        <rFont val="Calibri"/>
        <family val="2"/>
        <scheme val="minor"/>
      </rPr>
      <t>2</t>
    </r>
    <r>
      <rPr>
        <sz val="11"/>
        <color theme="1"/>
        <rFont val="Calibri"/>
        <family val="2"/>
        <scheme val="minor"/>
      </rPr>
      <t>-e)</t>
    </r>
  </si>
  <si>
    <r>
      <t>Total Scope 2 emissions (t CO</t>
    </r>
    <r>
      <rPr>
        <vertAlign val="subscript"/>
        <sz val="11"/>
        <color theme="1"/>
        <rFont val="Calibri"/>
        <family val="2"/>
        <scheme val="minor"/>
      </rPr>
      <t>2</t>
    </r>
    <r>
      <rPr>
        <sz val="11"/>
        <color theme="1"/>
        <rFont val="Calibri"/>
        <family val="2"/>
        <scheme val="minor"/>
      </rPr>
      <t>-e) and energy consumed (GJ)</t>
    </r>
  </si>
  <si>
    <t>INSTRUCTIONS</t>
  </si>
  <si>
    <r>
      <t>t CO</t>
    </r>
    <r>
      <rPr>
        <vertAlign val="subscript"/>
        <sz val="11"/>
        <color theme="1"/>
        <rFont val="Calibri"/>
        <family val="2"/>
        <scheme val="minor"/>
      </rPr>
      <t>2</t>
    </r>
    <r>
      <rPr>
        <sz val="11"/>
        <color theme="1"/>
        <rFont val="Calibri"/>
        <family val="2"/>
        <scheme val="minor"/>
      </rPr>
      <t>-e</t>
    </r>
  </si>
  <si>
    <r>
      <t>t CO</t>
    </r>
    <r>
      <rPr>
        <b/>
        <vertAlign val="subscript"/>
        <sz val="11"/>
        <color theme="1"/>
        <rFont val="Calibri"/>
        <family val="2"/>
        <scheme val="minor"/>
      </rPr>
      <t>2</t>
    </r>
    <r>
      <rPr>
        <b/>
        <sz val="11"/>
        <color theme="1"/>
        <rFont val="Calibri"/>
        <family val="2"/>
        <scheme val="minor"/>
      </rPr>
      <t>-e</t>
    </r>
  </si>
  <si>
    <t>FUGITIVE EMISSIONS (DIRECT ENTRY)</t>
  </si>
  <si>
    <r>
      <t>Greenhouse gasses (t CO</t>
    </r>
    <r>
      <rPr>
        <vertAlign val="subscript"/>
        <sz val="11"/>
        <color theme="1"/>
        <rFont val="Calibri"/>
        <family val="2"/>
        <scheme val="minor"/>
      </rPr>
      <t>2</t>
    </r>
    <r>
      <rPr>
        <sz val="11"/>
        <color theme="1"/>
        <rFont val="Calibri"/>
        <family val="2"/>
        <scheme val="minor"/>
      </rPr>
      <t>-e)</t>
    </r>
  </si>
  <si>
    <t>Enter gas below</t>
  </si>
  <si>
    <r>
      <t>Total Scope 1 emissions (t CO</t>
    </r>
    <r>
      <rPr>
        <vertAlign val="subscript"/>
        <sz val="11"/>
        <color theme="1"/>
        <rFont val="Calibri"/>
        <family val="2"/>
        <scheme val="minor"/>
      </rPr>
      <t>2</t>
    </r>
    <r>
      <rPr>
        <sz val="11"/>
        <color theme="1"/>
        <rFont val="Calibri"/>
        <family val="2"/>
        <scheme val="minor"/>
      </rPr>
      <t>-e)</t>
    </r>
  </si>
  <si>
    <t>Enter custom emissions</t>
  </si>
  <si>
    <t>Methane from wastewater</t>
  </si>
  <si>
    <t>The following electricity and gas calculators will convert between gigaJoules (GJ) and other units used to measure the amount of electricity or gaseous fuels. Perform each step in order for each calculator to undertake the converstion. The quick lookup calculator will display the emissions and energy  associated with each fuel type and whether is is combusted or otherwise consumed.</t>
  </si>
  <si>
    <t>For an explanation of what each field represents, hover your mouse cursor over the highlighted fields.</t>
  </si>
  <si>
    <t>Uranium</t>
  </si>
  <si>
    <t>470000</t>
  </si>
  <si>
    <t>Sulphur</t>
  </si>
  <si>
    <t>4.9</t>
  </si>
  <si>
    <t>Hydrogen</t>
  </si>
  <si>
    <t>143</t>
  </si>
  <si>
    <t>Select energy commodities below …</t>
  </si>
  <si>
    <t>0</t>
  </si>
  <si>
    <t>This work is licensed under the Creative Commons Attribution 3.0 Australia Licence. To view a copy of this license, visit http://creativecommons.org/licenses/by/3.0/au 
If you use materials that are licensed under Creative Commons, you are also required to retain any symbols and notices that are included in the materials. Where there are no symbols or notices present on materials you must attribute the work. The Clean Energy Regulator asserts the right to be recognised as author of the original material in the following manner:
© Commonwealth of Australia (2020) Clean Energy Regulator.</t>
  </si>
  <si>
    <t>© Commonwealth of Australia 2020</t>
  </si>
  <si>
    <t>EMISSIONS AND ENERGY THRESHOLD CALCULATOR</t>
  </si>
  <si>
    <t>Emissions and Energy Threshold Calculator © Commonwealth of Australia 2020. This work is copyright. Apart from any use as permitted under the Copyright Act 1968, no part may be reproduced by any process without written permission from the Commonwealth. Requests and inquiries concerning reproduction and rights should be addressed to the Commonwealth Copyright Administration, Attorney-General's Department, 3-5 National Circuit BARTON ACT 2600. Email: commonwealth.copyright@ag.gov.au or posted at www.ag.gov.au.</t>
  </si>
  <si>
    <t>ABOUT THIS CALCULATOR
TITLE — Emissions and Energy Threshold Calculator 
VERSION — 1.1 - July 2020
AUTHOR — The Clean Energy Regulator</t>
  </si>
  <si>
    <t xml:space="preserve">ABOUT THIS CALCULATOR
The National Greenhouse and Energy Reporting Threshold Calculator (the Calculator) has been developed by the Clean Energy Regulator (the agency) to assist entities to comply with their reporting obligations under the National Greenhouse and Energy Reporting Act 2007 (NGER Act) and associated legislation. The Calculator should be used in conjunction with the NGER Act, National Greenhouse and Energy Reporting Regulations 2008 and National Greenhouse and Energy Reporting (Measurement) Determination 2008 in their current form. These laws and their interpretation are subject to change, which may affect the accuracy of the outputs of in the Calculator.
This Calculator (version 1.1) is valid for the 2019-2020 reporting year and is valid for subsequent reporting years until a newer calculator has been made available.  Reporters must check the agency website www.cleanenergyregulator.gov.au/NGER/Forms-and-resources/Calculators to ensure that they are using the most current version of the Calculator.
The information to be input in the Calculator is not exhaustive of all matters required to be reported, nor does the Calculator cover all circumstances applicable to all entities. The Calculator is not intended to comprehensively deal with its subject area; nor is it a substitute for independent legal advice. The calculations that are generated by the Calculator are an estimate only, intended to be used for guidance purposes and to assist entities in their reporting. The agency and the Commonwealth of Australia do not warrant that any estimates or outputs generated by the Calculator will be accurate, complete, or up to date. Entities are not required to use the estimates generated by the Calculator, however, entities must ensure they meet their obligations under the National Greenhouse and Energy Reporting scheme at all times. The agency encourages all users of the Calculator to seek independent legal advice before taking any action or decision, including finalising any report, on the basis of the Calculator.
Entities are responsible for determining their obligations under the law and for applying the law to their individual circumstances. The agency and the Commonwealth of Australia bear no responsibility for the data input to the Calculator by users, or for the outputs of the Calculator, and will in no event be liable for any direct, incidental, or consequential loss or damage of any kind, arising out of or in connection with, any use of the Calculator, reliance on the Calculator’s output, or reliance on any other information or advice on this website. 
The agency and the Commonwealth of Australia do not guarantee uninterrupted access to the Calculator or that the associated website and files obtained from or through this website are free from harmful code including viruses or spyware, and recommend the use of appropriate software to protect your systems.
</t>
  </si>
  <si>
    <t xml:space="preserve">
HOW TO USE THIS CALCULATOR
Emissions and energy data is entered by first clicking on the Facility tabs below. The Calculator allows for data to be entered for up to six facilities. To report, first select the fuel/energy source from the appropriate drop-down menu and then enter an appropriate amount in the next field according the unit selected by the Calculator. 
The Calculator will calculate the associated emissions or energy and threshold status based on the data you have entered.  To view an example, click on the Example tab below.
If you are reporting part-year data then you will need to enter the number of days that the data covers. The Calculator will determine the full year emissions and energy data based on the amount you have entered for the number of days you have selected.   The calculator will determine if the reporting threshold has been reached based on the calculated full year data.
</t>
  </si>
  <si>
    <t xml:space="preserve">The Output tab will display the total emissions and energy data at the corporate level. This amount will be the calculated annual amount based on the data entered for each facility.
RESOURCES
The following resources, located on the agency website, may assist you in determining if you have reporting obligations under the the National Greenhouse and Energy Reporting legislation.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</si>
</sst>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
  </numFmts>
  <fonts count="42" x14ac:knownFonts="1">
    <font>
      <sz val="11"/>
      <color theme="1"/>
      <name val="Calibri"/>
      <family val="2"/>
      <scheme val="minor"/>
    </font>
    <font>
      <sz val="11"/>
      <name val="Calibri"/>
      <family val="2"/>
      <scheme val="minor"/>
    </font>
    <font>
      <u/>
      <sz val="11"/>
      <color theme="10"/>
      <name val="Calibri"/>
      <family val="2"/>
      <scheme val="minor"/>
    </font>
    <font>
      <u/>
      <sz val="11"/>
      <color theme="11"/>
      <name val="Calibri"/>
      <family val="2"/>
      <scheme val="minor"/>
    </font>
    <font>
      <sz val="8"/>
      <name val="Calibri"/>
      <family val="2"/>
      <scheme val="minor"/>
    </font>
    <font>
      <sz val="11"/>
      <color theme="1"/>
      <name val="Arial"/>
      <family val="2"/>
    </font>
    <font>
      <b/>
      <sz val="11"/>
      <color theme="1"/>
      <name val="Arial"/>
      <family val="2"/>
    </font>
    <font>
      <sz val="20"/>
      <color theme="1"/>
      <name val="Arial"/>
      <family val="2"/>
    </font>
    <font>
      <sz val="20"/>
      <color theme="1"/>
      <name val="Arial"/>
      <family val="2"/>
    </font>
    <font>
      <sz val="18"/>
      <color theme="1"/>
      <name val="Arial"/>
      <family val="2"/>
    </font>
    <font>
      <b/>
      <sz val="11"/>
      <color theme="1"/>
      <name val="Calibri"/>
      <family val="2"/>
      <scheme val="minor"/>
    </font>
    <font>
      <sz val="14"/>
      <color theme="1"/>
      <name val="Calibri"/>
      <family val="2"/>
      <scheme val="minor"/>
    </font>
    <font>
      <sz val="16"/>
      <color theme="1"/>
      <name val="Calibri"/>
      <family val="2"/>
      <scheme val="minor"/>
    </font>
    <font>
      <b/>
      <sz val="16"/>
      <color theme="1"/>
      <name val="Calibri"/>
      <family val="2"/>
      <scheme val="minor"/>
    </font>
    <font>
      <sz val="11"/>
      <color rgb="FFFF0000"/>
      <name val="Calibri"/>
      <family val="2"/>
      <scheme val="minor"/>
    </font>
    <font>
      <sz val="12"/>
      <color theme="1"/>
      <name val="Calibri"/>
      <family val="2"/>
      <scheme val="minor"/>
    </font>
    <font>
      <b/>
      <sz val="12"/>
      <color theme="1"/>
      <name val="Calibri"/>
      <family val="2"/>
      <scheme val="minor"/>
    </font>
    <font>
      <b/>
      <sz val="11"/>
      <color theme="9" tint="-0.249977111117893"/>
      <name val="Calibri"/>
      <family val="2"/>
      <scheme val="minor"/>
    </font>
    <font>
      <b/>
      <sz val="11"/>
      <color rgb="FFFF0000"/>
      <name val="Calibri"/>
      <family val="2"/>
      <scheme val="minor"/>
    </font>
    <font>
      <b/>
      <sz val="14"/>
      <color theme="1"/>
      <name val="Calibri"/>
      <family val="2"/>
      <scheme val="minor"/>
    </font>
    <font>
      <b/>
      <sz val="10"/>
      <color theme="0"/>
      <name val="Calibri"/>
      <family val="2"/>
      <scheme val="minor"/>
    </font>
    <font>
      <vertAlign val="subscript"/>
      <sz val="12"/>
      <color theme="1"/>
      <name val="Calibri"/>
      <family val="2"/>
      <scheme val="minor"/>
    </font>
    <font>
      <b/>
      <vertAlign val="subscript"/>
      <sz val="12"/>
      <color theme="1"/>
      <name val="Calibri"/>
      <family val="2"/>
      <scheme val="minor"/>
    </font>
    <font>
      <b/>
      <vertAlign val="subscript"/>
      <sz val="11"/>
      <color theme="9" tint="-0.249977111117893"/>
      <name val="Calibri"/>
      <family val="2"/>
      <scheme val="minor"/>
    </font>
    <font>
      <b/>
      <vertAlign val="subscript"/>
      <sz val="11"/>
      <color rgb="FFFF0000"/>
      <name val="Calibri"/>
      <family val="2"/>
      <scheme val="minor"/>
    </font>
    <font>
      <sz val="9"/>
      <color indexed="81"/>
      <name val="Tahoma"/>
      <family val="2"/>
    </font>
    <font>
      <sz val="11"/>
      <color indexed="81"/>
      <name val="Calibri"/>
      <family val="2"/>
    </font>
    <font>
      <sz val="18"/>
      <color theme="1"/>
      <name val="Calibri"/>
      <family val="2"/>
      <scheme val="minor"/>
    </font>
    <font>
      <sz val="10"/>
      <color theme="1"/>
      <name val="Times New Roman"/>
      <family val="1"/>
    </font>
    <font>
      <sz val="11"/>
      <color theme="1"/>
      <name val="Calibri"/>
      <family val="2"/>
    </font>
    <font>
      <vertAlign val="superscript"/>
      <sz val="10"/>
      <color theme="1"/>
      <name val="Times New Roman"/>
      <family val="1"/>
    </font>
    <font>
      <sz val="11"/>
      <color theme="1"/>
      <name val="Times New Roman"/>
      <family val="1"/>
    </font>
    <font>
      <vertAlign val="subscript"/>
      <sz val="11"/>
      <color theme="1"/>
      <name val="Calibri"/>
      <family val="2"/>
      <scheme val="minor"/>
    </font>
    <font>
      <b/>
      <vertAlign val="subscript"/>
      <sz val="11"/>
      <color theme="1"/>
      <name val="Calibri"/>
      <family val="2"/>
      <scheme val="minor"/>
    </font>
    <font>
      <i/>
      <sz val="11"/>
      <color theme="1"/>
      <name val="Calibri"/>
      <family val="2"/>
      <scheme val="minor"/>
    </font>
    <font>
      <sz val="11"/>
      <color theme="0"/>
      <name val="Arial"/>
      <family val="2"/>
    </font>
    <font>
      <sz val="20"/>
      <color theme="1"/>
      <name val="Calibri"/>
      <family val="2"/>
      <scheme val="minor"/>
    </font>
    <font>
      <sz val="20"/>
      <color theme="4" tint="0.79998168889431442"/>
      <name val="Calibri"/>
      <family val="2"/>
      <scheme val="minor"/>
    </font>
    <font>
      <i/>
      <sz val="11"/>
      <color indexed="81"/>
      <name val="Calibri"/>
      <family val="2"/>
    </font>
    <font>
      <i/>
      <sz val="10"/>
      <color rgb="FF333333"/>
      <name val="Arial"/>
      <family val="2"/>
    </font>
    <font>
      <sz val="11"/>
      <color rgb="FF333333"/>
      <name val="Calibri"/>
      <family val="2"/>
      <scheme val="minor"/>
    </font>
    <font>
      <i/>
      <sz val="18"/>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FFCC"/>
        <bgColor indexed="64"/>
      </patternFill>
    </fill>
  </fills>
  <borders count="61">
    <border>
      <left/>
      <right/>
      <top/>
      <bottom/>
      <diagonal/>
    </border>
    <border>
      <left/>
      <right/>
      <top/>
      <bottom style="thin">
        <color theme="0" tint="-0.14996795556505021"/>
      </bottom>
      <diagonal/>
    </border>
    <border>
      <left/>
      <right/>
      <top/>
      <bottom style="thin">
        <color theme="0" tint="-0.14993743705557422"/>
      </bottom>
      <diagonal/>
    </border>
    <border>
      <left/>
      <right/>
      <top style="thin">
        <color theme="0" tint="-0.14996795556505021"/>
      </top>
      <bottom style="thin">
        <color theme="0" tint="-0.14996795556505021"/>
      </bottom>
      <diagonal/>
    </border>
    <border>
      <left/>
      <right/>
      <top style="thin">
        <color theme="0" tint="-0.14993743705557422"/>
      </top>
      <bottom/>
      <diagonal/>
    </border>
    <border>
      <left/>
      <right/>
      <top style="thin">
        <color theme="0" tint="-0.14996795556505021"/>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indexed="64"/>
      </left>
      <right/>
      <top/>
      <bottom/>
      <diagonal/>
    </border>
    <border>
      <left style="thin">
        <color theme="1"/>
      </left>
      <right style="thin">
        <color theme="1"/>
      </right>
      <top style="thin">
        <color theme="1"/>
      </top>
      <bottom style="thin">
        <color theme="1"/>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style="thin">
        <color theme="0" tint="-0.14996795556505021"/>
      </left>
      <right/>
      <top/>
      <bottom style="thin">
        <color theme="0" tint="-0.14993743705557422"/>
      </bottom>
      <diagonal/>
    </border>
    <border>
      <left style="thin">
        <color theme="0" tint="-0.14993743705557422"/>
      </left>
      <right/>
      <top style="thin">
        <color theme="0" tint="-0.14993743705557422"/>
      </top>
      <bottom/>
      <diagonal/>
    </border>
    <border>
      <left/>
      <right style="thin">
        <color theme="0" tint="-0.14993743705557422"/>
      </right>
      <top style="thin">
        <color theme="0" tint="-0.14993743705557422"/>
      </top>
      <bottom/>
      <diagonal/>
    </border>
    <border>
      <left style="thin">
        <color theme="0" tint="-0.14993743705557422"/>
      </left>
      <right/>
      <top/>
      <bottom/>
      <diagonal/>
    </border>
    <border>
      <left/>
      <right style="thin">
        <color theme="0" tint="-0.14993743705557422"/>
      </right>
      <top/>
      <bottom/>
      <diagonal/>
    </border>
    <border>
      <left style="thin">
        <color theme="0" tint="-0.14993743705557422"/>
      </left>
      <right/>
      <top/>
      <bottom style="thin">
        <color theme="0" tint="-0.14993743705557422"/>
      </bottom>
      <diagonal/>
    </border>
    <border>
      <left/>
      <right style="thin">
        <color theme="0" tint="-0.14993743705557422"/>
      </right>
      <top/>
      <bottom style="thin">
        <color theme="0" tint="-0.14993743705557422"/>
      </bottom>
      <diagonal/>
    </border>
    <border>
      <left style="thin">
        <color theme="0" tint="-0.14990691854609822"/>
      </left>
      <right/>
      <top style="thin">
        <color theme="0" tint="-0.14990691854609822"/>
      </top>
      <bottom style="thin">
        <color theme="0" tint="-0.14990691854609822"/>
      </bottom>
      <diagonal/>
    </border>
    <border>
      <left/>
      <right style="thin">
        <color theme="0" tint="-0.14990691854609822"/>
      </right>
      <top style="thin">
        <color theme="0" tint="-0.14990691854609822"/>
      </top>
      <bottom style="thin">
        <color theme="0" tint="-0.14990691854609822"/>
      </bottom>
      <diagonal/>
    </border>
    <border>
      <left/>
      <right style="thin">
        <color theme="0" tint="-0.14993743705557422"/>
      </right>
      <top style="thin">
        <color theme="0" tint="-0.14996795556505021"/>
      </top>
      <bottom/>
      <diagonal/>
    </border>
    <border>
      <left/>
      <right/>
      <top style="thin">
        <color auto="1"/>
      </top>
      <bottom style="thin">
        <color theme="0" tint="-0.14996795556505021"/>
      </bottom>
      <diagonal/>
    </border>
    <border>
      <left/>
      <right style="thin">
        <color theme="0" tint="-0.14996795556505021"/>
      </right>
      <top style="thin">
        <color auto="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0691854609822"/>
      </left>
      <right/>
      <top/>
      <bottom style="thin">
        <color theme="0" tint="-0.14990691854609822"/>
      </bottom>
      <diagonal/>
    </border>
    <border>
      <left/>
      <right style="thin">
        <color theme="0" tint="-0.14990691854609822"/>
      </right>
      <top/>
      <bottom style="thin">
        <color theme="0" tint="-0.14990691854609822"/>
      </bottom>
      <diagonal/>
    </border>
    <border>
      <left style="thin">
        <color theme="0" tint="-0.1498764000366222"/>
      </left>
      <right/>
      <top style="thin">
        <color theme="0" tint="-0.1498764000366222"/>
      </top>
      <bottom style="thin">
        <color theme="0" tint="-0.1498764000366222"/>
      </bottom>
      <diagonal/>
    </border>
    <border>
      <left/>
      <right style="thin">
        <color theme="0" tint="-0.1498764000366222"/>
      </right>
      <top style="thin">
        <color theme="0" tint="-0.1498764000366222"/>
      </top>
      <bottom style="thin">
        <color theme="0" tint="-0.1498764000366222"/>
      </bottom>
      <diagonal/>
    </border>
    <border>
      <left/>
      <right style="thin">
        <color theme="0" tint="-0.14996795556505021"/>
      </right>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thin">
        <color theme="0" tint="-0.1498764000366222"/>
      </right>
      <top/>
      <bottom/>
      <diagonal/>
    </border>
    <border>
      <left style="thin">
        <color theme="0" tint="-0.14993743705557422"/>
      </left>
      <right style="thin">
        <color theme="0" tint="-0.14993743705557422"/>
      </right>
      <top/>
      <bottom/>
      <diagonal/>
    </border>
    <border>
      <left style="thin">
        <color theme="0" tint="-0.14996795556505021"/>
      </left>
      <right style="thin">
        <color theme="0" tint="-0.14996795556505021"/>
      </right>
      <top/>
      <bottom/>
      <diagonal/>
    </border>
    <border>
      <left/>
      <right/>
      <top/>
      <bottom style="thick">
        <color indexed="64"/>
      </bottom>
      <diagonal/>
    </border>
    <border>
      <left style="thin">
        <color theme="0" tint="-0.14993743705557422"/>
      </left>
      <right style="thin">
        <color theme="0" tint="-0.14993743705557422"/>
      </right>
      <top/>
      <bottom style="thin">
        <color theme="0" tint="-0.14993743705557422"/>
      </bottom>
      <diagonal/>
    </border>
    <border>
      <left style="thin">
        <color theme="0" tint="-0.14990691854609822"/>
      </left>
      <right style="thin">
        <color theme="0" tint="-0.14990691854609822"/>
      </right>
      <top style="thin">
        <color theme="0" tint="-0.14990691854609822"/>
      </top>
      <bottom/>
      <diagonal/>
    </border>
    <border>
      <left style="thin">
        <color theme="0" tint="-0.14990691854609822"/>
      </left>
      <right style="thin">
        <color theme="0" tint="-0.14990691854609822"/>
      </right>
      <top/>
      <bottom/>
      <diagonal/>
    </border>
    <border>
      <left style="thin">
        <color theme="0" tint="-0.14990691854609822"/>
      </left>
      <right style="thin">
        <color theme="0" tint="-0.14990691854609822"/>
      </right>
      <top/>
      <bottom style="thin">
        <color theme="0" tint="-0.14990691854609822"/>
      </bottom>
      <diagonal/>
    </border>
    <border>
      <left style="thin">
        <color theme="0" tint="-0.14990691854609822"/>
      </left>
      <right/>
      <top style="thin">
        <color theme="0" tint="-0.14990691854609822"/>
      </top>
      <bottom/>
      <diagonal/>
    </border>
    <border>
      <left style="thin">
        <color theme="0" tint="-0.14996795556505021"/>
      </left>
      <right style="thin">
        <color theme="0" tint="-0.14996795556505021"/>
      </right>
      <top style="thin">
        <color theme="0" tint="-0.14990691854609822"/>
      </top>
      <bottom style="thin">
        <color theme="0" tint="-0.14996795556505021"/>
      </bottom>
      <diagonal/>
    </border>
    <border>
      <left/>
      <right style="thin">
        <color theme="0" tint="-0.14990691854609822"/>
      </right>
      <top style="thin">
        <color theme="0" tint="-0.14990691854609822"/>
      </top>
      <bottom/>
      <diagonal/>
    </border>
    <border>
      <left/>
      <right/>
      <top/>
      <bottom style="thin">
        <color theme="0" tint="-0.14990691854609822"/>
      </bottom>
      <diagonal/>
    </border>
    <border>
      <left style="thin">
        <color theme="0" tint="-0.14996795556505021"/>
      </left>
      <right style="thin">
        <color theme="0" tint="-0.14993743705557422"/>
      </right>
      <top style="thin">
        <color theme="0" tint="-0.14990691854609822"/>
      </top>
      <bottom/>
      <diagonal/>
    </border>
    <border>
      <left style="thin">
        <color theme="0" tint="-0.14993743705557422"/>
      </left>
      <right style="thin">
        <color theme="0" tint="-0.14996795556505021"/>
      </right>
      <top style="thin">
        <color theme="0" tint="-0.14990691854609822"/>
      </top>
      <bottom/>
      <diagonal/>
    </border>
    <border>
      <left style="thin">
        <color theme="0" tint="-0.14993743705557422"/>
      </left>
      <right style="thin">
        <color theme="0" tint="-0.14996795556505021"/>
      </right>
      <top style="thin">
        <color theme="0" tint="-0.14996795556505021"/>
      </top>
      <bottom/>
      <diagonal/>
    </border>
    <border>
      <left style="thin">
        <color theme="0" tint="-0.14996795556505021"/>
      </left>
      <right style="thin">
        <color theme="0" tint="-0.14993743705557422"/>
      </right>
      <top style="thin">
        <color theme="0" tint="-0.14996795556505021"/>
      </top>
      <bottom/>
      <diagonal/>
    </border>
    <border>
      <left style="thin">
        <color theme="0" tint="-0.14993743705557422"/>
      </left>
      <right style="thin">
        <color theme="0" tint="-0.14996795556505021"/>
      </right>
      <top/>
      <bottom/>
      <diagonal/>
    </border>
    <border>
      <left style="thin">
        <color theme="0" tint="-0.14996795556505021"/>
      </left>
      <right style="thin">
        <color theme="0" tint="-0.14993743705557422"/>
      </right>
      <top/>
      <bottom/>
      <diagonal/>
    </border>
    <border>
      <left style="thin">
        <color theme="0" tint="-0.14990691854609822"/>
      </left>
      <right style="thin">
        <color theme="0" tint="-0.14990691854609822"/>
      </right>
      <top style="thin">
        <color theme="0" tint="-0.14990691854609822"/>
      </top>
      <bottom style="thin">
        <color theme="0" tint="-0.14990691854609822"/>
      </bottom>
      <diagonal/>
    </border>
  </borders>
  <cellStyleXfs count="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13">
    <xf numFmtId="0" fontId="0" fillId="0" borderId="0" xfId="0"/>
    <xf numFmtId="49" fontId="0" fillId="4" borderId="0" xfId="0" applyNumberFormat="1" applyFont="1" applyFill="1" applyBorder="1" applyAlignment="1" applyProtection="1">
      <alignment horizontal="center" vertical="center" wrapText="1"/>
      <protection hidden="1"/>
    </xf>
    <xf numFmtId="0" fontId="0" fillId="2" borderId="0" xfId="0" applyFill="1" applyProtection="1">
      <protection hidden="1"/>
    </xf>
    <xf numFmtId="0" fontId="0" fillId="5" borderId="0" xfId="0" applyFill="1" applyProtection="1">
      <protection hidden="1"/>
    </xf>
    <xf numFmtId="0" fontId="0" fillId="3" borderId="0" xfId="0" applyFill="1" applyAlignment="1" applyProtection="1">
      <alignment horizontal="center"/>
      <protection hidden="1"/>
    </xf>
    <xf numFmtId="0" fontId="5" fillId="2" borderId="0" xfId="0" applyFont="1" applyFill="1" applyProtection="1">
      <protection hidden="1"/>
    </xf>
    <xf numFmtId="0" fontId="0" fillId="2" borderId="0" xfId="0" applyFill="1" applyBorder="1" applyProtection="1">
      <protection hidden="1"/>
    </xf>
    <xf numFmtId="4" fontId="6" fillId="2" borderId="0" xfId="0" applyNumberFormat="1" applyFont="1" applyFill="1" applyBorder="1" applyAlignment="1" applyProtection="1">
      <alignment horizontal="center"/>
      <protection hidden="1"/>
    </xf>
    <xf numFmtId="0" fontId="0" fillId="2" borderId="0" xfId="0" applyFont="1" applyFill="1" applyProtection="1">
      <protection hidden="1"/>
    </xf>
    <xf numFmtId="0" fontId="0" fillId="2" borderId="10" xfId="0" applyFill="1" applyBorder="1" applyProtection="1">
      <protection hidden="1"/>
    </xf>
    <xf numFmtId="0" fontId="0" fillId="2" borderId="10" xfId="0" applyFont="1" applyFill="1" applyBorder="1" applyProtection="1">
      <protection hidden="1"/>
    </xf>
    <xf numFmtId="0" fontId="0" fillId="2" borderId="6" xfId="0" applyFill="1" applyBorder="1" applyProtection="1">
      <protection hidden="1"/>
    </xf>
    <xf numFmtId="0" fontId="0" fillId="2" borderId="0" xfId="0" applyFill="1" applyAlignment="1" applyProtection="1">
      <alignment vertical="center"/>
      <protection hidden="1"/>
    </xf>
    <xf numFmtId="0" fontId="11" fillId="2" borderId="0" xfId="0" applyFont="1" applyFill="1" applyBorder="1" applyAlignment="1" applyProtection="1">
      <alignment horizontal="left" vertical="center"/>
      <protection hidden="1"/>
    </xf>
    <xf numFmtId="4" fontId="10" fillId="2" borderId="0" xfId="0" applyNumberFormat="1" applyFont="1" applyFill="1" applyBorder="1" applyAlignment="1" applyProtection="1">
      <alignment horizontal="center" vertical="center"/>
      <protection hidden="1"/>
    </xf>
    <xf numFmtId="0" fontId="12" fillId="2" borderId="0" xfId="0" applyFont="1" applyFill="1" applyBorder="1" applyAlignment="1" applyProtection="1">
      <alignment vertical="center"/>
      <protection hidden="1"/>
    </xf>
    <xf numFmtId="2" fontId="16" fillId="2" borderId="0" xfId="0" applyNumberFormat="1" applyFont="1" applyFill="1" applyBorder="1" applyAlignment="1" applyProtection="1">
      <alignment horizontal="right" vertical="center"/>
      <protection hidden="1"/>
    </xf>
    <xf numFmtId="0" fontId="16" fillId="4" borderId="13" xfId="0" applyFont="1" applyFill="1" applyBorder="1" applyAlignment="1" applyProtection="1">
      <alignment vertical="center"/>
      <protection hidden="1"/>
    </xf>
    <xf numFmtId="4" fontId="16" fillId="4" borderId="13" xfId="0" applyNumberFormat="1" applyFont="1" applyFill="1" applyBorder="1" applyAlignment="1" applyProtection="1">
      <alignment horizontal="left" vertical="center"/>
      <protection hidden="1"/>
    </xf>
    <xf numFmtId="0" fontId="16" fillId="2" borderId="0" xfId="0" applyFont="1" applyFill="1" applyBorder="1" applyAlignment="1" applyProtection="1">
      <alignment vertical="center"/>
      <protection hidden="1"/>
    </xf>
    <xf numFmtId="0" fontId="16" fillId="4" borderId="16" xfId="0" applyFont="1" applyFill="1" applyBorder="1" applyAlignment="1" applyProtection="1">
      <alignment vertical="center"/>
      <protection hidden="1"/>
    </xf>
    <xf numFmtId="0" fontId="15" fillId="4" borderId="19" xfId="0" applyFont="1" applyFill="1" applyBorder="1" applyAlignment="1" applyProtection="1">
      <alignment vertical="center"/>
      <protection hidden="1"/>
    </xf>
    <xf numFmtId="0" fontId="14" fillId="4" borderId="19" xfId="0" applyFont="1" applyFill="1" applyBorder="1" applyAlignment="1" applyProtection="1">
      <alignment horizontal="center"/>
      <protection hidden="1"/>
    </xf>
    <xf numFmtId="0" fontId="0" fillId="2" borderId="0" xfId="0" applyFont="1" applyFill="1" applyAlignment="1" applyProtection="1">
      <alignment horizontal="center" vertical="center"/>
      <protection hidden="1"/>
    </xf>
    <xf numFmtId="4" fontId="0" fillId="2" borderId="0" xfId="0" applyNumberFormat="1" applyFont="1" applyFill="1" applyAlignment="1" applyProtection="1">
      <alignment horizontal="center" vertical="center"/>
      <protection hidden="1"/>
    </xf>
    <xf numFmtId="4" fontId="0" fillId="2" borderId="0" xfId="0" applyNumberFormat="1" applyFont="1" applyFill="1" applyAlignment="1" applyProtection="1">
      <alignment horizontal="center"/>
      <protection hidden="1"/>
    </xf>
    <xf numFmtId="0" fontId="10" fillId="2" borderId="0" xfId="0" applyFont="1" applyFill="1" applyBorder="1" applyAlignment="1" applyProtection="1">
      <alignment horizontal="center" vertical="center"/>
      <protection hidden="1"/>
    </xf>
    <xf numFmtId="4" fontId="10" fillId="2" borderId="0" xfId="0" applyNumberFormat="1" applyFont="1" applyFill="1" applyBorder="1" applyAlignment="1" applyProtection="1">
      <alignment horizontal="center"/>
      <protection hidden="1"/>
    </xf>
    <xf numFmtId="4" fontId="0" fillId="4" borderId="0" xfId="0" applyNumberFormat="1" applyFont="1" applyFill="1" applyAlignment="1" applyProtection="1">
      <alignment horizontal="center"/>
      <protection hidden="1"/>
    </xf>
    <xf numFmtId="0" fontId="0" fillId="4" borderId="0" xfId="0" applyFont="1" applyFill="1" applyProtection="1">
      <protection hidden="1"/>
    </xf>
    <xf numFmtId="4" fontId="10" fillId="4" borderId="0" xfId="0" applyNumberFormat="1" applyFont="1" applyFill="1" applyBorder="1" applyAlignment="1" applyProtection="1">
      <alignment horizontal="center" vertical="center"/>
      <protection hidden="1"/>
    </xf>
    <xf numFmtId="0" fontId="10" fillId="4" borderId="0" xfId="0" applyFont="1" applyFill="1" applyBorder="1" applyAlignment="1" applyProtection="1">
      <alignment horizontal="center" vertical="center"/>
      <protection hidden="1"/>
    </xf>
    <xf numFmtId="4" fontId="10" fillId="4" borderId="0" xfId="0" applyNumberFormat="1" applyFont="1" applyFill="1" applyBorder="1" applyAlignment="1" applyProtection="1">
      <alignment horizontal="center"/>
      <protection hidden="1"/>
    </xf>
    <xf numFmtId="0" fontId="14" fillId="2" borderId="5" xfId="0" applyFont="1" applyFill="1" applyBorder="1" applyAlignment="1" applyProtection="1">
      <alignment horizontal="center"/>
      <protection hidden="1"/>
    </xf>
    <xf numFmtId="0" fontId="17" fillId="2" borderId="5" xfId="0" applyFont="1" applyFill="1" applyBorder="1" applyAlignment="1" applyProtection="1">
      <alignment horizontal="left" vertical="center"/>
      <protection hidden="1"/>
    </xf>
    <xf numFmtId="0" fontId="18" fillId="2" borderId="25" xfId="0" applyFont="1" applyFill="1" applyBorder="1" applyAlignment="1" applyProtection="1">
      <alignment horizontal="right" vertical="center"/>
      <protection hidden="1"/>
    </xf>
    <xf numFmtId="0" fontId="11" fillId="2" borderId="0" xfId="0" applyFont="1" applyFill="1" applyBorder="1" applyProtection="1">
      <protection hidden="1"/>
    </xf>
    <xf numFmtId="0" fontId="17" fillId="2" borderId="0" xfId="0" applyFont="1" applyFill="1" applyBorder="1" applyAlignment="1" applyProtection="1">
      <alignment horizontal="left" vertical="center"/>
      <protection hidden="1"/>
    </xf>
    <xf numFmtId="0" fontId="18" fillId="2" borderId="20" xfId="0" applyFont="1" applyFill="1" applyBorder="1" applyAlignment="1" applyProtection="1">
      <alignment horizontal="right" vertical="center"/>
      <protection hidden="1"/>
    </xf>
    <xf numFmtId="0" fontId="0" fillId="2" borderId="0" xfId="0" applyFont="1" applyFill="1" applyBorder="1" applyAlignment="1" applyProtection="1">
      <alignment vertical="center"/>
      <protection hidden="1"/>
    </xf>
    <xf numFmtId="0" fontId="0" fillId="4" borderId="14" xfId="0" applyFill="1" applyBorder="1" applyProtection="1">
      <protection hidden="1"/>
    </xf>
    <xf numFmtId="0" fontId="0" fillId="4" borderId="1" xfId="0" applyFill="1" applyBorder="1" applyProtection="1">
      <protection hidden="1"/>
    </xf>
    <xf numFmtId="4" fontId="0" fillId="4" borderId="1" xfId="0" applyNumberFormat="1" applyFont="1" applyFill="1" applyBorder="1" applyAlignment="1" applyProtection="1">
      <alignment horizontal="center"/>
      <protection hidden="1"/>
    </xf>
    <xf numFmtId="0" fontId="0" fillId="4" borderId="1" xfId="0" applyFont="1" applyFill="1" applyBorder="1" applyProtection="1">
      <protection hidden="1"/>
    </xf>
    <xf numFmtId="4" fontId="0" fillId="4" borderId="1" xfId="0" applyNumberFormat="1" applyFont="1" applyFill="1" applyBorder="1" applyAlignment="1" applyProtection="1">
      <alignment horizontal="center" vertical="center"/>
      <protection hidden="1"/>
    </xf>
    <xf numFmtId="0" fontId="0" fillId="4" borderId="1" xfId="0" applyFont="1" applyFill="1" applyBorder="1" applyAlignment="1" applyProtection="1">
      <alignment horizontal="center" vertical="center"/>
      <protection hidden="1"/>
    </xf>
    <xf numFmtId="4" fontId="10" fillId="4" borderId="1" xfId="0" applyNumberFormat="1" applyFont="1" applyFill="1" applyBorder="1" applyAlignment="1" applyProtection="1">
      <alignment horizontal="center" vertical="center"/>
      <protection hidden="1"/>
    </xf>
    <xf numFmtId="0" fontId="10" fillId="4" borderId="1" xfId="0" applyFont="1" applyFill="1" applyBorder="1" applyAlignment="1" applyProtection="1">
      <alignment horizontal="center" vertical="center"/>
      <protection hidden="1"/>
    </xf>
    <xf numFmtId="4" fontId="10" fillId="4" borderId="1" xfId="0" applyNumberFormat="1" applyFont="1" applyFill="1" applyBorder="1" applyAlignment="1" applyProtection="1">
      <alignment horizontal="center"/>
      <protection hidden="1"/>
    </xf>
    <xf numFmtId="0" fontId="0" fillId="4" borderId="33" xfId="0" applyFill="1" applyBorder="1" applyProtection="1">
      <protection hidden="1"/>
    </xf>
    <xf numFmtId="4" fontId="10" fillId="2" borderId="36" xfId="0" applyNumberFormat="1" applyFont="1" applyFill="1" applyBorder="1" applyAlignment="1" applyProtection="1">
      <alignment horizontal="center"/>
      <protection hidden="1"/>
    </xf>
    <xf numFmtId="0" fontId="5" fillId="2" borderId="0" xfId="0" applyFont="1" applyFill="1" applyBorder="1" applyAlignment="1" applyProtection="1">
      <alignment horizontal="center" vertical="center"/>
      <protection hidden="1"/>
    </xf>
    <xf numFmtId="0" fontId="12" fillId="2" borderId="0" xfId="0" applyFont="1" applyFill="1" applyBorder="1" applyAlignment="1" applyProtection="1">
      <alignment horizontal="center" vertical="center"/>
      <protection hidden="1"/>
    </xf>
    <xf numFmtId="0" fontId="0" fillId="2" borderId="0" xfId="0" applyFill="1" applyBorder="1" applyAlignment="1" applyProtection="1">
      <alignment vertical="center"/>
      <protection hidden="1"/>
    </xf>
    <xf numFmtId="4" fontId="12" fillId="2" borderId="0" xfId="0" applyNumberFormat="1" applyFont="1" applyFill="1" applyBorder="1" applyAlignment="1" applyProtection="1">
      <alignment horizontal="center" vertical="center"/>
      <protection hidden="1"/>
    </xf>
    <xf numFmtId="0" fontId="12" fillId="2" borderId="20" xfId="0" applyFont="1" applyFill="1" applyBorder="1" applyAlignment="1" applyProtection="1">
      <alignment vertical="center"/>
      <protection hidden="1"/>
    </xf>
    <xf numFmtId="4" fontId="12" fillId="2" borderId="0" xfId="0" applyNumberFormat="1" applyFont="1" applyFill="1" applyBorder="1" applyAlignment="1" applyProtection="1">
      <alignment horizontal="left" vertical="center"/>
      <protection hidden="1"/>
    </xf>
    <xf numFmtId="4" fontId="10" fillId="2" borderId="0" xfId="0" applyNumberFormat="1" applyFont="1" applyFill="1" applyBorder="1" applyAlignment="1" applyProtection="1">
      <alignment horizontal="left" vertical="center"/>
      <protection hidden="1"/>
    </xf>
    <xf numFmtId="4" fontId="13" fillId="2" borderId="0" xfId="0" applyNumberFormat="1" applyFont="1" applyFill="1" applyBorder="1" applyAlignment="1" applyProtection="1">
      <alignment horizontal="left" vertical="center"/>
      <protection hidden="1"/>
    </xf>
    <xf numFmtId="0" fontId="13" fillId="2" borderId="0" xfId="0" applyFont="1" applyFill="1" applyBorder="1" applyAlignment="1" applyProtection="1">
      <alignment horizontal="left" vertical="center"/>
      <protection hidden="1"/>
    </xf>
    <xf numFmtId="4" fontId="13" fillId="2" borderId="0" xfId="0" applyNumberFormat="1" applyFont="1" applyFill="1" applyBorder="1" applyAlignment="1" applyProtection="1">
      <alignment horizontal="center" vertical="center"/>
      <protection hidden="1"/>
    </xf>
    <xf numFmtId="4" fontId="13" fillId="2" borderId="20" xfId="0" applyNumberFormat="1" applyFont="1" applyFill="1" applyBorder="1" applyAlignment="1" applyProtection="1">
      <alignment horizontal="center" vertical="center"/>
      <protection hidden="1"/>
    </xf>
    <xf numFmtId="0" fontId="12" fillId="2" borderId="2" xfId="0" applyFont="1" applyFill="1" applyBorder="1" applyAlignment="1" applyProtection="1">
      <alignment vertical="center"/>
      <protection hidden="1"/>
    </xf>
    <xf numFmtId="0" fontId="10" fillId="2" borderId="2" xfId="0" applyFont="1" applyFill="1" applyBorder="1" applyAlignment="1" applyProtection="1">
      <alignment vertical="center"/>
      <protection hidden="1"/>
    </xf>
    <xf numFmtId="0" fontId="13" fillId="2" borderId="2" xfId="0" applyFont="1" applyFill="1" applyBorder="1" applyAlignment="1" applyProtection="1">
      <alignment vertical="center"/>
      <protection hidden="1"/>
    </xf>
    <xf numFmtId="0" fontId="19" fillId="2" borderId="2" xfId="0" applyFont="1" applyFill="1" applyBorder="1" applyAlignment="1" applyProtection="1">
      <alignment horizontal="left" vertical="center"/>
      <protection hidden="1"/>
    </xf>
    <xf numFmtId="4" fontId="10" fillId="2" borderId="2" xfId="0" applyNumberFormat="1" applyFont="1" applyFill="1" applyBorder="1" applyAlignment="1" applyProtection="1">
      <alignment horizontal="center" vertical="center"/>
      <protection hidden="1"/>
    </xf>
    <xf numFmtId="4" fontId="10" fillId="2" borderId="22" xfId="0" applyNumberFormat="1" applyFont="1" applyFill="1" applyBorder="1" applyAlignment="1" applyProtection="1">
      <alignment horizontal="center" vertical="center"/>
      <protection hidden="1"/>
    </xf>
    <xf numFmtId="0" fontId="0" fillId="2" borderId="34" xfId="0" applyFont="1" applyFill="1" applyBorder="1" applyAlignment="1" applyProtection="1">
      <alignment horizontal="center" vertical="center"/>
      <protection hidden="1"/>
    </xf>
    <xf numFmtId="0" fontId="0" fillId="4" borderId="12" xfId="0" applyFont="1" applyFill="1" applyBorder="1" applyAlignment="1" applyProtection="1">
      <alignment horizontal="center" vertical="center"/>
      <protection hidden="1"/>
    </xf>
    <xf numFmtId="0" fontId="7" fillId="2" borderId="0" xfId="0" applyFont="1" applyFill="1" applyAlignment="1" applyProtection="1">
      <alignment horizontal="left" vertical="center"/>
      <protection hidden="1"/>
    </xf>
    <xf numFmtId="0" fontId="5" fillId="2" borderId="0" xfId="0" applyFont="1" applyFill="1" applyBorder="1" applyProtection="1">
      <protection hidden="1"/>
    </xf>
    <xf numFmtId="0" fontId="15" fillId="4" borderId="13" xfId="0" applyFont="1" applyFill="1" applyBorder="1" applyAlignment="1" applyProtection="1">
      <alignment vertical="center"/>
      <protection hidden="1"/>
    </xf>
    <xf numFmtId="0" fontId="0" fillId="7" borderId="28" xfId="0" applyFont="1" applyFill="1" applyBorder="1" applyAlignment="1" applyProtection="1">
      <alignment horizontal="center" vertical="center"/>
      <protection locked="0" hidden="1"/>
    </xf>
    <xf numFmtId="0" fontId="0" fillId="4" borderId="0" xfId="0" applyFont="1" applyFill="1" applyBorder="1" applyProtection="1">
      <protection hidden="1"/>
    </xf>
    <xf numFmtId="0" fontId="0" fillId="4" borderId="0" xfId="0" applyFont="1" applyFill="1" applyBorder="1" applyAlignment="1" applyProtection="1">
      <alignment vertical="center"/>
      <protection hidden="1"/>
    </xf>
    <xf numFmtId="0" fontId="0" fillId="4" borderId="38" xfId="0" applyFont="1" applyFill="1" applyBorder="1" applyAlignment="1" applyProtection="1">
      <alignment vertical="center"/>
      <protection hidden="1"/>
    </xf>
    <xf numFmtId="0" fontId="0" fillId="4" borderId="38" xfId="0" applyFont="1" applyFill="1" applyBorder="1" applyProtection="1">
      <protection hidden="1"/>
    </xf>
    <xf numFmtId="4" fontId="5" fillId="2" borderId="0" xfId="0" applyNumberFormat="1" applyFont="1" applyFill="1" applyBorder="1" applyAlignment="1" applyProtection="1">
      <alignment horizontal="center"/>
      <protection hidden="1"/>
    </xf>
    <xf numFmtId="0" fontId="18" fillId="2" borderId="0" xfId="0" applyFont="1" applyFill="1" applyBorder="1" applyAlignment="1" applyProtection="1">
      <alignment horizontal="right" vertical="center"/>
      <protection hidden="1"/>
    </xf>
    <xf numFmtId="0" fontId="11" fillId="2" borderId="13" xfId="0" applyFont="1" applyFill="1" applyBorder="1" applyProtection="1">
      <protection hidden="1"/>
    </xf>
    <xf numFmtId="0" fontId="18" fillId="2" borderId="14" xfId="0" applyFont="1" applyFill="1" applyBorder="1" applyAlignment="1" applyProtection="1">
      <alignment horizontal="right" vertical="center"/>
      <protection hidden="1"/>
    </xf>
    <xf numFmtId="0" fontId="14" fillId="2" borderId="13" xfId="0" applyFont="1" applyFill="1" applyBorder="1" applyAlignment="1" applyProtection="1">
      <alignment horizontal="center"/>
      <protection hidden="1"/>
    </xf>
    <xf numFmtId="0" fontId="8" fillId="2" borderId="0" xfId="0" applyFont="1" applyFill="1" applyAlignment="1" applyProtection="1">
      <alignment horizontal="left" vertical="center"/>
      <protection hidden="1"/>
    </xf>
    <xf numFmtId="49" fontId="5" fillId="2" borderId="0" xfId="0" applyNumberFormat="1" applyFont="1" applyFill="1" applyBorder="1" applyAlignment="1" applyProtection="1">
      <alignment horizontal="center" vertical="center" wrapText="1"/>
      <protection hidden="1"/>
    </xf>
    <xf numFmtId="0" fontId="9" fillId="2" borderId="0" xfId="0" applyFont="1" applyFill="1" applyBorder="1" applyAlignment="1" applyProtection="1">
      <alignment horizontal="left" vertical="center"/>
      <protection hidden="1"/>
    </xf>
    <xf numFmtId="0" fontId="0" fillId="2" borderId="0" xfId="0" applyFill="1"/>
    <xf numFmtId="0" fontId="10" fillId="2" borderId="34" xfId="0" applyFont="1" applyFill="1" applyBorder="1" applyAlignment="1" applyProtection="1">
      <alignment horizontal="center"/>
      <protection hidden="1"/>
    </xf>
    <xf numFmtId="0" fontId="0" fillId="2" borderId="34" xfId="0" applyFill="1" applyBorder="1" applyAlignment="1" applyProtection="1">
      <alignment horizontal="center" vertical="center"/>
      <protection hidden="1"/>
    </xf>
    <xf numFmtId="0" fontId="0" fillId="0" borderId="0" xfId="0" applyProtection="1">
      <protection hidden="1"/>
    </xf>
    <xf numFmtId="0" fontId="0" fillId="7" borderId="35" xfId="0" applyFill="1" applyBorder="1" applyAlignment="1" applyProtection="1">
      <alignment horizontal="center"/>
      <protection locked="0" hidden="1"/>
    </xf>
    <xf numFmtId="0" fontId="0" fillId="7" borderId="44" xfId="0" applyFill="1" applyBorder="1" applyAlignment="1" applyProtection="1">
      <alignment horizontal="center"/>
      <protection locked="0" hidden="1"/>
    </xf>
    <xf numFmtId="0" fontId="0" fillId="2" borderId="46" xfId="0" applyFill="1" applyBorder="1" applyAlignment="1" applyProtection="1">
      <alignment horizontal="center" vertical="center"/>
      <protection hidden="1"/>
    </xf>
    <xf numFmtId="0" fontId="0" fillId="7" borderId="47" xfId="0" applyFill="1" applyBorder="1" applyAlignment="1" applyProtection="1">
      <alignment horizontal="center" vertical="center"/>
      <protection locked="0" hidden="1"/>
    </xf>
    <xf numFmtId="0" fontId="0" fillId="7" borderId="48" xfId="0" applyFill="1" applyBorder="1" applyAlignment="1" applyProtection="1">
      <alignment horizontal="center" vertical="center"/>
      <protection locked="0" hidden="1"/>
    </xf>
    <xf numFmtId="0" fontId="0" fillId="7" borderId="49" xfId="0" applyFill="1" applyBorder="1" applyAlignment="1" applyProtection="1">
      <alignment horizontal="center" vertical="center"/>
      <protection locked="0" hidden="1"/>
    </xf>
    <xf numFmtId="4" fontId="10" fillId="2" borderId="0" xfId="0" applyNumberFormat="1" applyFont="1" applyFill="1" applyBorder="1" applyAlignment="1" applyProtection="1">
      <alignment horizontal="left" vertical="center" indent="2"/>
      <protection hidden="1"/>
    </xf>
    <xf numFmtId="0" fontId="10" fillId="2" borderId="2" xfId="0" applyFont="1" applyFill="1" applyBorder="1" applyAlignment="1" applyProtection="1">
      <alignment horizontal="left" vertical="center" indent="2"/>
      <protection hidden="1"/>
    </xf>
    <xf numFmtId="0" fontId="0" fillId="0" borderId="6" xfId="0" applyBorder="1" applyProtection="1">
      <protection hidden="1"/>
    </xf>
    <xf numFmtId="0" fontId="0" fillId="0" borderId="10" xfId="0" applyFont="1" applyBorder="1" applyProtection="1">
      <protection hidden="1"/>
    </xf>
    <xf numFmtId="0" fontId="0" fillId="0" borderId="6" xfId="0" applyFill="1" applyBorder="1" applyAlignment="1" applyProtection="1">
      <alignment wrapText="1"/>
      <protection hidden="1"/>
    </xf>
    <xf numFmtId="49" fontId="0" fillId="0" borderId="6" xfId="0" applyNumberFormat="1" applyFill="1" applyBorder="1" applyAlignment="1" applyProtection="1">
      <alignment horizontal="right" wrapText="1"/>
      <protection hidden="1"/>
    </xf>
    <xf numFmtId="0" fontId="0" fillId="0" borderId="6" xfId="0" applyNumberFormat="1" applyFill="1" applyBorder="1" applyAlignment="1" applyProtection="1">
      <alignment horizontal="right" wrapText="1"/>
      <protection hidden="1"/>
    </xf>
    <xf numFmtId="0" fontId="0" fillId="0" borderId="10" xfId="0" applyFont="1" applyBorder="1" applyAlignment="1" applyProtection="1">
      <alignment vertical="center" wrapText="1"/>
      <protection hidden="1"/>
    </xf>
    <xf numFmtId="0" fontId="0" fillId="0" borderId="6" xfId="0" applyBorder="1" applyAlignment="1" applyProtection="1">
      <alignment horizontal="right"/>
      <protection hidden="1"/>
    </xf>
    <xf numFmtId="0" fontId="0" fillId="2" borderId="6" xfId="0" applyFill="1" applyBorder="1" applyAlignment="1" applyProtection="1">
      <alignment horizontal="left" vertical="top" wrapText="1"/>
      <protection hidden="1"/>
    </xf>
    <xf numFmtId="49" fontId="0" fillId="2" borderId="6" xfId="0" applyNumberFormat="1" applyFill="1" applyBorder="1" applyAlignment="1" applyProtection="1">
      <alignment horizontal="right" wrapText="1"/>
      <protection hidden="1"/>
    </xf>
    <xf numFmtId="0" fontId="0" fillId="2" borderId="6" xfId="0" applyFill="1" applyBorder="1" applyAlignment="1" applyProtection="1">
      <alignment wrapText="1"/>
      <protection hidden="1"/>
    </xf>
    <xf numFmtId="0" fontId="0" fillId="2" borderId="10" xfId="0" applyFill="1" applyBorder="1" applyAlignment="1" applyProtection="1">
      <alignment horizontal="left" vertical="top" wrapText="1"/>
      <protection hidden="1"/>
    </xf>
    <xf numFmtId="49" fontId="0" fillId="2" borderId="10" xfId="0" applyNumberFormat="1" applyFill="1" applyBorder="1" applyAlignment="1" applyProtection="1">
      <alignment horizontal="right" wrapText="1"/>
      <protection hidden="1"/>
    </xf>
    <xf numFmtId="0" fontId="0" fillId="2" borderId="10" xfId="0" applyFill="1" applyBorder="1" applyAlignment="1" applyProtection="1">
      <alignment wrapText="1"/>
      <protection hidden="1"/>
    </xf>
    <xf numFmtId="0" fontId="0" fillId="0" borderId="6" xfId="0" applyNumberFormat="1" applyFill="1" applyBorder="1" applyAlignment="1" applyProtection="1">
      <alignment horizontal="right" vertical="top" wrapText="1"/>
      <protection hidden="1"/>
    </xf>
    <xf numFmtId="0" fontId="0" fillId="2" borderId="10" xfId="0" applyFont="1" applyFill="1" applyBorder="1" applyAlignment="1" applyProtection="1">
      <alignment vertical="center"/>
      <protection hidden="1"/>
    </xf>
    <xf numFmtId="2" fontId="0" fillId="0" borderId="6" xfId="0" applyNumberFormat="1" applyBorder="1" applyProtection="1">
      <protection hidden="1"/>
    </xf>
    <xf numFmtId="0" fontId="0" fillId="2" borderId="10" xfId="0" applyFont="1" applyFill="1" applyBorder="1" applyAlignment="1" applyProtection="1">
      <alignment vertical="center" wrapText="1"/>
      <protection hidden="1"/>
    </xf>
    <xf numFmtId="49" fontId="0" fillId="2" borderId="10" xfId="0" applyNumberFormat="1" applyFont="1" applyFill="1" applyBorder="1" applyAlignment="1" applyProtection="1">
      <alignment horizontal="right" wrapText="1"/>
      <protection hidden="1"/>
    </xf>
    <xf numFmtId="0" fontId="0" fillId="0" borderId="6" xfId="0" applyFont="1" applyFill="1" applyBorder="1" applyAlignment="1" applyProtection="1">
      <alignment wrapText="1"/>
      <protection hidden="1"/>
    </xf>
    <xf numFmtId="0" fontId="0" fillId="0" borderId="6" xfId="0" applyNumberFormat="1" applyFont="1" applyFill="1" applyBorder="1" applyAlignment="1" applyProtection="1">
      <alignment horizontal="right" wrapText="1"/>
      <protection hidden="1"/>
    </xf>
    <xf numFmtId="0" fontId="0" fillId="0" borderId="8" xfId="0" applyFont="1" applyFill="1" applyBorder="1" applyAlignment="1" applyProtection="1">
      <alignment horizontal="right" wrapText="1"/>
      <protection hidden="1"/>
    </xf>
    <xf numFmtId="0" fontId="0" fillId="2" borderId="9" xfId="0" applyFill="1" applyBorder="1" applyProtection="1">
      <protection hidden="1"/>
    </xf>
    <xf numFmtId="49" fontId="0" fillId="0" borderId="6" xfId="0" applyNumberFormat="1" applyFont="1" applyFill="1" applyBorder="1" applyAlignment="1" applyProtection="1">
      <alignment horizontal="right" wrapText="1"/>
      <protection hidden="1"/>
    </xf>
    <xf numFmtId="0" fontId="0" fillId="0" borderId="8" xfId="0" applyFont="1" applyFill="1" applyBorder="1" applyAlignment="1" applyProtection="1">
      <alignment wrapText="1"/>
      <protection hidden="1"/>
    </xf>
    <xf numFmtId="49" fontId="0" fillId="2" borderId="9" xfId="0" applyNumberFormat="1" applyFont="1" applyFill="1" applyBorder="1" applyAlignment="1" applyProtection="1">
      <alignment horizontal="right" wrapText="1"/>
      <protection hidden="1"/>
    </xf>
    <xf numFmtId="0" fontId="1" fillId="2" borderId="6" xfId="0" applyFont="1" applyFill="1" applyBorder="1" applyAlignment="1" applyProtection="1">
      <alignment vertical="top" wrapText="1"/>
      <protection hidden="1"/>
    </xf>
    <xf numFmtId="0" fontId="1" fillId="2" borderId="10" xfId="0" applyFont="1" applyFill="1" applyBorder="1" applyAlignment="1" applyProtection="1">
      <alignment vertical="top" wrapText="1"/>
      <protection hidden="1"/>
    </xf>
    <xf numFmtId="0" fontId="1" fillId="2" borderId="6" xfId="0" applyFont="1" applyFill="1" applyBorder="1" applyAlignment="1" applyProtection="1">
      <alignment horizontal="left" vertical="top" wrapText="1"/>
      <protection hidden="1"/>
    </xf>
    <xf numFmtId="0" fontId="1" fillId="2" borderId="10" xfId="0" applyFont="1" applyFill="1" applyBorder="1" applyAlignment="1" applyProtection="1">
      <alignment horizontal="left" vertical="top" wrapText="1"/>
      <protection hidden="1"/>
    </xf>
    <xf numFmtId="0" fontId="0" fillId="2" borderId="6" xfId="0" applyFill="1" applyBorder="1" applyAlignment="1" applyProtection="1">
      <alignment horizontal="left" vertical="center" wrapText="1"/>
      <protection hidden="1"/>
    </xf>
    <xf numFmtId="49" fontId="0" fillId="2" borderId="6" xfId="0" applyNumberFormat="1" applyFill="1" applyBorder="1" applyAlignment="1" applyProtection="1">
      <alignment horizontal="right" vertical="center" wrapText="1"/>
      <protection hidden="1"/>
    </xf>
    <xf numFmtId="0" fontId="0" fillId="2" borderId="6" xfId="0" applyFill="1" applyBorder="1" applyAlignment="1" applyProtection="1">
      <alignment vertical="center" wrapText="1"/>
      <protection hidden="1"/>
    </xf>
    <xf numFmtId="0" fontId="0" fillId="2" borderId="10" xfId="0" applyFill="1" applyBorder="1" applyAlignment="1" applyProtection="1">
      <alignment horizontal="left" vertical="center" wrapText="1"/>
      <protection hidden="1"/>
    </xf>
    <xf numFmtId="49" fontId="0" fillId="2" borderId="10" xfId="0" applyNumberFormat="1" applyFill="1" applyBorder="1" applyAlignment="1" applyProtection="1">
      <alignment horizontal="right" vertical="center" wrapText="1"/>
      <protection hidden="1"/>
    </xf>
    <xf numFmtId="0" fontId="0" fillId="2" borderId="10" xfId="0" applyFill="1" applyBorder="1" applyAlignment="1" applyProtection="1">
      <alignment vertical="center" wrapText="1"/>
      <protection hidden="1"/>
    </xf>
    <xf numFmtId="0" fontId="0" fillId="2" borderId="10" xfId="0" applyFont="1" applyFill="1" applyBorder="1" applyAlignment="1" applyProtection="1">
      <alignment horizontal="left" vertical="top" wrapText="1"/>
      <protection hidden="1"/>
    </xf>
    <xf numFmtId="0" fontId="0" fillId="2" borderId="10" xfId="0" applyFont="1" applyFill="1" applyBorder="1" applyAlignment="1" applyProtection="1">
      <alignment wrapText="1"/>
      <protection hidden="1"/>
    </xf>
    <xf numFmtId="0" fontId="0" fillId="2" borderId="0" xfId="0" applyFill="1" applyAlignment="1" applyProtection="1">
      <alignment horizontal="left" vertical="top" wrapText="1"/>
      <protection hidden="1"/>
    </xf>
    <xf numFmtId="0" fontId="0" fillId="4" borderId="17" xfId="0" applyFill="1" applyBorder="1" applyProtection="1">
      <protection hidden="1"/>
    </xf>
    <xf numFmtId="0" fontId="27" fillId="4" borderId="4" xfId="0" applyFont="1" applyFill="1" applyBorder="1" applyAlignment="1" applyProtection="1">
      <alignment horizontal="center"/>
      <protection hidden="1"/>
    </xf>
    <xf numFmtId="0" fontId="0" fillId="4" borderId="18" xfId="0" applyFill="1" applyBorder="1" applyProtection="1">
      <protection hidden="1"/>
    </xf>
    <xf numFmtId="0" fontId="0" fillId="4" borderId="19" xfId="0" applyFill="1" applyBorder="1" applyAlignment="1" applyProtection="1">
      <alignment horizontal="left" indent="1"/>
      <protection hidden="1"/>
    </xf>
    <xf numFmtId="0" fontId="0" fillId="4" borderId="20" xfId="0" applyFill="1" applyBorder="1" applyProtection="1">
      <protection hidden="1"/>
    </xf>
    <xf numFmtId="0" fontId="10" fillId="4" borderId="50" xfId="0" applyFont="1" applyFill="1" applyBorder="1" applyAlignment="1" applyProtection="1">
      <alignment horizontal="left" indent="1"/>
      <protection hidden="1"/>
    </xf>
    <xf numFmtId="0" fontId="10" fillId="2" borderId="51" xfId="0" applyFont="1" applyFill="1" applyBorder="1" applyAlignment="1" applyProtection="1">
      <alignment horizontal="center"/>
      <protection hidden="1"/>
    </xf>
    <xf numFmtId="0" fontId="10" fillId="4" borderId="52" xfId="0" applyFont="1" applyFill="1" applyBorder="1" applyAlignment="1" applyProtection="1">
      <alignment horizontal="center"/>
      <protection hidden="1"/>
    </xf>
    <xf numFmtId="0" fontId="0" fillId="4" borderId="29" xfId="0" applyFill="1" applyBorder="1" applyProtection="1">
      <protection hidden="1"/>
    </xf>
    <xf numFmtId="0" fontId="0" fillId="4" borderId="53" xfId="0" applyFill="1" applyBorder="1" applyProtection="1">
      <protection hidden="1"/>
    </xf>
    <xf numFmtId="0" fontId="0" fillId="4" borderId="30" xfId="0" applyFill="1" applyBorder="1" applyProtection="1">
      <protection hidden="1"/>
    </xf>
    <xf numFmtId="0" fontId="0" fillId="4" borderId="11" xfId="0" applyFill="1" applyBorder="1" applyProtection="1">
      <protection hidden="1"/>
    </xf>
    <xf numFmtId="0" fontId="27" fillId="4" borderId="5" xfId="0" applyFont="1" applyFill="1" applyBorder="1" applyAlignment="1" applyProtection="1">
      <alignment horizontal="center"/>
      <protection hidden="1"/>
    </xf>
    <xf numFmtId="0" fontId="0" fillId="4" borderId="12" xfId="0" applyFill="1" applyBorder="1" applyProtection="1">
      <protection hidden="1"/>
    </xf>
    <xf numFmtId="0" fontId="0" fillId="4" borderId="13" xfId="0" applyFill="1" applyBorder="1" applyAlignment="1" applyProtection="1">
      <alignment horizontal="left" indent="1"/>
      <protection hidden="1"/>
    </xf>
    <xf numFmtId="0" fontId="10" fillId="4" borderId="54" xfId="0" applyFont="1" applyFill="1" applyBorder="1" applyAlignment="1" applyProtection="1">
      <alignment horizontal="left" indent="1"/>
      <protection hidden="1"/>
    </xf>
    <xf numFmtId="0" fontId="10" fillId="4" borderId="55" xfId="0" applyFont="1" applyFill="1" applyBorder="1" applyAlignment="1" applyProtection="1">
      <alignment horizontal="center"/>
      <protection hidden="1"/>
    </xf>
    <xf numFmtId="0" fontId="0" fillId="4" borderId="15" xfId="0" applyFill="1" applyBorder="1" applyProtection="1">
      <protection hidden="1"/>
    </xf>
    <xf numFmtId="0" fontId="0" fillId="4" borderId="14" xfId="0" applyFill="1" applyBorder="1" applyAlignment="1" applyProtection="1">
      <alignment horizontal="center"/>
      <protection hidden="1"/>
    </xf>
    <xf numFmtId="0" fontId="0" fillId="4" borderId="12" xfId="0" applyFill="1" applyBorder="1" applyAlignment="1" applyProtection="1">
      <alignment horizontal="center"/>
      <protection hidden="1"/>
    </xf>
    <xf numFmtId="0" fontId="0" fillId="4" borderId="1" xfId="0" applyFill="1" applyBorder="1" applyAlignment="1" applyProtection="1">
      <alignment horizontal="right"/>
      <protection hidden="1"/>
    </xf>
    <xf numFmtId="0" fontId="0" fillId="7" borderId="2" xfId="0" applyFont="1" applyFill="1" applyBorder="1" applyProtection="1">
      <protection locked="0" hidden="1"/>
    </xf>
    <xf numFmtId="164" fontId="0" fillId="7" borderId="1" xfId="0" applyNumberFormat="1" applyFont="1" applyFill="1" applyBorder="1" applyAlignment="1" applyProtection="1">
      <alignment horizontal="center" vertical="center"/>
      <protection locked="0" hidden="1"/>
    </xf>
    <xf numFmtId="164" fontId="0" fillId="7" borderId="3" xfId="0" applyNumberFormat="1" applyFont="1" applyFill="1" applyBorder="1" applyAlignment="1" applyProtection="1">
      <alignment horizontal="center" vertical="center"/>
      <protection locked="0" hidden="1"/>
    </xf>
    <xf numFmtId="0" fontId="0" fillId="6" borderId="0" xfId="0" applyFont="1" applyFill="1" applyBorder="1" applyProtection="1">
      <protection hidden="1"/>
    </xf>
    <xf numFmtId="0" fontId="0" fillId="6" borderId="0" xfId="0" applyFont="1" applyFill="1" applyBorder="1" applyAlignment="1" applyProtection="1">
      <alignment horizontal="center" vertical="center"/>
      <protection hidden="1"/>
    </xf>
    <xf numFmtId="0" fontId="0" fillId="2" borderId="0" xfId="0" applyFont="1" applyFill="1" applyBorder="1" applyAlignment="1" applyProtection="1">
      <alignment horizontal="center" vertical="center"/>
      <protection hidden="1"/>
    </xf>
    <xf numFmtId="0" fontId="0" fillId="2" borderId="0" xfId="0" applyFont="1" applyFill="1" applyBorder="1" applyAlignment="1" applyProtection="1">
      <alignment horizontal="center"/>
      <protection hidden="1"/>
    </xf>
    <xf numFmtId="165" fontId="0" fillId="2" borderId="14" xfId="0" applyNumberFormat="1" applyFont="1" applyFill="1" applyBorder="1" applyAlignment="1" applyProtection="1">
      <alignment horizontal="center"/>
      <protection hidden="1"/>
    </xf>
    <xf numFmtId="0" fontId="0" fillId="6" borderId="1" xfId="0" applyFont="1" applyFill="1" applyBorder="1" applyProtection="1">
      <protection hidden="1"/>
    </xf>
    <xf numFmtId="0" fontId="0" fillId="6" borderId="1" xfId="0" applyFont="1" applyFill="1" applyBorder="1" applyAlignment="1" applyProtection="1">
      <alignment horizontal="center" vertical="center"/>
      <protection hidden="1"/>
    </xf>
    <xf numFmtId="165" fontId="10" fillId="2" borderId="27" xfId="0" applyNumberFormat="1" applyFont="1" applyFill="1" applyBorder="1" applyAlignment="1" applyProtection="1">
      <alignment horizontal="center"/>
      <protection hidden="1"/>
    </xf>
    <xf numFmtId="0" fontId="0" fillId="4" borderId="19" xfId="0" applyFont="1" applyFill="1" applyBorder="1" applyProtection="1">
      <protection hidden="1"/>
    </xf>
    <xf numFmtId="0" fontId="0" fillId="2" borderId="20" xfId="0" applyFont="1" applyFill="1" applyBorder="1" applyAlignment="1" applyProtection="1">
      <alignment vertical="center"/>
      <protection hidden="1"/>
    </xf>
    <xf numFmtId="0" fontId="0" fillId="4" borderId="19" xfId="0" applyFont="1" applyFill="1" applyBorder="1" applyAlignment="1" applyProtection="1">
      <alignment vertical="center"/>
      <protection hidden="1"/>
    </xf>
    <xf numFmtId="0" fontId="0" fillId="4" borderId="21" xfId="0" applyFont="1" applyFill="1" applyBorder="1" applyAlignment="1" applyProtection="1">
      <alignment vertical="center"/>
      <protection hidden="1"/>
    </xf>
    <xf numFmtId="0" fontId="0" fillId="2" borderId="0" xfId="0" applyFont="1" applyFill="1" applyAlignment="1" applyProtection="1">
      <alignment vertical="center"/>
      <protection hidden="1"/>
    </xf>
    <xf numFmtId="0" fontId="0" fillId="4" borderId="17" xfId="0" applyFont="1" applyFill="1" applyBorder="1" applyAlignment="1" applyProtection="1">
      <alignment vertical="center"/>
      <protection hidden="1"/>
    </xf>
    <xf numFmtId="0" fontId="0" fillId="2" borderId="0" xfId="0" applyFont="1" applyFill="1" applyBorder="1" applyProtection="1">
      <protection hidden="1"/>
    </xf>
    <xf numFmtId="0" fontId="0" fillId="4" borderId="21" xfId="0" applyFont="1" applyFill="1" applyBorder="1" applyProtection="1">
      <protection hidden="1"/>
    </xf>
    <xf numFmtId="0" fontId="0" fillId="2" borderId="2" xfId="0" applyFont="1" applyFill="1" applyBorder="1" applyProtection="1">
      <protection hidden="1"/>
    </xf>
    <xf numFmtId="0" fontId="36" fillId="2" borderId="0" xfId="0" applyFont="1" applyFill="1" applyAlignment="1" applyProtection="1">
      <alignment horizontal="center" vertical="center"/>
      <protection hidden="1"/>
    </xf>
    <xf numFmtId="0" fontId="0" fillId="4" borderId="11" xfId="0" applyFont="1" applyFill="1" applyBorder="1" applyProtection="1">
      <protection hidden="1"/>
    </xf>
    <xf numFmtId="0" fontId="0" fillId="4" borderId="5" xfId="0" applyFont="1" applyFill="1" applyBorder="1" applyProtection="1">
      <protection hidden="1"/>
    </xf>
    <xf numFmtId="0" fontId="0" fillId="4" borderId="13" xfId="0" applyFont="1" applyFill="1" applyBorder="1" applyProtection="1">
      <protection hidden="1"/>
    </xf>
    <xf numFmtId="49" fontId="0" fillId="4" borderId="14" xfId="0" applyNumberFormat="1" applyFont="1" applyFill="1" applyBorder="1" applyAlignment="1" applyProtection="1">
      <alignment horizontal="center" vertical="center" wrapText="1"/>
      <protection hidden="1"/>
    </xf>
    <xf numFmtId="0" fontId="0" fillId="6" borderId="13" xfId="0" applyFont="1" applyFill="1" applyBorder="1" applyProtection="1">
      <protection hidden="1"/>
    </xf>
    <xf numFmtId="0" fontId="0" fillId="6" borderId="0" xfId="0" applyFont="1" applyFill="1" applyBorder="1" applyAlignment="1" applyProtection="1">
      <alignment horizontal="center"/>
      <protection hidden="1"/>
    </xf>
    <xf numFmtId="0" fontId="0" fillId="6" borderId="14" xfId="0" applyFont="1" applyFill="1" applyBorder="1" applyProtection="1">
      <protection hidden="1"/>
    </xf>
    <xf numFmtId="0" fontId="0" fillId="6" borderId="15" xfId="0" applyFont="1" applyFill="1" applyBorder="1" applyProtection="1">
      <protection hidden="1"/>
    </xf>
    <xf numFmtId="0" fontId="0" fillId="7" borderId="4" xfId="0" applyFont="1" applyFill="1" applyBorder="1" applyProtection="1">
      <protection locked="0" hidden="1"/>
    </xf>
    <xf numFmtId="164" fontId="0" fillId="7" borderId="5" xfId="0" applyNumberFormat="1" applyFont="1" applyFill="1" applyBorder="1" applyAlignment="1" applyProtection="1">
      <alignment horizontal="center" vertical="center"/>
      <protection locked="0" hidden="1"/>
    </xf>
    <xf numFmtId="0" fontId="0" fillId="2" borderId="0" xfId="0" applyFont="1" applyFill="1" applyBorder="1" applyAlignment="1" applyProtection="1">
      <alignment horizontal="left" vertical="center"/>
      <protection hidden="1"/>
    </xf>
    <xf numFmtId="4" fontId="0" fillId="2" borderId="0" xfId="0" applyNumberFormat="1" applyFont="1" applyFill="1" applyBorder="1" applyProtection="1">
      <protection hidden="1"/>
    </xf>
    <xf numFmtId="164" fontId="0" fillId="7" borderId="0" xfId="0" applyNumberFormat="1" applyFont="1" applyFill="1" applyBorder="1" applyAlignment="1" applyProtection="1">
      <alignment horizontal="center" vertical="center"/>
      <protection locked="0" hidden="1"/>
    </xf>
    <xf numFmtId="4" fontId="10" fillId="2" borderId="26" xfId="0" applyNumberFormat="1" applyFont="1" applyFill="1" applyBorder="1" applyAlignment="1" applyProtection="1">
      <alignment horizontal="center"/>
      <protection hidden="1"/>
    </xf>
    <xf numFmtId="0" fontId="0" fillId="4" borderId="17" xfId="0" applyFont="1" applyFill="1" applyBorder="1" applyProtection="1">
      <protection hidden="1"/>
    </xf>
    <xf numFmtId="0" fontId="0" fillId="4" borderId="4" xfId="0" applyFont="1" applyFill="1" applyBorder="1" applyProtection="1">
      <protection hidden="1"/>
    </xf>
    <xf numFmtId="0" fontId="0" fillId="4" borderId="4" xfId="0" applyFont="1" applyFill="1" applyBorder="1" applyAlignment="1" applyProtection="1">
      <protection hidden="1"/>
    </xf>
    <xf numFmtId="0" fontId="0" fillId="4" borderId="4" xfId="0" applyFont="1" applyFill="1" applyBorder="1" applyAlignment="1" applyProtection="1">
      <alignment horizontal="left" vertical="center"/>
      <protection hidden="1"/>
    </xf>
    <xf numFmtId="0" fontId="0" fillId="4" borderId="18" xfId="0" applyFont="1" applyFill="1" applyBorder="1" applyAlignment="1" applyProtection="1">
      <alignment horizontal="center" vertical="center"/>
      <protection hidden="1"/>
    </xf>
    <xf numFmtId="0" fontId="0" fillId="4" borderId="0" xfId="0" applyFont="1" applyFill="1" applyBorder="1" applyAlignment="1" applyProtection="1">
      <alignment horizontal="left" vertical="center"/>
      <protection hidden="1"/>
    </xf>
    <xf numFmtId="49" fontId="0" fillId="4" borderId="20" xfId="0" applyNumberFormat="1" applyFont="1" applyFill="1" applyBorder="1" applyAlignment="1" applyProtection="1">
      <alignment horizontal="center" vertical="center" wrapText="1"/>
      <protection hidden="1"/>
    </xf>
    <xf numFmtId="0" fontId="0" fillId="4" borderId="0" xfId="0" applyFont="1" applyFill="1" applyBorder="1" applyAlignment="1" applyProtection="1">
      <alignment horizontal="center"/>
      <protection hidden="1"/>
    </xf>
    <xf numFmtId="0" fontId="0" fillId="4" borderId="42" xfId="0" applyFont="1" applyFill="1" applyBorder="1" applyProtection="1">
      <protection hidden="1"/>
    </xf>
    <xf numFmtId="0" fontId="0" fillId="2" borderId="37" xfId="0" applyFont="1" applyFill="1" applyBorder="1" applyProtection="1">
      <protection hidden="1"/>
    </xf>
    <xf numFmtId="0" fontId="0" fillId="4" borderId="43" xfId="0" applyFont="1" applyFill="1" applyBorder="1" applyProtection="1">
      <protection hidden="1"/>
    </xf>
    <xf numFmtId="0" fontId="0" fillId="4" borderId="1" xfId="0" applyFont="1" applyFill="1" applyBorder="1" applyAlignment="1" applyProtection="1">
      <alignment horizontal="center"/>
      <protection hidden="1"/>
    </xf>
    <xf numFmtId="0" fontId="0" fillId="4" borderId="33" xfId="0" applyFont="1" applyFill="1" applyBorder="1" applyProtection="1">
      <protection hidden="1"/>
    </xf>
    <xf numFmtId="0" fontId="0" fillId="4" borderId="14" xfId="0" applyFont="1" applyFill="1" applyBorder="1" applyProtection="1">
      <protection hidden="1"/>
    </xf>
    <xf numFmtId="0" fontId="0" fillId="2" borderId="40" xfId="0" applyFont="1" applyFill="1" applyBorder="1" applyProtection="1">
      <protection hidden="1"/>
    </xf>
    <xf numFmtId="0" fontId="0" fillId="2" borderId="0" xfId="0" applyFont="1" applyFill="1" applyAlignment="1" applyProtection="1">
      <alignment horizontal="center"/>
      <protection hidden="1"/>
    </xf>
    <xf numFmtId="0" fontId="0" fillId="4" borderId="0" xfId="0" applyFont="1" applyFill="1" applyAlignment="1" applyProtection="1">
      <alignment horizontal="center"/>
      <protection hidden="1"/>
    </xf>
    <xf numFmtId="0" fontId="37" fillId="4" borderId="41" xfId="0" applyFont="1" applyFill="1" applyBorder="1" applyAlignment="1" applyProtection="1">
      <alignment horizontal="center" vertical="center"/>
      <protection hidden="1"/>
    </xf>
    <xf numFmtId="0" fontId="36" fillId="4" borderId="11" xfId="0" applyFont="1" applyFill="1" applyBorder="1" applyAlignment="1" applyProtection="1">
      <alignment horizontal="center" vertical="center"/>
      <protection hidden="1"/>
    </xf>
    <xf numFmtId="0" fontId="36" fillId="4" borderId="5" xfId="0" applyFont="1" applyFill="1" applyBorder="1" applyAlignment="1" applyProtection="1">
      <alignment horizontal="left" vertical="center"/>
      <protection hidden="1"/>
    </xf>
    <xf numFmtId="0" fontId="36" fillId="4" borderId="13" xfId="0" applyFont="1" applyFill="1" applyBorder="1" applyAlignment="1" applyProtection="1">
      <alignment horizontal="center" vertical="center"/>
      <protection hidden="1"/>
    </xf>
    <xf numFmtId="0" fontId="36" fillId="2" borderId="17" xfId="0" applyFont="1" applyFill="1" applyBorder="1" applyAlignment="1" applyProtection="1">
      <alignment horizontal="center" vertical="center"/>
      <protection hidden="1"/>
    </xf>
    <xf numFmtId="0" fontId="36" fillId="2" borderId="19" xfId="0" applyFont="1" applyFill="1" applyBorder="1" applyAlignment="1" applyProtection="1">
      <alignment horizontal="center" vertical="center"/>
      <protection hidden="1"/>
    </xf>
    <xf numFmtId="0" fontId="36" fillId="2" borderId="21" xfId="0" applyFont="1" applyFill="1" applyBorder="1" applyAlignment="1" applyProtection="1">
      <alignment horizontal="center" vertical="center"/>
      <protection hidden="1"/>
    </xf>
    <xf numFmtId="0" fontId="36" fillId="4" borderId="0" xfId="0" applyFont="1" applyFill="1" applyBorder="1" applyAlignment="1" applyProtection="1">
      <alignment horizontal="center" vertical="center"/>
      <protection hidden="1"/>
    </xf>
    <xf numFmtId="0" fontId="36" fillId="2" borderId="38" xfId="0" applyFont="1" applyFill="1" applyBorder="1" applyAlignment="1" applyProtection="1">
      <alignment horizontal="center" vertical="center"/>
      <protection hidden="1"/>
    </xf>
    <xf numFmtId="0" fontId="36" fillId="4" borderId="12" xfId="0" applyFont="1" applyFill="1" applyBorder="1" applyAlignment="1" applyProtection="1">
      <alignment horizontal="center" vertical="center"/>
      <protection hidden="1"/>
    </xf>
    <xf numFmtId="0" fontId="36" fillId="4" borderId="14" xfId="0" applyFont="1" applyFill="1" applyBorder="1" applyAlignment="1" applyProtection="1">
      <alignment horizontal="center" vertical="center"/>
      <protection hidden="1"/>
    </xf>
    <xf numFmtId="0" fontId="36" fillId="2" borderId="3" xfId="0" applyFont="1" applyFill="1" applyBorder="1" applyAlignment="1" applyProtection="1">
      <alignment horizontal="center" vertical="center"/>
      <protection hidden="1"/>
    </xf>
    <xf numFmtId="0" fontId="0" fillId="2" borderId="13" xfId="0" applyFont="1" applyFill="1" applyBorder="1" applyProtection="1">
      <protection hidden="1"/>
    </xf>
    <xf numFmtId="0" fontId="0" fillId="2" borderId="15" xfId="0" applyFont="1" applyFill="1" applyBorder="1" applyProtection="1">
      <protection hidden="1"/>
    </xf>
    <xf numFmtId="0" fontId="0" fillId="2" borderId="44" xfId="0" applyFill="1" applyBorder="1" applyProtection="1">
      <protection hidden="1"/>
    </xf>
    <xf numFmtId="49" fontId="35" fillId="2" borderId="0" xfId="0" applyNumberFormat="1" applyFont="1" applyFill="1" applyBorder="1" applyAlignment="1" applyProtection="1">
      <alignment horizontal="center" vertical="center" wrapText="1"/>
      <protection hidden="1"/>
    </xf>
    <xf numFmtId="0" fontId="0" fillId="2" borderId="0" xfId="0" applyFont="1" applyFill="1" applyBorder="1" applyAlignment="1" applyProtection="1">
      <alignment horizontal="left" vertical="center" indent="2"/>
      <protection hidden="1"/>
    </xf>
    <xf numFmtId="0" fontId="10" fillId="2" borderId="0" xfId="0" applyFont="1" applyFill="1" applyBorder="1" applyAlignment="1" applyProtection="1">
      <alignment vertical="center"/>
      <protection hidden="1"/>
    </xf>
    <xf numFmtId="0" fontId="10" fillId="2" borderId="0" xfId="0" applyFont="1" applyFill="1" applyBorder="1" applyAlignment="1" applyProtection="1">
      <alignment horizontal="left" vertical="center" indent="2"/>
      <protection hidden="1"/>
    </xf>
    <xf numFmtId="4" fontId="0" fillId="2" borderId="0" xfId="0" applyNumberFormat="1" applyFont="1" applyFill="1" applyBorder="1" applyAlignment="1" applyProtection="1">
      <alignment horizontal="left" vertical="center"/>
      <protection hidden="1"/>
    </xf>
    <xf numFmtId="0" fontId="10" fillId="2" borderId="0" xfId="0" applyFont="1" applyFill="1" applyBorder="1" applyAlignment="1" applyProtection="1">
      <alignment horizontal="left" vertical="center"/>
      <protection hidden="1"/>
    </xf>
    <xf numFmtId="0" fontId="0" fillId="2" borderId="2" xfId="0" applyFont="1" applyFill="1" applyBorder="1" applyAlignment="1" applyProtection="1">
      <alignment vertical="center"/>
      <protection hidden="1"/>
    </xf>
    <xf numFmtId="0" fontId="10" fillId="2" borderId="2" xfId="0" applyFont="1" applyFill="1" applyBorder="1" applyAlignment="1" applyProtection="1">
      <alignment horizontal="left" vertical="center"/>
      <protection hidden="1"/>
    </xf>
    <xf numFmtId="165" fontId="10" fillId="2" borderId="0" xfId="0" applyNumberFormat="1" applyFont="1" applyFill="1" applyBorder="1" applyAlignment="1" applyProtection="1">
      <alignment horizontal="center"/>
      <protection hidden="1"/>
    </xf>
    <xf numFmtId="0" fontId="0" fillId="6" borderId="0" xfId="0" applyFill="1" applyProtection="1">
      <protection hidden="1"/>
    </xf>
    <xf numFmtId="165" fontId="0" fillId="6" borderId="0" xfId="0" applyNumberFormat="1" applyFont="1" applyFill="1" applyBorder="1" applyAlignment="1" applyProtection="1">
      <alignment horizontal="center"/>
      <protection hidden="1"/>
    </xf>
    <xf numFmtId="165" fontId="0" fillId="7" borderId="35" xfId="0" applyNumberFormat="1" applyFont="1" applyFill="1" applyBorder="1" applyAlignment="1" applyProtection="1">
      <alignment horizontal="center"/>
      <protection locked="0" hidden="1"/>
    </xf>
    <xf numFmtId="2" fontId="20" fillId="2" borderId="0" xfId="0" applyNumberFormat="1" applyFont="1" applyFill="1" applyBorder="1" applyAlignment="1" applyProtection="1">
      <alignment horizontal="left" vertical="center"/>
      <protection hidden="1"/>
    </xf>
    <xf numFmtId="0" fontId="0" fillId="4" borderId="0" xfId="0" applyFont="1" applyFill="1" applyBorder="1" applyAlignment="1" applyProtection="1">
      <alignment horizontal="center" vertical="center"/>
      <protection hidden="1"/>
    </xf>
    <xf numFmtId="0" fontId="0" fillId="4" borderId="5" xfId="0" applyFont="1" applyFill="1" applyBorder="1" applyAlignment="1" applyProtection="1">
      <alignment horizontal="center" vertical="center"/>
      <protection hidden="1"/>
    </xf>
    <xf numFmtId="0" fontId="0" fillId="4" borderId="0" xfId="0" applyFont="1" applyFill="1" applyAlignment="1" applyProtection="1">
      <alignment horizontal="center" vertical="center"/>
      <protection hidden="1"/>
    </xf>
    <xf numFmtId="0" fontId="36" fillId="4" borderId="0" xfId="0" applyFont="1" applyFill="1" applyAlignment="1" applyProtection="1">
      <alignment horizontal="center" vertical="center"/>
      <protection hidden="1"/>
    </xf>
    <xf numFmtId="165" fontId="0" fillId="2" borderId="0" xfId="0" applyNumberFormat="1" applyFont="1" applyFill="1" applyBorder="1" applyAlignment="1" applyProtection="1">
      <alignment horizontal="center"/>
      <protection hidden="1"/>
    </xf>
    <xf numFmtId="0" fontId="36" fillId="4" borderId="0" xfId="0" applyFont="1" applyFill="1" applyAlignment="1" applyProtection="1">
      <alignment horizontal="left" vertical="center"/>
      <protection hidden="1"/>
    </xf>
    <xf numFmtId="0" fontId="0" fillId="2" borderId="0" xfId="0" applyFill="1" applyAlignment="1" applyProtection="1">
      <alignment horizontal="center"/>
      <protection hidden="1"/>
    </xf>
    <xf numFmtId="4" fontId="0" fillId="2" borderId="35" xfId="0" applyNumberFormat="1" applyFont="1" applyFill="1" applyBorder="1" applyAlignment="1" applyProtection="1">
      <alignment horizontal="center" vertical="center"/>
      <protection hidden="1"/>
    </xf>
    <xf numFmtId="4" fontId="0" fillId="4" borderId="0" xfId="0" applyNumberFormat="1" applyFont="1" applyFill="1" applyAlignment="1" applyProtection="1">
      <alignment horizontal="center" vertical="center"/>
      <protection hidden="1"/>
    </xf>
    <xf numFmtId="0" fontId="36" fillId="4" borderId="5" xfId="0" applyFont="1" applyFill="1" applyBorder="1" applyAlignment="1" applyProtection="1">
      <alignment horizontal="center" vertical="center"/>
      <protection hidden="1"/>
    </xf>
    <xf numFmtId="4" fontId="0" fillId="2" borderId="28" xfId="0" applyNumberFormat="1" applyFont="1" applyFill="1" applyBorder="1" applyAlignment="1" applyProtection="1">
      <alignment horizontal="center" vertical="center"/>
      <protection hidden="1"/>
    </xf>
    <xf numFmtId="0" fontId="0" fillId="4" borderId="0" xfId="0" applyFont="1" applyFill="1" applyAlignment="1" applyProtection="1">
      <alignment horizontal="center" vertical="center" wrapText="1"/>
      <protection hidden="1"/>
    </xf>
    <xf numFmtId="0" fontId="15" fillId="2" borderId="0" xfId="0" applyFont="1" applyFill="1" applyBorder="1" applyAlignment="1" applyProtection="1">
      <alignment vertical="center"/>
      <protection hidden="1"/>
    </xf>
    <xf numFmtId="0" fontId="15" fillId="2" borderId="20" xfId="0" applyFont="1" applyFill="1" applyBorder="1" applyAlignment="1" applyProtection="1">
      <alignment vertical="center"/>
      <protection hidden="1"/>
    </xf>
    <xf numFmtId="4" fontId="0" fillId="2" borderId="0" xfId="0" applyNumberFormat="1" applyFont="1" applyFill="1" applyBorder="1" applyAlignment="1" applyProtection="1">
      <alignment horizontal="center"/>
      <protection hidden="1"/>
    </xf>
    <xf numFmtId="0" fontId="0" fillId="7" borderId="41" xfId="0" applyFont="1" applyFill="1" applyBorder="1" applyAlignment="1" applyProtection="1">
      <alignment horizontal="center" vertical="center"/>
      <protection hidden="1"/>
    </xf>
    <xf numFmtId="0" fontId="0" fillId="6" borderId="35" xfId="0" applyFont="1" applyFill="1" applyBorder="1" applyAlignment="1" applyProtection="1">
      <alignment horizontal="center" vertical="center"/>
      <protection hidden="1"/>
    </xf>
    <xf numFmtId="0" fontId="0" fillId="7" borderId="2" xfId="0" applyFont="1" applyFill="1" applyBorder="1" applyProtection="1">
      <protection hidden="1"/>
    </xf>
    <xf numFmtId="164" fontId="0" fillId="7" borderId="1" xfId="0" applyNumberFormat="1" applyFont="1" applyFill="1" applyBorder="1" applyAlignment="1" applyProtection="1">
      <alignment horizontal="center" vertical="center"/>
      <protection hidden="1"/>
    </xf>
    <xf numFmtId="164" fontId="0" fillId="7" borderId="3" xfId="0" applyNumberFormat="1" applyFont="1" applyFill="1" applyBorder="1" applyAlignment="1" applyProtection="1">
      <alignment horizontal="center" vertical="center"/>
      <protection hidden="1"/>
    </xf>
    <xf numFmtId="0" fontId="0" fillId="7" borderId="4" xfId="0" applyFont="1" applyFill="1" applyBorder="1" applyProtection="1">
      <protection hidden="1"/>
    </xf>
    <xf numFmtId="164" fontId="0" fillId="7" borderId="5" xfId="0" applyNumberFormat="1" applyFont="1" applyFill="1" applyBorder="1" applyAlignment="1" applyProtection="1">
      <alignment horizontal="center" vertical="center"/>
      <protection hidden="1"/>
    </xf>
    <xf numFmtId="164" fontId="0" fillId="7" borderId="0" xfId="0" applyNumberFormat="1" applyFont="1" applyFill="1" applyBorder="1" applyAlignment="1" applyProtection="1">
      <alignment horizontal="center" vertical="center"/>
      <protection hidden="1"/>
    </xf>
    <xf numFmtId="0" fontId="0" fillId="7" borderId="0" xfId="0" applyFont="1" applyFill="1" applyBorder="1" applyProtection="1">
      <protection hidden="1"/>
    </xf>
    <xf numFmtId="164" fontId="0" fillId="6" borderId="0" xfId="0" applyNumberFormat="1" applyFont="1" applyFill="1" applyBorder="1" applyAlignment="1" applyProtection="1">
      <alignment horizontal="center" vertical="center"/>
      <protection hidden="1"/>
    </xf>
    <xf numFmtId="165" fontId="0" fillId="7" borderId="58" xfId="0" applyNumberFormat="1" applyFont="1" applyFill="1" applyBorder="1" applyAlignment="1" applyProtection="1">
      <alignment horizontal="center"/>
      <protection hidden="1"/>
    </xf>
    <xf numFmtId="165" fontId="0" fillId="7" borderId="44" xfId="0" applyNumberFormat="1" applyFont="1" applyFill="1" applyBorder="1" applyAlignment="1" applyProtection="1">
      <alignment horizontal="center"/>
      <protection hidden="1"/>
    </xf>
    <xf numFmtId="165" fontId="0" fillId="7" borderId="59" xfId="0" applyNumberFormat="1" applyFont="1" applyFill="1" applyBorder="1" applyAlignment="1" applyProtection="1">
      <alignment horizontal="center"/>
      <protection hidden="1"/>
    </xf>
    <xf numFmtId="165" fontId="0" fillId="7" borderId="56" xfId="0" applyNumberFormat="1" applyFont="1" applyFill="1" applyBorder="1" applyAlignment="1" applyProtection="1">
      <alignment horizontal="center"/>
      <protection hidden="1"/>
    </xf>
    <xf numFmtId="165" fontId="0" fillId="7" borderId="35" xfId="0" applyNumberFormat="1" applyFont="1" applyFill="1" applyBorder="1" applyAlignment="1" applyProtection="1">
      <alignment horizontal="center"/>
      <protection hidden="1"/>
    </xf>
    <xf numFmtId="165" fontId="0" fillId="7" borderId="57" xfId="0" applyNumberFormat="1" applyFont="1" applyFill="1" applyBorder="1" applyAlignment="1" applyProtection="1">
      <alignment horizontal="center"/>
      <protection hidden="1"/>
    </xf>
    <xf numFmtId="0" fontId="0" fillId="0" borderId="0" xfId="0" applyAlignment="1" applyProtection="1">
      <alignment vertical="center"/>
      <protection hidden="1"/>
    </xf>
    <xf numFmtId="0" fontId="0" fillId="0" borderId="0" xfId="0" applyBorder="1" applyProtection="1">
      <protection hidden="1"/>
    </xf>
    <xf numFmtId="0" fontId="31" fillId="0" borderId="0" xfId="0" applyFont="1" applyBorder="1" applyAlignment="1" applyProtection="1">
      <alignment vertical="center" wrapText="1"/>
      <protection hidden="1"/>
    </xf>
    <xf numFmtId="0" fontId="0" fillId="4" borderId="13" xfId="0" applyFill="1" applyBorder="1" applyAlignment="1" applyProtection="1">
      <alignment horizontal="left" vertical="center" indent="1"/>
      <protection hidden="1"/>
    </xf>
    <xf numFmtId="0" fontId="10" fillId="4" borderId="11" xfId="0" applyFont="1" applyFill="1" applyBorder="1" applyAlignment="1" applyProtection="1">
      <alignment horizontal="left" vertical="center" indent="1"/>
      <protection hidden="1"/>
    </xf>
    <xf numFmtId="0" fontId="10" fillId="4" borderId="13" xfId="0" applyFont="1" applyFill="1" applyBorder="1" applyAlignment="1" applyProtection="1">
      <alignment horizontal="left" vertical="center" indent="1"/>
      <protection hidden="1"/>
    </xf>
    <xf numFmtId="0" fontId="39" fillId="6" borderId="0" xfId="0" applyFont="1" applyFill="1" applyAlignment="1" applyProtection="1">
      <alignment horizontal="center" vertical="center" wrapText="1"/>
      <protection hidden="1"/>
    </xf>
    <xf numFmtId="165" fontId="0" fillId="2" borderId="0" xfId="0" applyNumberFormat="1" applyFont="1" applyFill="1" applyBorder="1" applyAlignment="1" applyProtection="1">
      <alignment horizontal="center"/>
      <protection locked="0" hidden="1"/>
    </xf>
    <xf numFmtId="1" fontId="0" fillId="2" borderId="0" xfId="0" applyNumberFormat="1" applyFont="1" applyFill="1" applyBorder="1" applyAlignment="1" applyProtection="1">
      <alignment horizontal="center"/>
      <protection hidden="1"/>
    </xf>
    <xf numFmtId="1" fontId="0" fillId="2" borderId="14" xfId="0" applyNumberFormat="1" applyFont="1" applyFill="1" applyBorder="1" applyAlignment="1" applyProtection="1">
      <alignment horizontal="center"/>
      <protection hidden="1"/>
    </xf>
    <xf numFmtId="1" fontId="10" fillId="2" borderId="26" xfId="0" applyNumberFormat="1" applyFont="1" applyFill="1" applyBorder="1" applyAlignment="1" applyProtection="1">
      <alignment horizontal="center"/>
      <protection hidden="1"/>
    </xf>
    <xf numFmtId="1" fontId="10" fillId="2" borderId="0" xfId="0" applyNumberFormat="1" applyFont="1" applyFill="1" applyBorder="1" applyAlignment="1" applyProtection="1">
      <alignment horizontal="center"/>
      <protection hidden="1"/>
    </xf>
    <xf numFmtId="3" fontId="0" fillId="2" borderId="4" xfId="0" applyNumberFormat="1" applyFont="1" applyFill="1" applyBorder="1" applyAlignment="1" applyProtection="1">
      <alignment horizontal="center" vertical="center"/>
      <protection hidden="1"/>
    </xf>
    <xf numFmtId="3" fontId="0" fillId="2" borderId="18" xfId="0" applyNumberFormat="1" applyFont="1" applyFill="1" applyBorder="1" applyAlignment="1" applyProtection="1">
      <alignment horizontal="center" vertical="center"/>
      <protection hidden="1"/>
    </xf>
    <xf numFmtId="3" fontId="0" fillId="2" borderId="28" xfId="0" applyNumberFormat="1" applyFont="1" applyFill="1" applyBorder="1" applyAlignment="1" applyProtection="1">
      <alignment horizontal="center" vertical="center"/>
      <protection hidden="1"/>
    </xf>
    <xf numFmtId="3" fontId="0" fillId="2" borderId="40" xfId="0" applyNumberFormat="1" applyFont="1" applyFill="1" applyBorder="1" applyAlignment="1" applyProtection="1">
      <alignment horizontal="center" vertical="center"/>
      <protection hidden="1"/>
    </xf>
    <xf numFmtId="3" fontId="0" fillId="2" borderId="0" xfId="0" applyNumberFormat="1" applyFont="1" applyFill="1" applyBorder="1" applyAlignment="1" applyProtection="1">
      <alignment horizontal="center" vertical="center"/>
      <protection hidden="1"/>
    </xf>
    <xf numFmtId="3" fontId="0" fillId="2" borderId="20" xfId="0" applyNumberFormat="1" applyFont="1" applyFill="1" applyBorder="1" applyAlignment="1" applyProtection="1">
      <alignment horizontal="center" vertical="center"/>
      <protection hidden="1"/>
    </xf>
    <xf numFmtId="3" fontId="0" fillId="2" borderId="2" xfId="0" applyNumberFormat="1" applyFont="1" applyFill="1" applyBorder="1" applyAlignment="1" applyProtection="1">
      <alignment horizontal="center" vertical="center"/>
      <protection hidden="1"/>
    </xf>
    <xf numFmtId="3" fontId="0" fillId="2" borderId="22" xfId="0" applyNumberFormat="1" applyFont="1" applyFill="1" applyBorder="1" applyAlignment="1" applyProtection="1">
      <alignment horizontal="center" vertical="center"/>
      <protection hidden="1"/>
    </xf>
    <xf numFmtId="3" fontId="0" fillId="2" borderId="38" xfId="0" applyNumberFormat="1" applyFont="1" applyFill="1" applyBorder="1" applyProtection="1">
      <protection hidden="1"/>
    </xf>
    <xf numFmtId="3" fontId="0" fillId="2" borderId="39" xfId="0" applyNumberFormat="1" applyFont="1" applyFill="1" applyBorder="1" applyProtection="1">
      <protection hidden="1"/>
    </xf>
    <xf numFmtId="3" fontId="10" fillId="2" borderId="28" xfId="0" applyNumberFormat="1" applyFont="1" applyFill="1" applyBorder="1" applyAlignment="1" applyProtection="1">
      <alignment horizontal="center"/>
      <protection hidden="1"/>
    </xf>
    <xf numFmtId="3" fontId="10" fillId="2" borderId="40" xfId="0" applyNumberFormat="1" applyFont="1" applyFill="1" applyBorder="1" applyAlignment="1" applyProtection="1">
      <alignment horizontal="center"/>
      <protection hidden="1"/>
    </xf>
    <xf numFmtId="3" fontId="0" fillId="2" borderId="3" xfId="0" applyNumberFormat="1" applyFont="1" applyFill="1" applyBorder="1" applyProtection="1">
      <protection hidden="1"/>
    </xf>
    <xf numFmtId="3" fontId="0" fillId="2" borderId="41" xfId="0" applyNumberFormat="1" applyFont="1" applyFill="1" applyBorder="1" applyProtection="1">
      <protection hidden="1"/>
    </xf>
    <xf numFmtId="0" fontId="0" fillId="2" borderId="0" xfId="0" applyFont="1" applyFill="1" applyAlignment="1" applyProtection="1">
      <alignment horizontal="left" vertical="top" wrapText="1"/>
      <protection hidden="1"/>
    </xf>
    <xf numFmtId="0" fontId="40" fillId="2" borderId="0" xfId="0" applyFont="1" applyFill="1" applyAlignment="1" applyProtection="1">
      <alignment horizontal="left" vertical="top" wrapText="1"/>
      <protection hidden="1"/>
    </xf>
    <xf numFmtId="0" fontId="27" fillId="2" borderId="0" xfId="0" applyFont="1" applyFill="1" applyAlignment="1" applyProtection="1">
      <alignment horizontal="center" vertical="center"/>
      <protection hidden="1"/>
    </xf>
    <xf numFmtId="0" fontId="0" fillId="2" borderId="0" xfId="0" applyFill="1" applyAlignment="1" applyProtection="1">
      <alignment vertical="top" wrapText="1"/>
      <protection hidden="1"/>
    </xf>
    <xf numFmtId="3" fontId="0" fillId="2" borderId="0" xfId="0" applyNumberFormat="1" applyFont="1" applyFill="1" applyBorder="1" applyAlignment="1" applyProtection="1">
      <alignment horizontal="right" vertical="center"/>
      <protection hidden="1"/>
    </xf>
    <xf numFmtId="3" fontId="0" fillId="2" borderId="0" xfId="0" applyNumberFormat="1" applyFont="1" applyFill="1" applyBorder="1" applyAlignment="1" applyProtection="1">
      <alignment horizontal="right"/>
      <protection hidden="1"/>
    </xf>
    <xf numFmtId="3" fontId="0" fillId="2" borderId="14" xfId="0" applyNumberFormat="1" applyFont="1" applyFill="1" applyBorder="1" applyAlignment="1" applyProtection="1">
      <alignment horizontal="right"/>
      <protection hidden="1"/>
    </xf>
    <xf numFmtId="3" fontId="10" fillId="2" borderId="26" xfId="0" applyNumberFormat="1" applyFont="1" applyFill="1" applyBorder="1" applyAlignment="1" applyProtection="1">
      <alignment horizontal="right"/>
      <protection hidden="1"/>
    </xf>
    <xf numFmtId="3" fontId="10" fillId="2" borderId="27" xfId="0" applyNumberFormat="1" applyFont="1" applyFill="1" applyBorder="1" applyAlignment="1" applyProtection="1">
      <alignment horizontal="right"/>
      <protection hidden="1"/>
    </xf>
    <xf numFmtId="3" fontId="10" fillId="2" borderId="0" xfId="0" applyNumberFormat="1" applyFont="1" applyFill="1" applyBorder="1" applyAlignment="1" applyProtection="1">
      <alignment horizontal="right" vertical="center"/>
      <protection hidden="1"/>
    </xf>
    <xf numFmtId="3" fontId="10" fillId="2" borderId="1" xfId="0" applyNumberFormat="1" applyFont="1" applyFill="1" applyBorder="1" applyAlignment="1" applyProtection="1">
      <alignment horizontal="right" vertical="center"/>
      <protection hidden="1"/>
    </xf>
    <xf numFmtId="0" fontId="0" fillId="4" borderId="0" xfId="0" applyFont="1" applyFill="1" applyBorder="1" applyAlignment="1" applyProtection="1">
      <alignment horizontal="center" vertical="center"/>
      <protection hidden="1"/>
    </xf>
    <xf numFmtId="0" fontId="0" fillId="0" borderId="0" xfId="0" applyFont="1" applyFill="1" applyBorder="1" applyAlignment="1" applyProtection="1">
      <alignment horizontal="center" vertical="center"/>
      <protection hidden="1"/>
    </xf>
    <xf numFmtId="0" fontId="41" fillId="2" borderId="0" xfId="0" applyFont="1" applyFill="1" applyAlignment="1">
      <alignment horizontal="center" vertical="center"/>
    </xf>
    <xf numFmtId="0" fontId="0" fillId="4" borderId="5" xfId="0" applyFont="1" applyFill="1" applyBorder="1" applyAlignment="1" applyProtection="1">
      <alignment horizontal="center" vertical="center"/>
      <protection hidden="1"/>
    </xf>
    <xf numFmtId="0" fontId="0" fillId="4" borderId="0" xfId="0" applyFont="1" applyFill="1" applyBorder="1" applyAlignment="1" applyProtection="1">
      <alignment horizontal="center" vertical="center"/>
      <protection hidden="1"/>
    </xf>
    <xf numFmtId="0" fontId="0" fillId="4" borderId="0" xfId="0" applyFont="1" applyFill="1" applyAlignment="1" applyProtection="1">
      <alignment horizontal="center" vertical="center"/>
      <protection hidden="1"/>
    </xf>
    <xf numFmtId="0" fontId="36" fillId="4" borderId="0" xfId="0" applyFont="1" applyFill="1" applyAlignment="1" applyProtection="1">
      <alignment horizontal="center" vertical="center"/>
      <protection hidden="1"/>
    </xf>
    <xf numFmtId="165" fontId="0" fillId="2" borderId="0" xfId="0" applyNumberFormat="1" applyFont="1" applyFill="1" applyBorder="1" applyAlignment="1" applyProtection="1">
      <alignment horizontal="center"/>
      <protection hidden="1"/>
    </xf>
    <xf numFmtId="3" fontId="0" fillId="2" borderId="0" xfId="0" applyNumberFormat="1" applyFont="1" applyFill="1" applyBorder="1" applyAlignment="1" applyProtection="1">
      <alignment horizontal="right" vertical="center"/>
      <protection hidden="1"/>
    </xf>
    <xf numFmtId="3" fontId="0" fillId="2" borderId="28" xfId="0" applyNumberFormat="1" applyFont="1" applyFill="1" applyBorder="1" applyAlignment="1" applyProtection="1">
      <alignment horizontal="center" vertical="center"/>
      <protection hidden="1"/>
    </xf>
    <xf numFmtId="4" fontId="0" fillId="2" borderId="0" xfId="0" applyNumberFormat="1" applyFont="1" applyFill="1" applyBorder="1" applyAlignment="1" applyProtection="1">
      <alignment horizontal="center"/>
      <protection hidden="1"/>
    </xf>
    <xf numFmtId="0" fontId="15" fillId="2" borderId="20" xfId="0" applyFont="1" applyFill="1" applyBorder="1" applyAlignment="1" applyProtection="1">
      <alignment vertical="center"/>
      <protection hidden="1"/>
    </xf>
    <xf numFmtId="0" fontId="0" fillId="2" borderId="0" xfId="0" applyFill="1" applyBorder="1"/>
    <xf numFmtId="0" fontId="0" fillId="2" borderId="0" xfId="0" applyFont="1" applyFill="1" applyAlignment="1" applyProtection="1">
      <alignment vertical="center" wrapText="1"/>
      <protection hidden="1"/>
    </xf>
    <xf numFmtId="0" fontId="29" fillId="2" borderId="0" xfId="0" applyFont="1" applyFill="1" applyAlignment="1" applyProtection="1">
      <alignment vertical="center" wrapText="1"/>
      <protection hidden="1"/>
    </xf>
    <xf numFmtId="0" fontId="28" fillId="2" borderId="0" xfId="0" applyFont="1" applyFill="1" applyAlignment="1" applyProtection="1">
      <alignment vertical="center" wrapText="1"/>
      <protection hidden="1"/>
    </xf>
    <xf numFmtId="0" fontId="0" fillId="2" borderId="0" xfId="0" applyFont="1" applyFill="1" applyBorder="1" applyAlignment="1" applyProtection="1">
      <alignment vertical="center" wrapText="1"/>
      <protection hidden="1"/>
    </xf>
    <xf numFmtId="0" fontId="29" fillId="2" borderId="45" xfId="0" applyFont="1" applyFill="1" applyBorder="1" applyAlignment="1" applyProtection="1">
      <alignment vertical="center" wrapText="1"/>
      <protection hidden="1"/>
    </xf>
    <xf numFmtId="0" fontId="28" fillId="2" borderId="45" xfId="0" applyFont="1" applyFill="1" applyBorder="1" applyAlignment="1" applyProtection="1">
      <alignment vertical="center" wrapText="1"/>
      <protection hidden="1"/>
    </xf>
    <xf numFmtId="0" fontId="28" fillId="2" borderId="0" xfId="0" applyFont="1" applyFill="1" applyBorder="1" applyAlignment="1" applyProtection="1">
      <alignment vertical="center" wrapText="1"/>
      <protection hidden="1"/>
    </xf>
    <xf numFmtId="0" fontId="29" fillId="2" borderId="0" xfId="0" applyFont="1" applyFill="1" applyProtection="1">
      <protection hidden="1"/>
    </xf>
    <xf numFmtId="0" fontId="29" fillId="2" borderId="0" xfId="0" applyFont="1" applyFill="1" applyBorder="1" applyAlignment="1" applyProtection="1">
      <alignment vertical="center"/>
      <protection hidden="1"/>
    </xf>
    <xf numFmtId="3" fontId="0" fillId="2" borderId="60" xfId="0" applyNumberFormat="1" applyFont="1" applyFill="1" applyBorder="1" applyAlignment="1" applyProtection="1">
      <alignment horizontal="center" vertical="center"/>
      <protection hidden="1"/>
    </xf>
    <xf numFmtId="3" fontId="0" fillId="2" borderId="60" xfId="0" applyNumberFormat="1" applyFont="1" applyFill="1" applyBorder="1" applyAlignment="1" applyProtection="1">
      <alignment horizontal="center"/>
      <protection hidden="1"/>
    </xf>
    <xf numFmtId="3" fontId="0" fillId="2" borderId="34" xfId="0" applyNumberFormat="1" applyFont="1" applyFill="1" applyBorder="1" applyAlignment="1" applyProtection="1">
      <alignment horizontal="center"/>
      <protection hidden="1"/>
    </xf>
    <xf numFmtId="0" fontId="15" fillId="4" borderId="0" xfId="0" applyFont="1" applyFill="1" applyBorder="1" applyAlignment="1" applyProtection="1">
      <alignment horizontal="right" vertical="center"/>
      <protection hidden="1"/>
    </xf>
    <xf numFmtId="0" fontId="15" fillId="4" borderId="2" xfId="0" applyFont="1" applyFill="1" applyBorder="1" applyAlignment="1" applyProtection="1">
      <alignment horizontal="right" vertical="center"/>
      <protection hidden="1"/>
    </xf>
    <xf numFmtId="0" fontId="27" fillId="4" borderId="4" xfId="0" applyFont="1" applyFill="1" applyBorder="1" applyAlignment="1" applyProtection="1">
      <alignment horizontal="left" vertical="center"/>
      <protection hidden="1"/>
    </xf>
    <xf numFmtId="0" fontId="27" fillId="4" borderId="18" xfId="0" applyFont="1" applyFill="1" applyBorder="1" applyAlignment="1" applyProtection="1">
      <alignment horizontal="left" vertical="center"/>
      <protection hidden="1"/>
    </xf>
    <xf numFmtId="0" fontId="27" fillId="4" borderId="0" xfId="0" applyFont="1" applyFill="1" applyBorder="1" applyAlignment="1" applyProtection="1">
      <alignment horizontal="left" vertical="center"/>
      <protection hidden="1"/>
    </xf>
    <xf numFmtId="0" fontId="27" fillId="4" borderId="20" xfId="0" applyFont="1" applyFill="1" applyBorder="1" applyAlignment="1" applyProtection="1">
      <alignment horizontal="left" vertical="center"/>
      <protection hidden="1"/>
    </xf>
    <xf numFmtId="3" fontId="0" fillId="2" borderId="0" xfId="0" applyNumberFormat="1" applyFont="1" applyFill="1" applyBorder="1" applyAlignment="1" applyProtection="1">
      <alignment horizontal="right" vertical="center"/>
      <protection hidden="1"/>
    </xf>
    <xf numFmtId="2" fontId="20" fillId="2" borderId="0" xfId="0" applyNumberFormat="1" applyFont="1" applyFill="1" applyBorder="1" applyAlignment="1" applyProtection="1">
      <alignment horizontal="left" vertical="center"/>
      <protection hidden="1"/>
    </xf>
    <xf numFmtId="2" fontId="20" fillId="2" borderId="20" xfId="0" applyNumberFormat="1" applyFont="1" applyFill="1" applyBorder="1" applyAlignment="1" applyProtection="1">
      <alignment horizontal="left" vertical="center"/>
      <protection hidden="1"/>
    </xf>
    <xf numFmtId="2" fontId="20" fillId="2" borderId="2" xfId="0" applyNumberFormat="1" applyFont="1" applyFill="1" applyBorder="1" applyAlignment="1" applyProtection="1">
      <alignment horizontal="left" vertical="center"/>
      <protection hidden="1"/>
    </xf>
    <xf numFmtId="2" fontId="20" fillId="2" borderId="22" xfId="0" applyNumberFormat="1" applyFont="1" applyFill="1" applyBorder="1" applyAlignment="1" applyProtection="1">
      <alignment horizontal="left" vertical="center"/>
      <protection hidden="1"/>
    </xf>
    <xf numFmtId="0" fontId="18" fillId="2" borderId="5" xfId="0" applyFont="1" applyFill="1" applyBorder="1" applyAlignment="1" applyProtection="1">
      <alignment horizontal="center" vertical="center"/>
      <protection hidden="1"/>
    </xf>
    <xf numFmtId="3" fontId="10" fillId="2" borderId="31" xfId="0" applyNumberFormat="1" applyFont="1" applyFill="1" applyBorder="1" applyAlignment="1" applyProtection="1">
      <alignment horizontal="right" vertical="center"/>
      <protection hidden="1"/>
    </xf>
    <xf numFmtId="3" fontId="10" fillId="2" borderId="32" xfId="0" applyNumberFormat="1" applyFont="1" applyFill="1" applyBorder="1" applyAlignment="1" applyProtection="1">
      <alignment horizontal="right" vertical="center"/>
      <protection hidden="1"/>
    </xf>
    <xf numFmtId="3" fontId="10" fillId="2" borderId="29" xfId="0" applyNumberFormat="1" applyFont="1" applyFill="1" applyBorder="1" applyAlignment="1" applyProtection="1">
      <alignment horizontal="right" vertical="center"/>
      <protection hidden="1"/>
    </xf>
    <xf numFmtId="3" fontId="10" fillId="2" borderId="30" xfId="0" applyNumberFormat="1" applyFont="1" applyFill="1" applyBorder="1" applyAlignment="1" applyProtection="1">
      <alignment horizontal="right" vertical="center"/>
      <protection hidden="1"/>
    </xf>
    <xf numFmtId="3" fontId="10" fillId="2" borderId="23" xfId="0" applyNumberFormat="1" applyFont="1" applyFill="1" applyBorder="1" applyAlignment="1" applyProtection="1">
      <alignment horizontal="right" vertical="center"/>
      <protection hidden="1"/>
    </xf>
    <xf numFmtId="3" fontId="10" fillId="2" borderId="24" xfId="0" applyNumberFormat="1" applyFont="1" applyFill="1" applyBorder="1" applyAlignment="1" applyProtection="1">
      <alignment horizontal="right" vertical="center"/>
      <protection hidden="1"/>
    </xf>
    <xf numFmtId="0" fontId="18" fillId="2" borderId="0" xfId="0" applyFont="1" applyFill="1" applyBorder="1" applyAlignment="1" applyProtection="1">
      <alignment horizontal="center" vertical="center"/>
      <protection hidden="1"/>
    </xf>
    <xf numFmtId="4" fontId="0" fillId="2" borderId="7" xfId="0" applyNumberFormat="1" applyFont="1" applyFill="1" applyBorder="1" applyAlignment="1" applyProtection="1">
      <alignment horizontal="center"/>
      <protection hidden="1"/>
    </xf>
    <xf numFmtId="0" fontId="0" fillId="2" borderId="26" xfId="0" applyFont="1" applyFill="1" applyBorder="1" applyAlignment="1" applyProtection="1">
      <alignment horizontal="left" vertical="center"/>
      <protection hidden="1"/>
    </xf>
    <xf numFmtId="0" fontId="0" fillId="4" borderId="4" xfId="0" applyFont="1" applyFill="1" applyBorder="1" applyAlignment="1" applyProtection="1">
      <alignment horizontal="center" vertical="center"/>
      <protection hidden="1"/>
    </xf>
    <xf numFmtId="0" fontId="0" fillId="4" borderId="0" xfId="0" applyFont="1" applyFill="1" applyBorder="1" applyAlignment="1" applyProtection="1">
      <alignment horizontal="center" vertical="center"/>
      <protection hidden="1"/>
    </xf>
    <xf numFmtId="0" fontId="27" fillId="4" borderId="5" xfId="0" applyFont="1" applyFill="1" applyBorder="1" applyAlignment="1" applyProtection="1">
      <alignment horizontal="left" vertical="center"/>
      <protection hidden="1"/>
    </xf>
    <xf numFmtId="0" fontId="0" fillId="4" borderId="5" xfId="0" applyFont="1" applyFill="1" applyBorder="1" applyAlignment="1" applyProtection="1">
      <alignment horizontal="center" vertical="center"/>
      <protection hidden="1"/>
    </xf>
    <xf numFmtId="0" fontId="0" fillId="4" borderId="5" xfId="0" applyFont="1" applyFill="1" applyBorder="1" applyAlignment="1" applyProtection="1">
      <alignment horizontal="center"/>
      <protection hidden="1"/>
    </xf>
    <xf numFmtId="0" fontId="0" fillId="4" borderId="0" xfId="0" applyFont="1" applyFill="1" applyAlignment="1" applyProtection="1">
      <alignment horizontal="center" vertical="center"/>
      <protection hidden="1"/>
    </xf>
    <xf numFmtId="0" fontId="36" fillId="4" borderId="0" xfId="0" applyFont="1" applyFill="1" applyAlignment="1" applyProtection="1">
      <alignment horizontal="center" vertical="center"/>
      <protection hidden="1"/>
    </xf>
    <xf numFmtId="165" fontId="0" fillId="2" borderId="7" xfId="0" applyNumberFormat="1" applyFont="1" applyFill="1" applyBorder="1" applyAlignment="1" applyProtection="1">
      <alignment horizontal="center"/>
      <protection hidden="1"/>
    </xf>
    <xf numFmtId="165" fontId="0" fillId="2" borderId="0" xfId="0" applyNumberFormat="1" applyFont="1" applyFill="1" applyBorder="1" applyAlignment="1" applyProtection="1">
      <alignment horizontal="center"/>
      <protection hidden="1"/>
    </xf>
    <xf numFmtId="0" fontId="36" fillId="4" borderId="0" xfId="0" applyFont="1" applyFill="1" applyAlignment="1" applyProtection="1">
      <alignment horizontal="left" vertical="center"/>
      <protection hidden="1"/>
    </xf>
    <xf numFmtId="0" fontId="0" fillId="7" borderId="40" xfId="0" applyFont="1" applyFill="1" applyBorder="1" applyAlignment="1" applyProtection="1">
      <alignment horizontal="center" vertical="center"/>
      <protection locked="0" hidden="1"/>
    </xf>
    <xf numFmtId="0" fontId="0" fillId="7" borderId="3" xfId="0" applyFont="1" applyFill="1" applyBorder="1" applyAlignment="1" applyProtection="1">
      <alignment horizontal="center" vertical="center"/>
      <protection locked="0" hidden="1"/>
    </xf>
    <xf numFmtId="0" fontId="0" fillId="7" borderId="41" xfId="0" applyFont="1" applyFill="1" applyBorder="1" applyAlignment="1" applyProtection="1">
      <alignment horizontal="center" vertical="center"/>
      <protection locked="0" hidden="1"/>
    </xf>
    <xf numFmtId="0" fontId="0" fillId="2" borderId="0" xfId="0" applyFill="1" applyAlignment="1" applyProtection="1">
      <alignment horizontal="center"/>
      <protection hidden="1"/>
    </xf>
    <xf numFmtId="3" fontId="0" fillId="2" borderId="23" xfId="0" applyNumberFormat="1" applyFont="1" applyFill="1" applyBorder="1" applyAlignment="1" applyProtection="1">
      <alignment horizontal="center" vertical="center"/>
      <protection hidden="1"/>
    </xf>
    <xf numFmtId="3" fontId="0" fillId="2" borderId="24" xfId="0" applyNumberFormat="1" applyFont="1" applyFill="1" applyBorder="1" applyAlignment="1" applyProtection="1">
      <alignment horizontal="center" vertical="center"/>
      <protection hidden="1"/>
    </xf>
    <xf numFmtId="3" fontId="0" fillId="2" borderId="41" xfId="0" applyNumberFormat="1" applyFont="1" applyFill="1" applyBorder="1" applyAlignment="1" applyProtection="1">
      <alignment horizontal="center" vertical="center"/>
      <protection hidden="1"/>
    </xf>
    <xf numFmtId="3" fontId="0" fillId="2" borderId="28" xfId="0" applyNumberFormat="1" applyFont="1" applyFill="1" applyBorder="1" applyAlignment="1" applyProtection="1">
      <alignment horizontal="center" vertical="center"/>
      <protection hidden="1"/>
    </xf>
    <xf numFmtId="3" fontId="10" fillId="2" borderId="41" xfId="0" applyNumberFormat="1" applyFont="1" applyFill="1" applyBorder="1" applyAlignment="1" applyProtection="1">
      <alignment horizontal="center" vertical="center"/>
      <protection hidden="1"/>
    </xf>
    <xf numFmtId="3" fontId="10" fillId="2" borderId="28" xfId="0" applyNumberFormat="1" applyFont="1" applyFill="1" applyBorder="1" applyAlignment="1" applyProtection="1">
      <alignment horizontal="center" vertical="center"/>
      <protection hidden="1"/>
    </xf>
    <xf numFmtId="4" fontId="0" fillId="2" borderId="35" xfId="0" applyNumberFormat="1" applyFont="1" applyFill="1" applyBorder="1" applyAlignment="1" applyProtection="1">
      <alignment horizontal="center" vertical="center"/>
      <protection hidden="1"/>
    </xf>
    <xf numFmtId="0" fontId="0" fillId="2" borderId="35" xfId="0" applyFont="1" applyFill="1" applyBorder="1" applyAlignment="1" applyProtection="1">
      <alignment horizontal="center" vertical="center"/>
      <protection hidden="1"/>
    </xf>
    <xf numFmtId="4" fontId="0" fillId="4" borderId="0" xfId="0" applyNumberFormat="1" applyFont="1" applyFill="1" applyAlignment="1" applyProtection="1">
      <alignment horizontal="center" vertical="center"/>
      <protection hidden="1"/>
    </xf>
    <xf numFmtId="0" fontId="36" fillId="4" borderId="37" xfId="0" applyFont="1" applyFill="1" applyBorder="1" applyAlignment="1" applyProtection="1">
      <alignment horizontal="left" vertical="center"/>
      <protection hidden="1"/>
    </xf>
    <xf numFmtId="0" fontId="36" fillId="4" borderId="38" xfId="0" applyFont="1" applyFill="1" applyBorder="1" applyAlignment="1" applyProtection="1">
      <alignment horizontal="left" vertical="center"/>
      <protection hidden="1"/>
    </xf>
    <xf numFmtId="4" fontId="10" fillId="2" borderId="36" xfId="0" applyNumberFormat="1" applyFont="1" applyFill="1" applyBorder="1" applyAlignment="1" applyProtection="1">
      <alignment horizontal="center" vertical="center"/>
      <protection hidden="1"/>
    </xf>
    <xf numFmtId="0" fontId="10" fillId="2" borderId="36" xfId="0" applyFont="1" applyFill="1" applyBorder="1" applyAlignment="1" applyProtection="1">
      <alignment horizontal="center" vertical="center"/>
      <protection hidden="1"/>
    </xf>
    <xf numFmtId="0" fontId="36" fillId="4" borderId="5" xfId="0" applyFont="1" applyFill="1" applyBorder="1" applyAlignment="1" applyProtection="1">
      <alignment horizontal="center" vertical="center"/>
      <protection hidden="1"/>
    </xf>
    <xf numFmtId="3" fontId="0" fillId="2" borderId="37" xfId="0" applyNumberFormat="1" applyFont="1" applyFill="1" applyBorder="1" applyAlignment="1" applyProtection="1">
      <alignment horizontal="center" vertical="center"/>
      <protection hidden="1"/>
    </xf>
    <xf numFmtId="3" fontId="0" fillId="2" borderId="39" xfId="0" applyNumberFormat="1" applyFont="1" applyFill="1" applyBorder="1" applyAlignment="1" applyProtection="1">
      <alignment horizontal="center" vertical="center"/>
      <protection hidden="1"/>
    </xf>
    <xf numFmtId="4" fontId="0" fillId="2" borderId="28" xfId="0" applyNumberFormat="1" applyFont="1" applyFill="1" applyBorder="1" applyAlignment="1" applyProtection="1">
      <alignment horizontal="center" vertical="center"/>
      <protection hidden="1"/>
    </xf>
    <xf numFmtId="0" fontId="0" fillId="2" borderId="28" xfId="0" applyFont="1" applyFill="1" applyBorder="1" applyAlignment="1" applyProtection="1">
      <alignment horizontal="center" vertical="center"/>
      <protection hidden="1"/>
    </xf>
    <xf numFmtId="0" fontId="36" fillId="4" borderId="38" xfId="0" applyFont="1" applyFill="1" applyBorder="1" applyAlignment="1" applyProtection="1">
      <alignment horizontal="center" vertical="center"/>
      <protection hidden="1"/>
    </xf>
    <xf numFmtId="0" fontId="0" fillId="4" borderId="0" xfId="0" applyFont="1" applyFill="1" applyAlignment="1" applyProtection="1">
      <alignment horizontal="center" vertical="center" wrapText="1"/>
      <protection hidden="1"/>
    </xf>
    <xf numFmtId="0" fontId="5" fillId="2" borderId="44" xfId="0" applyFont="1" applyFill="1" applyBorder="1" applyAlignment="1" applyProtection="1">
      <alignment horizontal="center" vertical="center" wrapText="1"/>
      <protection hidden="1"/>
    </xf>
    <xf numFmtId="0" fontId="5" fillId="2" borderId="36" xfId="0" applyFont="1" applyFill="1" applyBorder="1" applyAlignment="1" applyProtection="1">
      <alignment horizontal="center" vertical="center" wrapText="1"/>
      <protection hidden="1"/>
    </xf>
    <xf numFmtId="2" fontId="20" fillId="2" borderId="1" xfId="0" applyNumberFormat="1" applyFont="1" applyFill="1" applyBorder="1" applyAlignment="1" applyProtection="1">
      <alignment horizontal="left" vertical="center"/>
      <protection hidden="1"/>
    </xf>
    <xf numFmtId="2" fontId="20" fillId="2" borderId="33" xfId="0" applyNumberFormat="1" applyFont="1" applyFill="1" applyBorder="1" applyAlignment="1" applyProtection="1">
      <alignment horizontal="left" vertical="center"/>
      <protection hidden="1"/>
    </xf>
    <xf numFmtId="2" fontId="20" fillId="2" borderId="14" xfId="0" applyNumberFormat="1" applyFont="1" applyFill="1" applyBorder="1" applyAlignment="1" applyProtection="1">
      <alignment horizontal="left" vertical="center"/>
      <protection hidden="1"/>
    </xf>
    <xf numFmtId="1" fontId="15" fillId="2" borderId="0" xfId="0" applyNumberFormat="1" applyFont="1" applyFill="1" applyBorder="1" applyAlignment="1" applyProtection="1">
      <alignment horizontal="right" vertical="center"/>
      <protection hidden="1"/>
    </xf>
    <xf numFmtId="1" fontId="16" fillId="2" borderId="31" xfId="0" applyNumberFormat="1" applyFont="1" applyFill="1" applyBorder="1" applyAlignment="1" applyProtection="1">
      <alignment horizontal="right" vertical="center"/>
      <protection hidden="1"/>
    </xf>
    <xf numFmtId="1" fontId="16" fillId="2" borderId="32" xfId="0" applyNumberFormat="1" applyFont="1" applyFill="1" applyBorder="1" applyAlignment="1" applyProtection="1">
      <alignment horizontal="right" vertical="center"/>
      <protection hidden="1"/>
    </xf>
    <xf numFmtId="0" fontId="15" fillId="2" borderId="0" xfId="0" applyFont="1" applyFill="1" applyBorder="1" applyAlignment="1" applyProtection="1">
      <alignment vertical="center"/>
      <protection hidden="1"/>
    </xf>
    <xf numFmtId="0" fontId="15" fillId="2" borderId="20" xfId="0" applyFont="1" applyFill="1" applyBorder="1" applyAlignment="1" applyProtection="1">
      <alignment vertical="center"/>
      <protection hidden="1"/>
    </xf>
    <xf numFmtId="1" fontId="16" fillId="2" borderId="29" xfId="0" applyNumberFormat="1" applyFont="1" applyFill="1" applyBorder="1" applyAlignment="1" applyProtection="1">
      <alignment horizontal="right" vertical="center"/>
      <protection hidden="1"/>
    </xf>
    <xf numFmtId="1" fontId="16" fillId="2" borderId="30" xfId="0" applyNumberFormat="1" applyFont="1" applyFill="1" applyBorder="1" applyAlignment="1" applyProtection="1">
      <alignment horizontal="right" vertical="center"/>
      <protection hidden="1"/>
    </xf>
    <xf numFmtId="1" fontId="16" fillId="2" borderId="23" xfId="0" applyNumberFormat="1" applyFont="1" applyFill="1" applyBorder="1" applyAlignment="1" applyProtection="1">
      <alignment horizontal="right" vertical="center"/>
      <protection hidden="1"/>
    </xf>
    <xf numFmtId="1" fontId="16" fillId="2" borderId="24" xfId="0" applyNumberFormat="1" applyFont="1" applyFill="1" applyBorder="1" applyAlignment="1" applyProtection="1">
      <alignment horizontal="right" vertical="center"/>
      <protection hidden="1"/>
    </xf>
    <xf numFmtId="0" fontId="0" fillId="2" borderId="1" xfId="0" applyFont="1" applyFill="1" applyBorder="1" applyAlignment="1" applyProtection="1">
      <alignment horizontal="left" vertical="center"/>
      <protection hidden="1"/>
    </xf>
    <xf numFmtId="0" fontId="0" fillId="6" borderId="0" xfId="0" applyFill="1" applyBorder="1" applyAlignment="1" applyProtection="1">
      <alignment horizontal="center"/>
      <protection hidden="1"/>
    </xf>
    <xf numFmtId="0" fontId="0" fillId="4" borderId="0" xfId="0" applyFont="1" applyFill="1" applyBorder="1" applyAlignment="1" applyProtection="1">
      <alignment horizontal="center"/>
      <protection hidden="1"/>
    </xf>
    <xf numFmtId="4" fontId="0" fillId="2" borderId="0" xfId="0" applyNumberFormat="1" applyFont="1" applyFill="1" applyBorder="1" applyAlignment="1" applyProtection="1">
      <alignment horizontal="center"/>
      <protection hidden="1"/>
    </xf>
    <xf numFmtId="0" fontId="0" fillId="7" borderId="40" xfId="0" applyFont="1" applyFill="1" applyBorder="1" applyAlignment="1" applyProtection="1">
      <alignment horizontal="center" vertical="center"/>
      <protection hidden="1"/>
    </xf>
    <xf numFmtId="0" fontId="0" fillId="7" borderId="3" xfId="0" applyFont="1" applyFill="1" applyBorder="1" applyAlignment="1" applyProtection="1">
      <alignment horizontal="center" vertical="center"/>
      <protection hidden="1"/>
    </xf>
    <xf numFmtId="0" fontId="0" fillId="7" borderId="41" xfId="0" applyFont="1" applyFill="1" applyBorder="1" applyAlignment="1" applyProtection="1">
      <alignment horizontal="center" vertical="center"/>
      <protection hidden="1"/>
    </xf>
    <xf numFmtId="0" fontId="0" fillId="4" borderId="13" xfId="0" applyFill="1" applyBorder="1" applyAlignment="1" applyProtection="1">
      <alignment horizontal="center" vertical="center"/>
      <protection hidden="1"/>
    </xf>
    <xf numFmtId="0" fontId="0" fillId="4" borderId="0" xfId="0" applyFill="1" applyBorder="1" applyAlignment="1" applyProtection="1">
      <alignment horizontal="center" vertical="center"/>
      <protection hidden="1"/>
    </xf>
    <xf numFmtId="0" fontId="0" fillId="4" borderId="14" xfId="0" applyFill="1" applyBorder="1" applyAlignment="1" applyProtection="1">
      <alignment horizontal="center" vertical="center"/>
      <protection hidden="1"/>
    </xf>
    <xf numFmtId="0" fontId="0" fillId="4" borderId="19" xfId="0" applyFill="1" applyBorder="1" applyAlignment="1" applyProtection="1">
      <alignment horizontal="center" vertical="center"/>
      <protection hidden="1"/>
    </xf>
    <xf numFmtId="0" fontId="0" fillId="4" borderId="20" xfId="0" applyFill="1" applyBorder="1" applyAlignment="1" applyProtection="1">
      <alignment horizontal="center" vertical="center"/>
      <protection hidden="1"/>
    </xf>
    <xf numFmtId="0" fontId="34" fillId="2" borderId="0" xfId="0" applyFont="1" applyFill="1" applyAlignment="1" applyProtection="1">
      <alignment horizontal="center" wrapText="1"/>
      <protection hidden="1"/>
    </xf>
    <xf numFmtId="0" fontId="0" fillId="2" borderId="0" xfId="0" applyFill="1" applyAlignment="1" applyProtection="1">
      <alignment horizontal="center" wrapText="1"/>
      <protection hidden="1"/>
    </xf>
  </cellXfs>
  <cellStyles count="19">
    <cellStyle name="Followed Hyperlink" xfId="14" builtinId="9" hidden="1"/>
    <cellStyle name="Followed Hyperlink" xfId="6" builtinId="9" hidden="1"/>
    <cellStyle name="Followed Hyperlink" xfId="4" builtinId="9" hidden="1"/>
    <cellStyle name="Followed Hyperlink" xfId="2" builtinId="9" hidden="1"/>
    <cellStyle name="Followed Hyperlink" xfId="8" builtinId="9" hidden="1"/>
    <cellStyle name="Followed Hyperlink" xfId="16" builtinId="9" hidden="1"/>
    <cellStyle name="Followed Hyperlink" xfId="18" builtinId="9" hidden="1"/>
    <cellStyle name="Followed Hyperlink" xfId="12" builtinId="9" hidden="1"/>
    <cellStyle name="Followed Hyperlink" xfId="10" builtinId="9" hidden="1"/>
    <cellStyle name="Hyperlink" xfId="3" builtinId="8" hidden="1"/>
    <cellStyle name="Hyperlink" xfId="5" builtinId="8" hidden="1"/>
    <cellStyle name="Hyperlink" xfId="1" builtinId="8" hidden="1"/>
    <cellStyle name="Hyperlink" xfId="7" builtinId="8" hidden="1"/>
    <cellStyle name="Hyperlink" xfId="9" builtinId="8" hidden="1"/>
    <cellStyle name="Hyperlink" xfId="11" builtinId="8" hidden="1"/>
    <cellStyle name="Hyperlink" xfId="15" builtinId="8" hidden="1"/>
    <cellStyle name="Hyperlink" xfId="17" builtinId="8" hidden="1"/>
    <cellStyle name="Hyperlink" xfId="13" builtinId="8" hidden="1"/>
    <cellStyle name="Normal" xfId="0" builtinId="0"/>
  </cellStyles>
  <dxfs count="91">
    <dxf>
      <font>
        <color theme="0"/>
      </font>
      <fill>
        <patternFill>
          <bgColor theme="0"/>
        </patternFill>
      </fill>
    </dxf>
    <dxf>
      <fill>
        <patternFill>
          <bgColor rgb="FFFFFFCC"/>
        </patternFill>
      </fill>
    </dxf>
    <dxf>
      <font>
        <color rgb="FFFFFFCC"/>
      </font>
    </dxf>
    <dxf>
      <fill>
        <patternFill>
          <bgColor rgb="FFFFFFCC"/>
        </patternFill>
      </fill>
    </dxf>
    <dxf>
      <font>
        <color rgb="FFFFFFCC"/>
      </font>
    </dxf>
    <dxf>
      <font>
        <color theme="0"/>
      </font>
    </dxf>
    <dxf>
      <font>
        <color theme="0"/>
      </font>
    </dxf>
    <dxf>
      <font>
        <color theme="0"/>
      </font>
      <fill>
        <patternFill>
          <bgColor theme="0"/>
        </patternFill>
      </fill>
    </dxf>
    <dxf>
      <font>
        <color theme="0"/>
      </font>
      <fill>
        <patternFill>
          <bgColor theme="0"/>
        </patternFill>
      </fill>
    </dxf>
    <dxf>
      <font>
        <color theme="6" tint="0.79998168889431442"/>
      </font>
      <fill>
        <patternFill>
          <fgColor theme="6" tint="0.79998168889431442"/>
        </patternFill>
      </fill>
    </dxf>
    <dxf>
      <font>
        <color theme="0"/>
      </font>
      <fill>
        <patternFill>
          <fgColor theme="6" tint="0.79998168889431442"/>
        </patternFill>
      </fill>
    </dxf>
    <dxf>
      <font>
        <color theme="0"/>
      </font>
      <fill>
        <patternFill>
          <fgColor theme="6" tint="0.79998168889431442"/>
        </patternFill>
      </fill>
    </dxf>
    <dxf>
      <font>
        <color theme="0"/>
      </font>
      <fill>
        <patternFill>
          <fgColor theme="6" tint="0.79998168889431442"/>
        </patternFill>
      </fill>
    </dxf>
    <dxf>
      <font>
        <color theme="0"/>
      </font>
      <fill>
        <patternFill>
          <bgColor theme="0"/>
        </patternFill>
      </fill>
    </dxf>
    <dxf>
      <fill>
        <patternFill>
          <bgColor rgb="FFFFFFCC"/>
        </patternFill>
      </fill>
    </dxf>
    <dxf>
      <font>
        <color theme="0"/>
      </font>
      <fill>
        <patternFill>
          <fgColor theme="6" tint="0.79998168889431442"/>
        </patternFill>
      </fill>
    </dxf>
    <dxf>
      <font>
        <color theme="1"/>
      </font>
      <fill>
        <patternFill>
          <bgColor rgb="FFFFFFCC"/>
        </patternFill>
      </fill>
    </dxf>
    <dxf>
      <font>
        <color theme="0"/>
      </font>
    </dxf>
    <dxf>
      <font>
        <color theme="1"/>
      </font>
      <fill>
        <patternFill>
          <bgColor rgb="FFFFA3A3"/>
        </patternFill>
      </fill>
    </dxf>
    <dxf>
      <font>
        <color theme="0"/>
      </font>
      <fill>
        <patternFill>
          <bgColor theme="0"/>
        </patternFill>
      </fill>
    </dxf>
    <dxf>
      <fill>
        <patternFill>
          <bgColor rgb="FFFFFFCC"/>
        </patternFill>
      </fill>
    </dxf>
    <dxf>
      <font>
        <color rgb="FFFFFFCC"/>
      </font>
    </dxf>
    <dxf>
      <font>
        <color theme="0"/>
      </font>
    </dxf>
    <dxf>
      <font>
        <color theme="0"/>
      </font>
    </dxf>
    <dxf>
      <font>
        <color theme="0"/>
      </font>
      <fill>
        <patternFill>
          <bgColor theme="0"/>
        </patternFill>
      </fill>
    </dxf>
    <dxf>
      <font>
        <color theme="0"/>
      </font>
      <fill>
        <patternFill>
          <bgColor theme="0"/>
        </patternFill>
      </fill>
    </dxf>
    <dxf>
      <font>
        <color theme="0"/>
      </font>
      <fill>
        <patternFill>
          <fgColor theme="6" tint="0.79998168889431442"/>
        </patternFill>
      </fill>
    </dxf>
    <dxf>
      <font>
        <color theme="0"/>
      </font>
      <fill>
        <patternFill>
          <fgColor theme="6" tint="0.79998168889431442"/>
        </patternFill>
      </fill>
    </dxf>
    <dxf>
      <font>
        <color theme="0"/>
      </font>
      <fill>
        <patternFill>
          <fgColor theme="6" tint="0.79998168889431442"/>
        </patternFill>
      </fill>
    </dxf>
    <dxf>
      <font>
        <color theme="0"/>
      </font>
      <fill>
        <patternFill>
          <fgColor theme="6" tint="0.79998168889431442"/>
        </patternFill>
      </fill>
    </dxf>
    <dxf>
      <font>
        <color theme="1"/>
      </font>
      <fill>
        <patternFill>
          <bgColor rgb="FFFFFFCC"/>
        </patternFill>
      </fill>
    </dxf>
    <dxf>
      <font>
        <color theme="0"/>
      </font>
      <fill>
        <patternFill>
          <bgColor theme="0"/>
        </patternFill>
      </fill>
    </dxf>
    <dxf>
      <fill>
        <patternFill>
          <bgColor rgb="FFFFFFCC"/>
        </patternFill>
      </fill>
    </dxf>
    <dxf>
      <font>
        <color rgb="FFFFFFCC"/>
      </font>
    </dxf>
    <dxf>
      <font>
        <color theme="0"/>
      </font>
    </dxf>
    <dxf>
      <font>
        <color theme="0"/>
      </font>
    </dxf>
    <dxf>
      <font>
        <color theme="0"/>
      </font>
      <fill>
        <patternFill>
          <bgColor theme="0"/>
        </patternFill>
      </fill>
    </dxf>
    <dxf>
      <font>
        <color theme="0"/>
      </font>
      <fill>
        <patternFill>
          <bgColor theme="0"/>
        </patternFill>
      </fill>
    </dxf>
    <dxf>
      <font>
        <color theme="0"/>
      </font>
      <fill>
        <patternFill>
          <fgColor theme="6" tint="0.79998168889431442"/>
        </patternFill>
      </fill>
    </dxf>
    <dxf>
      <font>
        <color theme="0"/>
      </font>
      <fill>
        <patternFill>
          <fgColor theme="6" tint="0.79998168889431442"/>
        </patternFill>
      </fill>
    </dxf>
    <dxf>
      <font>
        <color theme="0"/>
      </font>
      <fill>
        <patternFill>
          <fgColor theme="6" tint="0.79998168889431442"/>
        </patternFill>
      </fill>
    </dxf>
    <dxf>
      <font>
        <color theme="0"/>
      </font>
      <fill>
        <patternFill>
          <fgColor theme="6" tint="0.79998168889431442"/>
        </patternFill>
      </fill>
    </dxf>
    <dxf>
      <font>
        <color theme="1"/>
      </font>
      <fill>
        <patternFill>
          <bgColor rgb="FFFFFFCC"/>
        </patternFill>
      </fill>
    </dxf>
    <dxf>
      <font>
        <color theme="0"/>
      </font>
      <fill>
        <patternFill>
          <bgColor theme="0"/>
        </patternFill>
      </fill>
    </dxf>
    <dxf>
      <fill>
        <patternFill>
          <bgColor rgb="FFFFFFCC"/>
        </patternFill>
      </fill>
    </dxf>
    <dxf>
      <font>
        <color rgb="FFFFFFCC"/>
      </font>
    </dxf>
    <dxf>
      <font>
        <color theme="0"/>
      </font>
    </dxf>
    <dxf>
      <font>
        <color theme="0"/>
      </font>
    </dxf>
    <dxf>
      <font>
        <color theme="0"/>
      </font>
      <fill>
        <patternFill>
          <bgColor theme="0"/>
        </patternFill>
      </fill>
    </dxf>
    <dxf>
      <font>
        <color theme="0"/>
      </font>
      <fill>
        <patternFill>
          <bgColor theme="0"/>
        </patternFill>
      </fill>
    </dxf>
    <dxf>
      <font>
        <color theme="0"/>
      </font>
      <fill>
        <patternFill>
          <fgColor theme="6" tint="0.79998168889431442"/>
        </patternFill>
      </fill>
    </dxf>
    <dxf>
      <font>
        <color theme="0"/>
      </font>
      <fill>
        <patternFill>
          <fgColor theme="6" tint="0.79998168889431442"/>
        </patternFill>
      </fill>
    </dxf>
    <dxf>
      <font>
        <color theme="0"/>
      </font>
      <fill>
        <patternFill>
          <fgColor theme="6" tint="0.79998168889431442"/>
        </patternFill>
      </fill>
    </dxf>
    <dxf>
      <font>
        <color theme="0"/>
      </font>
      <fill>
        <patternFill>
          <fgColor theme="6" tint="0.79998168889431442"/>
        </patternFill>
      </fill>
    </dxf>
    <dxf>
      <font>
        <color theme="1"/>
      </font>
      <fill>
        <patternFill>
          <bgColor rgb="FFFFFFCC"/>
        </patternFill>
      </fill>
    </dxf>
    <dxf>
      <font>
        <color theme="0"/>
      </font>
      <fill>
        <patternFill>
          <bgColor theme="0"/>
        </patternFill>
      </fill>
    </dxf>
    <dxf>
      <fill>
        <patternFill>
          <bgColor rgb="FFFFFFCC"/>
        </patternFill>
      </fill>
    </dxf>
    <dxf>
      <font>
        <color rgb="FFFFFFCC"/>
      </font>
    </dxf>
    <dxf>
      <font>
        <color theme="0"/>
      </font>
    </dxf>
    <dxf>
      <font>
        <color theme="0"/>
      </font>
    </dxf>
    <dxf>
      <font>
        <color theme="0"/>
      </font>
      <fill>
        <patternFill>
          <bgColor theme="0"/>
        </patternFill>
      </fill>
    </dxf>
    <dxf>
      <font>
        <color theme="0"/>
      </font>
      <fill>
        <patternFill>
          <bgColor theme="0"/>
        </patternFill>
      </fill>
    </dxf>
    <dxf>
      <font>
        <color theme="0"/>
      </font>
      <fill>
        <patternFill>
          <fgColor theme="6" tint="0.79998168889431442"/>
        </patternFill>
      </fill>
    </dxf>
    <dxf>
      <font>
        <color theme="0"/>
      </font>
      <fill>
        <patternFill>
          <fgColor theme="6" tint="0.79998168889431442"/>
        </patternFill>
      </fill>
    </dxf>
    <dxf>
      <font>
        <color theme="0"/>
      </font>
      <fill>
        <patternFill>
          <fgColor theme="6" tint="0.79998168889431442"/>
        </patternFill>
      </fill>
    </dxf>
    <dxf>
      <font>
        <color theme="0"/>
      </font>
      <fill>
        <patternFill>
          <fgColor theme="6" tint="0.79998168889431442"/>
        </patternFill>
      </fill>
    </dxf>
    <dxf>
      <font>
        <color theme="1"/>
      </font>
      <fill>
        <patternFill>
          <bgColor rgb="FFFFFFCC"/>
        </patternFill>
      </fill>
    </dxf>
    <dxf>
      <font>
        <color theme="0"/>
      </font>
      <fill>
        <patternFill>
          <bgColor theme="0"/>
        </patternFill>
      </fill>
    </dxf>
    <dxf>
      <fill>
        <patternFill>
          <bgColor rgb="FFFFFFCC"/>
        </patternFill>
      </fill>
    </dxf>
    <dxf>
      <font>
        <color rgb="FFFFFFCC"/>
      </font>
    </dxf>
    <dxf>
      <font>
        <color theme="0"/>
      </font>
    </dxf>
    <dxf>
      <font>
        <color theme="0"/>
      </font>
    </dxf>
    <dxf>
      <font>
        <color theme="0"/>
      </font>
      <fill>
        <patternFill>
          <bgColor theme="0"/>
        </patternFill>
      </fill>
    </dxf>
    <dxf>
      <font>
        <color theme="0"/>
      </font>
      <fill>
        <patternFill>
          <bgColor theme="0"/>
        </patternFill>
      </fill>
    </dxf>
    <dxf>
      <font>
        <color theme="0"/>
      </font>
      <fill>
        <patternFill>
          <fgColor theme="6" tint="0.79998168889431442"/>
        </patternFill>
      </fill>
    </dxf>
    <dxf>
      <font>
        <color theme="0"/>
      </font>
      <fill>
        <patternFill>
          <fgColor theme="6" tint="0.79998168889431442"/>
        </patternFill>
      </fill>
    </dxf>
    <dxf>
      <font>
        <color theme="0"/>
      </font>
      <fill>
        <patternFill>
          <fgColor theme="6" tint="0.79998168889431442"/>
        </patternFill>
      </fill>
    </dxf>
    <dxf>
      <font>
        <color theme="0"/>
      </font>
      <fill>
        <patternFill>
          <fgColor theme="6" tint="0.79998168889431442"/>
        </patternFill>
      </fill>
    </dxf>
    <dxf>
      <font>
        <color theme="1"/>
      </font>
      <fill>
        <patternFill>
          <bgColor rgb="FFFFFFCC"/>
        </patternFill>
      </fill>
    </dxf>
    <dxf>
      <font>
        <color theme="0"/>
      </font>
      <fill>
        <patternFill>
          <bgColor theme="0"/>
        </patternFill>
      </fill>
    </dxf>
    <dxf>
      <fill>
        <patternFill>
          <bgColor rgb="FFFFFFCC"/>
        </patternFill>
      </fill>
    </dxf>
    <dxf>
      <font>
        <color rgb="FFFFFFCC"/>
      </font>
    </dxf>
    <dxf>
      <font>
        <color theme="0"/>
      </font>
    </dxf>
    <dxf>
      <font>
        <color theme="0"/>
      </font>
    </dxf>
    <dxf>
      <font>
        <color theme="0"/>
      </font>
      <fill>
        <patternFill>
          <bgColor theme="0"/>
        </patternFill>
      </fill>
    </dxf>
    <dxf>
      <font>
        <color theme="0"/>
      </font>
      <fill>
        <patternFill>
          <bgColor theme="0"/>
        </patternFill>
      </fill>
    </dxf>
    <dxf>
      <font>
        <color theme="0"/>
      </font>
      <fill>
        <patternFill>
          <fgColor theme="6" tint="0.79998168889431442"/>
        </patternFill>
      </fill>
    </dxf>
    <dxf>
      <font>
        <color theme="0"/>
      </font>
      <fill>
        <patternFill>
          <fgColor theme="6" tint="0.79998168889431442"/>
        </patternFill>
      </fill>
    </dxf>
    <dxf>
      <font>
        <color theme="0"/>
      </font>
      <fill>
        <patternFill>
          <fgColor theme="6" tint="0.79998168889431442"/>
        </patternFill>
      </fill>
    </dxf>
    <dxf>
      <font>
        <color theme="0"/>
      </font>
      <fill>
        <patternFill>
          <fgColor theme="6" tint="0.79998168889431442"/>
        </patternFill>
      </fill>
    </dxf>
    <dxf>
      <font>
        <color theme="1"/>
      </font>
      <fill>
        <patternFill>
          <bgColor rgb="FFFFFFCC"/>
        </patternFill>
      </fill>
    </dxf>
  </dxfs>
  <tableStyles count="0" defaultTableStyle="TableStyleMedium2" defaultPivotStyle="PivotStyleLight16"/>
  <colors>
    <mruColors>
      <color rgb="FFFFFFCC"/>
      <color rgb="FFFFA3A3"/>
      <color rgb="FFFDFDFD"/>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cleanenergyregulator.gov.au/NGER/Forms-and-resources/Training-tools" TargetMode="External"/><Relationship Id="rId2" Type="http://schemas.openxmlformats.org/officeDocument/2006/relationships/hyperlink" Target="http://www.cleanenergyregulator.gov.au/NGER/Forms-and-resources/Guides-and-factsheets" TargetMode="External"/><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xml.rels><?xml version="1.0" encoding="UTF-8" standalone="yes"?>
<Relationships xmlns="http://schemas.openxmlformats.org/package/2006/relationships"><Relationship Id="rId3" Type="http://schemas.openxmlformats.org/officeDocument/2006/relationships/image" Target="cid:image005.jpg@01CB71E0.D8ACFE20" TargetMode="External"/><Relationship Id="rId2" Type="http://schemas.openxmlformats.org/officeDocument/2006/relationships/image" Target="../media/image3.jpe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1" Type="http://schemas.openxmlformats.org/officeDocument/2006/relationships/image" Target="../media/image2.jpg"/></Relationships>
</file>

<file path=xl/drawings/_rels/drawing4.xml.rels><?xml version="1.0" encoding="UTF-8" standalone="yes"?>
<Relationships xmlns="http://schemas.openxmlformats.org/package/2006/relationships"><Relationship Id="rId1" Type="http://schemas.openxmlformats.org/officeDocument/2006/relationships/image" Target="../media/image2.jpg"/></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s>
</file>

<file path=xl/drawings/_rels/drawing6.xml.rels><?xml version="1.0" encoding="UTF-8" standalone="yes"?>
<Relationships xmlns="http://schemas.openxmlformats.org/package/2006/relationships"><Relationship Id="rId1" Type="http://schemas.openxmlformats.org/officeDocument/2006/relationships/image" Target="../media/image2.jpg"/></Relationships>
</file>

<file path=xl/drawings/_rels/drawing7.xml.rels><?xml version="1.0" encoding="UTF-8" standalone="yes"?>
<Relationships xmlns="http://schemas.openxmlformats.org/package/2006/relationships"><Relationship Id="rId1" Type="http://schemas.openxmlformats.org/officeDocument/2006/relationships/image" Target="../media/image2.jp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s>
</file>

<file path=xl/drawings/_rels/drawing9.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600075</xdr:colOff>
      <xdr:row>0</xdr:row>
      <xdr:rowOff>123824</xdr:rowOff>
    </xdr:from>
    <xdr:to>
      <xdr:col>2</xdr:col>
      <xdr:colOff>26373</xdr:colOff>
      <xdr:row>0</xdr:row>
      <xdr:rowOff>1485899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5" y="123824"/>
          <a:ext cx="9154498" cy="1362075"/>
        </a:xfrm>
        <a:prstGeom prst="rect">
          <a:avLst/>
        </a:prstGeom>
      </xdr:spPr>
    </xdr:pic>
    <xdr:clientData/>
  </xdr:twoCellAnchor>
  <xdr:twoCellAnchor>
    <xdr:from>
      <xdr:col>1</xdr:col>
      <xdr:colOff>5314950</xdr:colOff>
      <xdr:row>7</xdr:row>
      <xdr:rowOff>1447800</xdr:rowOff>
    </xdr:from>
    <xdr:to>
      <xdr:col>1</xdr:col>
      <xdr:colOff>7934325</xdr:colOff>
      <xdr:row>7</xdr:row>
      <xdr:rowOff>1981200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00000000-0008-0000-0000-000003000000}"/>
            </a:ext>
          </a:extLst>
        </xdr:cNvPr>
        <xdr:cNvSpPr/>
      </xdr:nvSpPr>
      <xdr:spPr>
        <a:xfrm>
          <a:off x="5924550" y="7886700"/>
          <a:ext cx="2619375" cy="533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800"/>
            <a:t>Guides and factsheets</a:t>
          </a:r>
        </a:p>
      </xdr:txBody>
    </xdr:sp>
    <xdr:clientData/>
  </xdr:twoCellAnchor>
  <xdr:twoCellAnchor>
    <xdr:from>
      <xdr:col>1</xdr:col>
      <xdr:colOff>1438275</xdr:colOff>
      <xdr:row>7</xdr:row>
      <xdr:rowOff>1466850</xdr:rowOff>
    </xdr:from>
    <xdr:to>
      <xdr:col>1</xdr:col>
      <xdr:colOff>4057650</xdr:colOff>
      <xdr:row>7</xdr:row>
      <xdr:rowOff>2000250</xdr:rowOff>
    </xdr:to>
    <xdr:sp macro="" textlink="">
      <xdr:nvSpPr>
        <xdr:cNvPr id="5" name="Rectangle 4">
          <a:hlinkClick xmlns:r="http://schemas.openxmlformats.org/officeDocument/2006/relationships" r:id="rId3"/>
          <a:extLst>
            <a:ext uri="{FF2B5EF4-FFF2-40B4-BE49-F238E27FC236}">
              <a16:creationId xmlns:a16="http://schemas.microsoft.com/office/drawing/2014/main" id="{00000000-0008-0000-0000-000005000000}"/>
            </a:ext>
          </a:extLst>
        </xdr:cNvPr>
        <xdr:cNvSpPr/>
      </xdr:nvSpPr>
      <xdr:spPr>
        <a:xfrm>
          <a:off x="2047875" y="7905750"/>
          <a:ext cx="2619375" cy="533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800"/>
            <a:t>Training tools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600074</xdr:colOff>
      <xdr:row>0</xdr:row>
      <xdr:rowOff>104775</xdr:rowOff>
    </xdr:from>
    <xdr:to>
      <xdr:col>4</xdr:col>
      <xdr:colOff>6076</xdr:colOff>
      <xdr:row>0</xdr:row>
      <xdr:rowOff>1619249</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4" y="104775"/>
          <a:ext cx="10178777" cy="151447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600075</xdr:colOff>
      <xdr:row>0</xdr:row>
      <xdr:rowOff>123824</xdr:rowOff>
    </xdr:from>
    <xdr:to>
      <xdr:col>2</xdr:col>
      <xdr:colOff>29548</xdr:colOff>
      <xdr:row>0</xdr:row>
      <xdr:rowOff>1485899</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5" y="123824"/>
          <a:ext cx="9154498" cy="1362075"/>
        </a:xfrm>
        <a:prstGeom prst="rect">
          <a:avLst/>
        </a:prstGeom>
      </xdr:spPr>
    </xdr:pic>
    <xdr:clientData/>
  </xdr:twoCellAnchor>
  <xdr:twoCellAnchor>
    <xdr:from>
      <xdr:col>1</xdr:col>
      <xdr:colOff>3333750</xdr:colOff>
      <xdr:row>5</xdr:row>
      <xdr:rowOff>838200</xdr:rowOff>
    </xdr:from>
    <xdr:to>
      <xdr:col>1</xdr:col>
      <xdr:colOff>4000501</xdr:colOff>
      <xdr:row>5</xdr:row>
      <xdr:rowOff>1081368</xdr:rowOff>
    </xdr:to>
    <xdr:pic>
      <xdr:nvPicPr>
        <xdr:cNvPr id="3" name="Picture 34" descr="Creative Commons Attribution Licence">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3943350" y="5124450"/>
          <a:ext cx="666751" cy="243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107156</xdr:rowOff>
    </xdr:from>
    <xdr:to>
      <xdr:col>14</xdr:col>
      <xdr:colOff>23812</xdr:colOff>
      <xdr:row>1</xdr:row>
      <xdr:rowOff>107156</xdr:rowOff>
    </xdr:to>
    <xdr:pic>
      <xdr:nvPicPr>
        <xdr:cNvPr id="3" name="Picture 2" title="Australian Government - Clean Energy Regulator - National Greenhouse and Energy Reporting">
          <a:extLst>
            <a:ext uri="{FF2B5EF4-FFF2-40B4-BE49-F238E27FC236}">
              <a16:creationId xmlns:a16="http://schemas.microsoft.com/office/drawing/2014/main" id="{00000000-0008-0000-0100-000003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6509" b="-8288"/>
        <a:stretch/>
      </xdr:blipFill>
      <xdr:spPr bwMode="auto">
        <a:xfrm>
          <a:off x="261937" y="107156"/>
          <a:ext cx="14930438" cy="2583656"/>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xdr:colOff>
      <xdr:row>0</xdr:row>
      <xdr:rowOff>107156</xdr:rowOff>
    </xdr:from>
    <xdr:to>
      <xdr:col>14</xdr:col>
      <xdr:colOff>23812</xdr:colOff>
      <xdr:row>1</xdr:row>
      <xdr:rowOff>107156</xdr:rowOff>
    </xdr:to>
    <xdr:pic>
      <xdr:nvPicPr>
        <xdr:cNvPr id="2" name="Picture 1" title="Australian Government - Clean Energy Regulator - National Greenhouse and Energy Reporting">
          <a:extLst>
            <a:ext uri="{FF2B5EF4-FFF2-40B4-BE49-F238E27FC236}">
              <a16:creationId xmlns:a16="http://schemas.microsoft.com/office/drawing/2014/main" id="{00000000-0008-0000-0200-000002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6509" b="-8288"/>
        <a:stretch/>
      </xdr:blipFill>
      <xdr:spPr bwMode="auto">
        <a:xfrm>
          <a:off x="266699" y="107156"/>
          <a:ext cx="14959013" cy="2581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0</xdr:row>
      <xdr:rowOff>107156</xdr:rowOff>
    </xdr:from>
    <xdr:to>
      <xdr:col>14</xdr:col>
      <xdr:colOff>23812</xdr:colOff>
      <xdr:row>1</xdr:row>
      <xdr:rowOff>107156</xdr:rowOff>
    </xdr:to>
    <xdr:pic>
      <xdr:nvPicPr>
        <xdr:cNvPr id="2" name="Picture 1" title="Australian Government - Clean Energy Regulator - National Greenhouse and Energy Reporting">
          <a:extLst>
            <a:ext uri="{FF2B5EF4-FFF2-40B4-BE49-F238E27FC236}">
              <a16:creationId xmlns:a16="http://schemas.microsoft.com/office/drawing/2014/main" id="{00000000-0008-0000-0300-000002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6509" b="-8288"/>
        <a:stretch/>
      </xdr:blipFill>
      <xdr:spPr bwMode="auto">
        <a:xfrm>
          <a:off x="266699" y="107156"/>
          <a:ext cx="14959013" cy="2581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xdr:colOff>
      <xdr:row>0</xdr:row>
      <xdr:rowOff>107156</xdr:rowOff>
    </xdr:from>
    <xdr:to>
      <xdr:col>14</xdr:col>
      <xdr:colOff>23812</xdr:colOff>
      <xdr:row>1</xdr:row>
      <xdr:rowOff>107156</xdr:rowOff>
    </xdr:to>
    <xdr:pic>
      <xdr:nvPicPr>
        <xdr:cNvPr id="2" name="Picture 1" title="Australian Government - Clean Energy Regulator - National Greenhouse and Energy Reporting">
          <a:extLst>
            <a:ext uri="{FF2B5EF4-FFF2-40B4-BE49-F238E27FC236}">
              <a16:creationId xmlns:a16="http://schemas.microsoft.com/office/drawing/2014/main" id="{00000000-0008-0000-0400-000002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6509" b="-8288"/>
        <a:stretch/>
      </xdr:blipFill>
      <xdr:spPr bwMode="auto">
        <a:xfrm>
          <a:off x="266699" y="107156"/>
          <a:ext cx="14959013" cy="2581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xdr:colOff>
      <xdr:row>0</xdr:row>
      <xdr:rowOff>107156</xdr:rowOff>
    </xdr:from>
    <xdr:to>
      <xdr:col>14</xdr:col>
      <xdr:colOff>23812</xdr:colOff>
      <xdr:row>1</xdr:row>
      <xdr:rowOff>107156</xdr:rowOff>
    </xdr:to>
    <xdr:pic>
      <xdr:nvPicPr>
        <xdr:cNvPr id="2" name="Picture 1" title="Australian Government - Clean Energy Regulator - National Greenhouse and Energy Reporting">
          <a:extLst>
            <a:ext uri="{FF2B5EF4-FFF2-40B4-BE49-F238E27FC236}">
              <a16:creationId xmlns:a16="http://schemas.microsoft.com/office/drawing/2014/main" id="{00000000-0008-0000-0500-000002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6509" b="-8288"/>
        <a:stretch/>
      </xdr:blipFill>
      <xdr:spPr bwMode="auto">
        <a:xfrm>
          <a:off x="266699" y="107156"/>
          <a:ext cx="14959013" cy="2581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xdr:colOff>
      <xdr:row>0</xdr:row>
      <xdr:rowOff>107156</xdr:rowOff>
    </xdr:from>
    <xdr:to>
      <xdr:col>14</xdr:col>
      <xdr:colOff>23812</xdr:colOff>
      <xdr:row>1</xdr:row>
      <xdr:rowOff>107156</xdr:rowOff>
    </xdr:to>
    <xdr:pic>
      <xdr:nvPicPr>
        <xdr:cNvPr id="2" name="Picture 1" title="Australian Government - Clean Energy Regulator - National Greenhouse and Energy Reporting">
          <a:extLst>
            <a:ext uri="{FF2B5EF4-FFF2-40B4-BE49-F238E27FC236}">
              <a16:creationId xmlns:a16="http://schemas.microsoft.com/office/drawing/2014/main" id="{00000000-0008-0000-0600-000002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6509" b="-8288"/>
        <a:stretch/>
      </xdr:blipFill>
      <xdr:spPr bwMode="auto">
        <a:xfrm>
          <a:off x="266699" y="107156"/>
          <a:ext cx="14959013" cy="2581275"/>
        </a:xfrm>
        <a:prstGeom prst="rect">
          <a:avLst/>
        </a:prstGeom>
        <a:ln>
          <a:noFill/>
        </a:ln>
        <a:extLst>
          <a:ext uri="{53640926-AAD7-44D8-BBD7-CCE9431645EC}">
            <a14:shadowObscured xmlns:a14="http://schemas.microsoft.com/office/drawing/2010/main"/>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1952625</xdr:colOff>
      <xdr:row>0</xdr:row>
      <xdr:rowOff>190500</xdr:rowOff>
    </xdr:from>
    <xdr:to>
      <xdr:col>12</xdr:col>
      <xdr:colOff>535772</xdr:colOff>
      <xdr:row>0</xdr:row>
      <xdr:rowOff>1704974</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76500" y="190500"/>
          <a:ext cx="10179835" cy="151447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xdr:colOff>
      <xdr:row>0</xdr:row>
      <xdr:rowOff>95249</xdr:rowOff>
    </xdr:from>
    <xdr:to>
      <xdr:col>14</xdr:col>
      <xdr:colOff>23812</xdr:colOff>
      <xdr:row>1</xdr:row>
      <xdr:rowOff>83344</xdr:rowOff>
    </xdr:to>
    <xdr:pic>
      <xdr:nvPicPr>
        <xdr:cNvPr id="3" name="Picture 2" title="Australian Government - Clean Energy Regulator - National Greenhouse and Energy Reporting">
          <a:extLst>
            <a:ext uri="{FF2B5EF4-FFF2-40B4-BE49-F238E27FC236}">
              <a16:creationId xmlns:a16="http://schemas.microsoft.com/office/drawing/2014/main" id="{00000000-0008-0000-0800-000003000000}"/>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6509" b="-8288"/>
        <a:stretch/>
      </xdr:blipFill>
      <xdr:spPr bwMode="auto">
        <a:xfrm>
          <a:off x="261937" y="95249"/>
          <a:ext cx="15120938" cy="2559845"/>
        </a:xfrm>
        <a:prstGeom prst="rect">
          <a:avLst/>
        </a:prstGeom>
        <a:ln>
          <a:noFill/>
        </a:ln>
        <a:extLst>
          <a:ext uri="{53640926-AAD7-44D8-BBD7-CCE9431645EC}">
            <a14:shadowObscured xmlns:a14="http://schemas.microsoft.com/office/drawing/2010/main"/>
          </a:ext>
        </a:extLst>
      </xdr:spPr>
    </xdr:pic>
    <xdr:clientData/>
  </xdr:twoCellAnchor>
  <xdr:twoCellAnchor>
    <xdr:from>
      <xdr:col>11</xdr:col>
      <xdr:colOff>1488280</xdr:colOff>
      <xdr:row>2</xdr:row>
      <xdr:rowOff>154781</xdr:rowOff>
    </xdr:from>
    <xdr:to>
      <xdr:col>13</xdr:col>
      <xdr:colOff>35719</xdr:colOff>
      <xdr:row>4</xdr:row>
      <xdr:rowOff>23812</xdr:rowOff>
    </xdr:to>
    <xdr:sp macro="" textlink="">
      <xdr:nvSpPr>
        <xdr:cNvPr id="4" name="Rectangle 3">
          <a:extLst>
            <a:ext uri="{FF2B5EF4-FFF2-40B4-BE49-F238E27FC236}">
              <a16:creationId xmlns:a16="http://schemas.microsoft.com/office/drawing/2014/main" id="{00000000-0008-0000-0800-000004000000}"/>
            </a:ext>
          </a:extLst>
        </xdr:cNvPr>
        <xdr:cNvSpPr/>
      </xdr:nvSpPr>
      <xdr:spPr>
        <a:xfrm>
          <a:off x="12072936" y="3143250"/>
          <a:ext cx="1774033" cy="250031"/>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235742</xdr:colOff>
      <xdr:row>6</xdr:row>
      <xdr:rowOff>140493</xdr:rowOff>
    </xdr:from>
    <xdr:to>
      <xdr:col>3</xdr:col>
      <xdr:colOff>23812</xdr:colOff>
      <xdr:row>8</xdr:row>
      <xdr:rowOff>23812</xdr:rowOff>
    </xdr:to>
    <xdr:sp macro="" textlink="">
      <xdr:nvSpPr>
        <xdr:cNvPr id="5" name="Rectangle 4">
          <a:extLst>
            <a:ext uri="{FF2B5EF4-FFF2-40B4-BE49-F238E27FC236}">
              <a16:creationId xmlns:a16="http://schemas.microsoft.com/office/drawing/2014/main" id="{00000000-0008-0000-0800-000005000000}"/>
            </a:ext>
          </a:extLst>
        </xdr:cNvPr>
        <xdr:cNvSpPr/>
      </xdr:nvSpPr>
      <xdr:spPr>
        <a:xfrm>
          <a:off x="497680" y="3926681"/>
          <a:ext cx="4550570" cy="276225"/>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3</xdr:col>
      <xdr:colOff>178594</xdr:colOff>
      <xdr:row>6</xdr:row>
      <xdr:rowOff>142874</xdr:rowOff>
    </xdr:from>
    <xdr:to>
      <xdr:col>5</xdr:col>
      <xdr:colOff>11906</xdr:colOff>
      <xdr:row>8</xdr:row>
      <xdr:rowOff>35719</xdr:rowOff>
    </xdr:to>
    <xdr:sp macro="" textlink="">
      <xdr:nvSpPr>
        <xdr:cNvPr id="6" name="Rectangle 5">
          <a:extLst>
            <a:ext uri="{FF2B5EF4-FFF2-40B4-BE49-F238E27FC236}">
              <a16:creationId xmlns:a16="http://schemas.microsoft.com/office/drawing/2014/main" id="{00000000-0008-0000-0800-000006000000}"/>
            </a:ext>
          </a:extLst>
        </xdr:cNvPr>
        <xdr:cNvSpPr/>
      </xdr:nvSpPr>
      <xdr:spPr>
        <a:xfrm>
          <a:off x="5203032" y="3929062"/>
          <a:ext cx="1428749" cy="261938"/>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5</xdr:col>
      <xdr:colOff>226219</xdr:colOff>
      <xdr:row>4</xdr:row>
      <xdr:rowOff>190499</xdr:rowOff>
    </xdr:from>
    <xdr:to>
      <xdr:col>7</xdr:col>
      <xdr:colOff>23813</xdr:colOff>
      <xdr:row>7</xdr:row>
      <xdr:rowOff>0</xdr:rowOff>
    </xdr:to>
    <xdr:sp macro="" textlink="">
      <xdr:nvSpPr>
        <xdr:cNvPr id="7" name="Rectangle 6">
          <a:extLst>
            <a:ext uri="{FF2B5EF4-FFF2-40B4-BE49-F238E27FC236}">
              <a16:creationId xmlns:a16="http://schemas.microsoft.com/office/drawing/2014/main" id="{00000000-0008-0000-0800-000007000000}"/>
            </a:ext>
          </a:extLst>
        </xdr:cNvPr>
        <xdr:cNvSpPr/>
      </xdr:nvSpPr>
      <xdr:spPr>
        <a:xfrm>
          <a:off x="6846094" y="3559968"/>
          <a:ext cx="654844" cy="404813"/>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8</xdr:col>
      <xdr:colOff>142875</xdr:colOff>
      <xdr:row>5</xdr:row>
      <xdr:rowOff>0</xdr:rowOff>
    </xdr:from>
    <xdr:to>
      <xdr:col>11</xdr:col>
      <xdr:colOff>23813</xdr:colOff>
      <xdr:row>6</xdr:row>
      <xdr:rowOff>23812</xdr:rowOff>
    </xdr:to>
    <xdr:sp macro="" textlink="">
      <xdr:nvSpPr>
        <xdr:cNvPr id="8" name="Rectangle 7">
          <a:extLst>
            <a:ext uri="{FF2B5EF4-FFF2-40B4-BE49-F238E27FC236}">
              <a16:creationId xmlns:a16="http://schemas.microsoft.com/office/drawing/2014/main" id="{00000000-0008-0000-0800-000008000000}"/>
            </a:ext>
          </a:extLst>
        </xdr:cNvPr>
        <xdr:cNvSpPr/>
      </xdr:nvSpPr>
      <xdr:spPr>
        <a:xfrm>
          <a:off x="8227219" y="3571875"/>
          <a:ext cx="2381250" cy="238125"/>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23812</xdr:colOff>
      <xdr:row>5</xdr:row>
      <xdr:rowOff>0</xdr:rowOff>
    </xdr:from>
    <xdr:to>
      <xdr:col>12</xdr:col>
      <xdr:colOff>1654968</xdr:colOff>
      <xdr:row>6</xdr:row>
      <xdr:rowOff>35718</xdr:rowOff>
    </xdr:to>
    <xdr:sp macro="" textlink="">
      <xdr:nvSpPr>
        <xdr:cNvPr id="9" name="Rectangle 8">
          <a:extLst>
            <a:ext uri="{FF2B5EF4-FFF2-40B4-BE49-F238E27FC236}">
              <a16:creationId xmlns:a16="http://schemas.microsoft.com/office/drawing/2014/main" id="{00000000-0008-0000-0800-000009000000}"/>
            </a:ext>
          </a:extLst>
        </xdr:cNvPr>
        <xdr:cNvSpPr/>
      </xdr:nvSpPr>
      <xdr:spPr>
        <a:xfrm>
          <a:off x="12144375" y="3571875"/>
          <a:ext cx="1631156" cy="250031"/>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13</xdr:col>
      <xdr:colOff>23812</xdr:colOff>
      <xdr:row>5</xdr:row>
      <xdr:rowOff>0</xdr:rowOff>
    </xdr:from>
    <xdr:to>
      <xdr:col>14</xdr:col>
      <xdr:colOff>11905</xdr:colOff>
      <xdr:row>6</xdr:row>
      <xdr:rowOff>35718</xdr:rowOff>
    </xdr:to>
    <xdr:sp macro="" textlink="">
      <xdr:nvSpPr>
        <xdr:cNvPr id="10" name="Rectangle 9">
          <a:extLst>
            <a:ext uri="{FF2B5EF4-FFF2-40B4-BE49-F238E27FC236}">
              <a16:creationId xmlns:a16="http://schemas.microsoft.com/office/drawing/2014/main" id="{00000000-0008-0000-0800-00000A000000}"/>
            </a:ext>
          </a:extLst>
        </xdr:cNvPr>
        <xdr:cNvSpPr/>
      </xdr:nvSpPr>
      <xdr:spPr>
        <a:xfrm>
          <a:off x="13835062" y="3559969"/>
          <a:ext cx="1535906" cy="226218"/>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21431</xdr:colOff>
      <xdr:row>14</xdr:row>
      <xdr:rowOff>152399</xdr:rowOff>
    </xdr:from>
    <xdr:to>
      <xdr:col>12</xdr:col>
      <xdr:colOff>1652587</xdr:colOff>
      <xdr:row>15</xdr:row>
      <xdr:rowOff>188117</xdr:rowOff>
    </xdr:to>
    <xdr:sp macro="" textlink="">
      <xdr:nvSpPr>
        <xdr:cNvPr id="11" name="Rectangle 10">
          <a:extLst>
            <a:ext uri="{FF2B5EF4-FFF2-40B4-BE49-F238E27FC236}">
              <a16:creationId xmlns:a16="http://schemas.microsoft.com/office/drawing/2014/main" id="{00000000-0008-0000-0800-00000B000000}"/>
            </a:ext>
          </a:extLst>
        </xdr:cNvPr>
        <xdr:cNvSpPr/>
      </xdr:nvSpPr>
      <xdr:spPr>
        <a:xfrm>
          <a:off x="12141994" y="5414962"/>
          <a:ext cx="1631156" cy="226218"/>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13</xdr:col>
      <xdr:colOff>21431</xdr:colOff>
      <xdr:row>14</xdr:row>
      <xdr:rowOff>152399</xdr:rowOff>
    </xdr:from>
    <xdr:to>
      <xdr:col>14</xdr:col>
      <xdr:colOff>9524</xdr:colOff>
      <xdr:row>15</xdr:row>
      <xdr:rowOff>188117</xdr:rowOff>
    </xdr:to>
    <xdr:sp macro="" textlink="">
      <xdr:nvSpPr>
        <xdr:cNvPr id="12" name="Rectangle 11">
          <a:extLst>
            <a:ext uri="{FF2B5EF4-FFF2-40B4-BE49-F238E27FC236}">
              <a16:creationId xmlns:a16="http://schemas.microsoft.com/office/drawing/2014/main" id="{00000000-0008-0000-0800-00000C000000}"/>
            </a:ext>
          </a:extLst>
        </xdr:cNvPr>
        <xdr:cNvSpPr/>
      </xdr:nvSpPr>
      <xdr:spPr>
        <a:xfrm>
          <a:off x="13832681" y="5414962"/>
          <a:ext cx="1535906" cy="226218"/>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221455</xdr:colOff>
      <xdr:row>18</xdr:row>
      <xdr:rowOff>173830</xdr:rowOff>
    </xdr:from>
    <xdr:to>
      <xdr:col>3</xdr:col>
      <xdr:colOff>9525</xdr:colOff>
      <xdr:row>20</xdr:row>
      <xdr:rowOff>33337</xdr:rowOff>
    </xdr:to>
    <xdr:sp macro="" textlink="">
      <xdr:nvSpPr>
        <xdr:cNvPr id="13" name="Rectangle 12">
          <a:extLst>
            <a:ext uri="{FF2B5EF4-FFF2-40B4-BE49-F238E27FC236}">
              <a16:creationId xmlns:a16="http://schemas.microsoft.com/office/drawing/2014/main" id="{00000000-0008-0000-0800-00000D000000}"/>
            </a:ext>
          </a:extLst>
        </xdr:cNvPr>
        <xdr:cNvSpPr/>
      </xdr:nvSpPr>
      <xdr:spPr>
        <a:xfrm>
          <a:off x="483393" y="6198393"/>
          <a:ext cx="4550570" cy="252413"/>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3</xdr:col>
      <xdr:colOff>164307</xdr:colOff>
      <xdr:row>18</xdr:row>
      <xdr:rowOff>176211</xdr:rowOff>
    </xdr:from>
    <xdr:to>
      <xdr:col>4</xdr:col>
      <xdr:colOff>1366838</xdr:colOff>
      <xdr:row>20</xdr:row>
      <xdr:rowOff>45244</xdr:rowOff>
    </xdr:to>
    <xdr:sp macro="" textlink="">
      <xdr:nvSpPr>
        <xdr:cNvPr id="14" name="Rectangle 13">
          <a:extLst>
            <a:ext uri="{FF2B5EF4-FFF2-40B4-BE49-F238E27FC236}">
              <a16:creationId xmlns:a16="http://schemas.microsoft.com/office/drawing/2014/main" id="{00000000-0008-0000-0800-00000E000000}"/>
            </a:ext>
          </a:extLst>
        </xdr:cNvPr>
        <xdr:cNvSpPr/>
      </xdr:nvSpPr>
      <xdr:spPr>
        <a:xfrm>
          <a:off x="5188745" y="6200774"/>
          <a:ext cx="1428749" cy="261939"/>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5</xdr:col>
      <xdr:colOff>200026</xdr:colOff>
      <xdr:row>16</xdr:row>
      <xdr:rowOff>188117</xdr:rowOff>
    </xdr:from>
    <xdr:to>
      <xdr:col>6</xdr:col>
      <xdr:colOff>604839</xdr:colOff>
      <xdr:row>18</xdr:row>
      <xdr:rowOff>176212</xdr:rowOff>
    </xdr:to>
    <xdr:sp macro="" textlink="">
      <xdr:nvSpPr>
        <xdr:cNvPr id="15" name="Rectangle 14">
          <a:extLst>
            <a:ext uri="{FF2B5EF4-FFF2-40B4-BE49-F238E27FC236}">
              <a16:creationId xmlns:a16="http://schemas.microsoft.com/office/drawing/2014/main" id="{00000000-0008-0000-0800-00000F000000}"/>
            </a:ext>
          </a:extLst>
        </xdr:cNvPr>
        <xdr:cNvSpPr/>
      </xdr:nvSpPr>
      <xdr:spPr>
        <a:xfrm>
          <a:off x="6819901" y="5831680"/>
          <a:ext cx="654844" cy="369095"/>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8</xdr:col>
      <xdr:colOff>116682</xdr:colOff>
      <xdr:row>16</xdr:row>
      <xdr:rowOff>188118</xdr:rowOff>
    </xdr:from>
    <xdr:to>
      <xdr:col>10</xdr:col>
      <xdr:colOff>783432</xdr:colOff>
      <xdr:row>18</xdr:row>
      <xdr:rowOff>21430</xdr:rowOff>
    </xdr:to>
    <xdr:sp macro="" textlink="">
      <xdr:nvSpPr>
        <xdr:cNvPr id="16" name="Rectangle 15">
          <a:extLst>
            <a:ext uri="{FF2B5EF4-FFF2-40B4-BE49-F238E27FC236}">
              <a16:creationId xmlns:a16="http://schemas.microsoft.com/office/drawing/2014/main" id="{00000000-0008-0000-0800-000010000000}"/>
            </a:ext>
          </a:extLst>
        </xdr:cNvPr>
        <xdr:cNvSpPr/>
      </xdr:nvSpPr>
      <xdr:spPr>
        <a:xfrm>
          <a:off x="8201026" y="5831681"/>
          <a:ext cx="2381250" cy="214312"/>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11</xdr:col>
      <xdr:colOff>1533526</xdr:colOff>
      <xdr:row>16</xdr:row>
      <xdr:rowOff>188118</xdr:rowOff>
    </xdr:from>
    <xdr:to>
      <xdr:col>12</xdr:col>
      <xdr:colOff>1628775</xdr:colOff>
      <xdr:row>18</xdr:row>
      <xdr:rowOff>33336</xdr:rowOff>
    </xdr:to>
    <xdr:sp macro="" textlink="">
      <xdr:nvSpPr>
        <xdr:cNvPr id="17" name="Rectangle 16">
          <a:extLst>
            <a:ext uri="{FF2B5EF4-FFF2-40B4-BE49-F238E27FC236}">
              <a16:creationId xmlns:a16="http://schemas.microsoft.com/office/drawing/2014/main" id="{00000000-0008-0000-0800-000011000000}"/>
            </a:ext>
          </a:extLst>
        </xdr:cNvPr>
        <xdr:cNvSpPr/>
      </xdr:nvSpPr>
      <xdr:spPr>
        <a:xfrm>
          <a:off x="12118182" y="5831681"/>
          <a:ext cx="1631156" cy="226218"/>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1688306</xdr:colOff>
      <xdr:row>16</xdr:row>
      <xdr:rowOff>188118</xdr:rowOff>
    </xdr:from>
    <xdr:to>
      <xdr:col>13</xdr:col>
      <xdr:colOff>1533525</xdr:colOff>
      <xdr:row>18</xdr:row>
      <xdr:rowOff>33336</xdr:rowOff>
    </xdr:to>
    <xdr:sp macro="" textlink="">
      <xdr:nvSpPr>
        <xdr:cNvPr id="18" name="Rectangle 17">
          <a:extLst>
            <a:ext uri="{FF2B5EF4-FFF2-40B4-BE49-F238E27FC236}">
              <a16:creationId xmlns:a16="http://schemas.microsoft.com/office/drawing/2014/main" id="{00000000-0008-0000-0800-000012000000}"/>
            </a:ext>
          </a:extLst>
        </xdr:cNvPr>
        <xdr:cNvSpPr/>
      </xdr:nvSpPr>
      <xdr:spPr>
        <a:xfrm>
          <a:off x="13808869" y="5831681"/>
          <a:ext cx="1535906" cy="226218"/>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7144</xdr:colOff>
      <xdr:row>26</xdr:row>
      <xdr:rowOff>173830</xdr:rowOff>
    </xdr:from>
    <xdr:to>
      <xdr:col>12</xdr:col>
      <xdr:colOff>1638300</xdr:colOff>
      <xdr:row>28</xdr:row>
      <xdr:rowOff>19048</xdr:rowOff>
    </xdr:to>
    <xdr:sp macro="" textlink="">
      <xdr:nvSpPr>
        <xdr:cNvPr id="19" name="Rectangle 18">
          <a:extLst>
            <a:ext uri="{FF2B5EF4-FFF2-40B4-BE49-F238E27FC236}">
              <a16:creationId xmlns:a16="http://schemas.microsoft.com/office/drawing/2014/main" id="{00000000-0008-0000-0800-000013000000}"/>
            </a:ext>
          </a:extLst>
        </xdr:cNvPr>
        <xdr:cNvSpPr/>
      </xdr:nvSpPr>
      <xdr:spPr>
        <a:xfrm>
          <a:off x="12127707" y="7722393"/>
          <a:ext cx="1631156" cy="226218"/>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13</xdr:col>
      <xdr:colOff>7144</xdr:colOff>
      <xdr:row>26</xdr:row>
      <xdr:rowOff>173830</xdr:rowOff>
    </xdr:from>
    <xdr:to>
      <xdr:col>13</xdr:col>
      <xdr:colOff>1543050</xdr:colOff>
      <xdr:row>28</xdr:row>
      <xdr:rowOff>19048</xdr:rowOff>
    </xdr:to>
    <xdr:sp macro="" textlink="">
      <xdr:nvSpPr>
        <xdr:cNvPr id="20" name="Rectangle 19">
          <a:extLst>
            <a:ext uri="{FF2B5EF4-FFF2-40B4-BE49-F238E27FC236}">
              <a16:creationId xmlns:a16="http://schemas.microsoft.com/office/drawing/2014/main" id="{00000000-0008-0000-0800-000014000000}"/>
            </a:ext>
          </a:extLst>
        </xdr:cNvPr>
        <xdr:cNvSpPr/>
      </xdr:nvSpPr>
      <xdr:spPr>
        <a:xfrm>
          <a:off x="13818394" y="7722393"/>
          <a:ext cx="1535906" cy="226218"/>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230980</xdr:colOff>
      <xdr:row>30</xdr:row>
      <xdr:rowOff>159542</xdr:rowOff>
    </xdr:from>
    <xdr:to>
      <xdr:col>3</xdr:col>
      <xdr:colOff>19050</xdr:colOff>
      <xdr:row>32</xdr:row>
      <xdr:rowOff>30955</xdr:rowOff>
    </xdr:to>
    <xdr:sp macro="" textlink="">
      <xdr:nvSpPr>
        <xdr:cNvPr id="21" name="Rectangle 20">
          <a:extLst>
            <a:ext uri="{FF2B5EF4-FFF2-40B4-BE49-F238E27FC236}">
              <a16:creationId xmlns:a16="http://schemas.microsoft.com/office/drawing/2014/main" id="{00000000-0008-0000-0800-000015000000}"/>
            </a:ext>
          </a:extLst>
        </xdr:cNvPr>
        <xdr:cNvSpPr/>
      </xdr:nvSpPr>
      <xdr:spPr>
        <a:xfrm>
          <a:off x="492918" y="8470105"/>
          <a:ext cx="4550570" cy="252413"/>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3</xdr:col>
      <xdr:colOff>173832</xdr:colOff>
      <xdr:row>30</xdr:row>
      <xdr:rowOff>161923</xdr:rowOff>
    </xdr:from>
    <xdr:to>
      <xdr:col>5</xdr:col>
      <xdr:colOff>7144</xdr:colOff>
      <xdr:row>32</xdr:row>
      <xdr:rowOff>42862</xdr:rowOff>
    </xdr:to>
    <xdr:sp macro="" textlink="">
      <xdr:nvSpPr>
        <xdr:cNvPr id="22" name="Rectangle 21">
          <a:extLst>
            <a:ext uri="{FF2B5EF4-FFF2-40B4-BE49-F238E27FC236}">
              <a16:creationId xmlns:a16="http://schemas.microsoft.com/office/drawing/2014/main" id="{00000000-0008-0000-0800-000016000000}"/>
            </a:ext>
          </a:extLst>
        </xdr:cNvPr>
        <xdr:cNvSpPr/>
      </xdr:nvSpPr>
      <xdr:spPr>
        <a:xfrm>
          <a:off x="5198270" y="8472486"/>
          <a:ext cx="1428749" cy="261939"/>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5</xdr:col>
      <xdr:colOff>209551</xdr:colOff>
      <xdr:row>28</xdr:row>
      <xdr:rowOff>173829</xdr:rowOff>
    </xdr:from>
    <xdr:to>
      <xdr:col>7</xdr:col>
      <xdr:colOff>7145</xdr:colOff>
      <xdr:row>30</xdr:row>
      <xdr:rowOff>161924</xdr:rowOff>
    </xdr:to>
    <xdr:sp macro="" textlink="">
      <xdr:nvSpPr>
        <xdr:cNvPr id="23" name="Rectangle 22">
          <a:extLst>
            <a:ext uri="{FF2B5EF4-FFF2-40B4-BE49-F238E27FC236}">
              <a16:creationId xmlns:a16="http://schemas.microsoft.com/office/drawing/2014/main" id="{00000000-0008-0000-0800-000017000000}"/>
            </a:ext>
          </a:extLst>
        </xdr:cNvPr>
        <xdr:cNvSpPr/>
      </xdr:nvSpPr>
      <xdr:spPr>
        <a:xfrm>
          <a:off x="6829426" y="8103392"/>
          <a:ext cx="654844" cy="369095"/>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8</xdr:col>
      <xdr:colOff>126207</xdr:colOff>
      <xdr:row>28</xdr:row>
      <xdr:rowOff>173830</xdr:rowOff>
    </xdr:from>
    <xdr:to>
      <xdr:col>11</xdr:col>
      <xdr:colOff>7145</xdr:colOff>
      <xdr:row>30</xdr:row>
      <xdr:rowOff>7142</xdr:rowOff>
    </xdr:to>
    <xdr:sp macro="" textlink="">
      <xdr:nvSpPr>
        <xdr:cNvPr id="24" name="Rectangle 23">
          <a:extLst>
            <a:ext uri="{FF2B5EF4-FFF2-40B4-BE49-F238E27FC236}">
              <a16:creationId xmlns:a16="http://schemas.microsoft.com/office/drawing/2014/main" id="{00000000-0008-0000-0800-000018000000}"/>
            </a:ext>
          </a:extLst>
        </xdr:cNvPr>
        <xdr:cNvSpPr/>
      </xdr:nvSpPr>
      <xdr:spPr>
        <a:xfrm>
          <a:off x="8210551" y="8103393"/>
          <a:ext cx="2381250" cy="214312"/>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7144</xdr:colOff>
      <xdr:row>28</xdr:row>
      <xdr:rowOff>173830</xdr:rowOff>
    </xdr:from>
    <xdr:to>
      <xdr:col>12</xdr:col>
      <xdr:colOff>1638300</xdr:colOff>
      <xdr:row>30</xdr:row>
      <xdr:rowOff>19048</xdr:rowOff>
    </xdr:to>
    <xdr:sp macro="" textlink="">
      <xdr:nvSpPr>
        <xdr:cNvPr id="25" name="Rectangle 24">
          <a:extLst>
            <a:ext uri="{FF2B5EF4-FFF2-40B4-BE49-F238E27FC236}">
              <a16:creationId xmlns:a16="http://schemas.microsoft.com/office/drawing/2014/main" id="{00000000-0008-0000-0800-000019000000}"/>
            </a:ext>
          </a:extLst>
        </xdr:cNvPr>
        <xdr:cNvSpPr/>
      </xdr:nvSpPr>
      <xdr:spPr>
        <a:xfrm>
          <a:off x="12127707" y="8103393"/>
          <a:ext cx="1631156" cy="226218"/>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13</xdr:col>
      <xdr:colOff>7144</xdr:colOff>
      <xdr:row>28</xdr:row>
      <xdr:rowOff>173830</xdr:rowOff>
    </xdr:from>
    <xdr:to>
      <xdr:col>13</xdr:col>
      <xdr:colOff>1543050</xdr:colOff>
      <xdr:row>30</xdr:row>
      <xdr:rowOff>19048</xdr:rowOff>
    </xdr:to>
    <xdr:sp macro="" textlink="">
      <xdr:nvSpPr>
        <xdr:cNvPr id="26" name="Rectangle 25">
          <a:extLst>
            <a:ext uri="{FF2B5EF4-FFF2-40B4-BE49-F238E27FC236}">
              <a16:creationId xmlns:a16="http://schemas.microsoft.com/office/drawing/2014/main" id="{00000000-0008-0000-0800-00001A000000}"/>
            </a:ext>
          </a:extLst>
        </xdr:cNvPr>
        <xdr:cNvSpPr/>
      </xdr:nvSpPr>
      <xdr:spPr>
        <a:xfrm>
          <a:off x="13818394" y="8103393"/>
          <a:ext cx="1535906" cy="226218"/>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12</xdr:col>
      <xdr:colOff>16669</xdr:colOff>
      <xdr:row>34</xdr:row>
      <xdr:rowOff>4761</xdr:rowOff>
    </xdr:from>
    <xdr:to>
      <xdr:col>12</xdr:col>
      <xdr:colOff>1647825</xdr:colOff>
      <xdr:row>35</xdr:row>
      <xdr:rowOff>16667</xdr:rowOff>
    </xdr:to>
    <xdr:sp macro="" textlink="">
      <xdr:nvSpPr>
        <xdr:cNvPr id="27" name="Rectangle 26">
          <a:extLst>
            <a:ext uri="{FF2B5EF4-FFF2-40B4-BE49-F238E27FC236}">
              <a16:creationId xmlns:a16="http://schemas.microsoft.com/office/drawing/2014/main" id="{00000000-0008-0000-0800-00001B000000}"/>
            </a:ext>
          </a:extLst>
        </xdr:cNvPr>
        <xdr:cNvSpPr/>
      </xdr:nvSpPr>
      <xdr:spPr>
        <a:xfrm>
          <a:off x="12137232" y="9089230"/>
          <a:ext cx="1631156" cy="226218"/>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13</xdr:col>
      <xdr:colOff>16669</xdr:colOff>
      <xdr:row>34</xdr:row>
      <xdr:rowOff>4761</xdr:rowOff>
    </xdr:from>
    <xdr:to>
      <xdr:col>14</xdr:col>
      <xdr:colOff>4762</xdr:colOff>
      <xdr:row>35</xdr:row>
      <xdr:rowOff>16667</xdr:rowOff>
    </xdr:to>
    <xdr:sp macro="" textlink="">
      <xdr:nvSpPr>
        <xdr:cNvPr id="28" name="Rectangle 27">
          <a:extLst>
            <a:ext uri="{FF2B5EF4-FFF2-40B4-BE49-F238E27FC236}">
              <a16:creationId xmlns:a16="http://schemas.microsoft.com/office/drawing/2014/main" id="{00000000-0008-0000-0800-00001C000000}"/>
            </a:ext>
          </a:extLst>
        </xdr:cNvPr>
        <xdr:cNvSpPr/>
      </xdr:nvSpPr>
      <xdr:spPr>
        <a:xfrm>
          <a:off x="13827919" y="9089230"/>
          <a:ext cx="1535906" cy="226218"/>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252412</xdr:colOff>
      <xdr:row>37</xdr:row>
      <xdr:rowOff>169068</xdr:rowOff>
    </xdr:from>
    <xdr:to>
      <xdr:col>3</xdr:col>
      <xdr:colOff>40482</xdr:colOff>
      <xdr:row>39</xdr:row>
      <xdr:rowOff>40481</xdr:rowOff>
    </xdr:to>
    <xdr:sp macro="" textlink="">
      <xdr:nvSpPr>
        <xdr:cNvPr id="29" name="Rectangle 28">
          <a:extLst>
            <a:ext uri="{FF2B5EF4-FFF2-40B4-BE49-F238E27FC236}">
              <a16:creationId xmlns:a16="http://schemas.microsoft.com/office/drawing/2014/main" id="{00000000-0008-0000-0800-00001D000000}"/>
            </a:ext>
          </a:extLst>
        </xdr:cNvPr>
        <xdr:cNvSpPr/>
      </xdr:nvSpPr>
      <xdr:spPr>
        <a:xfrm>
          <a:off x="514350" y="9848849"/>
          <a:ext cx="4550570" cy="252413"/>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3</xdr:col>
      <xdr:colOff>195264</xdr:colOff>
      <xdr:row>37</xdr:row>
      <xdr:rowOff>171449</xdr:rowOff>
    </xdr:from>
    <xdr:to>
      <xdr:col>5</xdr:col>
      <xdr:colOff>28576</xdr:colOff>
      <xdr:row>39</xdr:row>
      <xdr:rowOff>52388</xdr:rowOff>
    </xdr:to>
    <xdr:sp macro="" textlink="">
      <xdr:nvSpPr>
        <xdr:cNvPr id="30" name="Rectangle 29">
          <a:extLst>
            <a:ext uri="{FF2B5EF4-FFF2-40B4-BE49-F238E27FC236}">
              <a16:creationId xmlns:a16="http://schemas.microsoft.com/office/drawing/2014/main" id="{00000000-0008-0000-0800-00001E000000}"/>
            </a:ext>
          </a:extLst>
        </xdr:cNvPr>
        <xdr:cNvSpPr/>
      </xdr:nvSpPr>
      <xdr:spPr>
        <a:xfrm>
          <a:off x="5219702" y="9851230"/>
          <a:ext cx="1428749" cy="261939"/>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5</xdr:col>
      <xdr:colOff>230983</xdr:colOff>
      <xdr:row>35</xdr:row>
      <xdr:rowOff>183355</xdr:rowOff>
    </xdr:from>
    <xdr:to>
      <xdr:col>7</xdr:col>
      <xdr:colOff>28577</xdr:colOff>
      <xdr:row>37</xdr:row>
      <xdr:rowOff>171450</xdr:rowOff>
    </xdr:to>
    <xdr:sp macro="" textlink="">
      <xdr:nvSpPr>
        <xdr:cNvPr id="31" name="Rectangle 30">
          <a:extLst>
            <a:ext uri="{FF2B5EF4-FFF2-40B4-BE49-F238E27FC236}">
              <a16:creationId xmlns:a16="http://schemas.microsoft.com/office/drawing/2014/main" id="{00000000-0008-0000-0800-00001F000000}"/>
            </a:ext>
          </a:extLst>
        </xdr:cNvPr>
        <xdr:cNvSpPr/>
      </xdr:nvSpPr>
      <xdr:spPr>
        <a:xfrm>
          <a:off x="6850858" y="9482136"/>
          <a:ext cx="654844" cy="369095"/>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13</xdr:col>
      <xdr:colOff>28576</xdr:colOff>
      <xdr:row>35</xdr:row>
      <xdr:rowOff>183356</xdr:rowOff>
    </xdr:from>
    <xdr:to>
      <xdr:col>14</xdr:col>
      <xdr:colOff>16669</xdr:colOff>
      <xdr:row>37</xdr:row>
      <xdr:rowOff>28574</xdr:rowOff>
    </xdr:to>
    <xdr:sp macro="" textlink="">
      <xdr:nvSpPr>
        <xdr:cNvPr id="32" name="Rectangle 31">
          <a:extLst>
            <a:ext uri="{FF2B5EF4-FFF2-40B4-BE49-F238E27FC236}">
              <a16:creationId xmlns:a16="http://schemas.microsoft.com/office/drawing/2014/main" id="{00000000-0008-0000-0800-000020000000}"/>
            </a:ext>
          </a:extLst>
        </xdr:cNvPr>
        <xdr:cNvSpPr/>
      </xdr:nvSpPr>
      <xdr:spPr>
        <a:xfrm>
          <a:off x="13839826" y="9482137"/>
          <a:ext cx="1535906" cy="226218"/>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13</xdr:col>
      <xdr:colOff>26194</xdr:colOff>
      <xdr:row>41</xdr:row>
      <xdr:rowOff>169068</xdr:rowOff>
    </xdr:from>
    <xdr:to>
      <xdr:col>14</xdr:col>
      <xdr:colOff>14287</xdr:colOff>
      <xdr:row>43</xdr:row>
      <xdr:rowOff>14286</xdr:rowOff>
    </xdr:to>
    <xdr:sp macro="" textlink="">
      <xdr:nvSpPr>
        <xdr:cNvPr id="33" name="Rectangle 32">
          <a:extLst>
            <a:ext uri="{FF2B5EF4-FFF2-40B4-BE49-F238E27FC236}">
              <a16:creationId xmlns:a16="http://schemas.microsoft.com/office/drawing/2014/main" id="{00000000-0008-0000-0800-000021000000}"/>
            </a:ext>
          </a:extLst>
        </xdr:cNvPr>
        <xdr:cNvSpPr/>
      </xdr:nvSpPr>
      <xdr:spPr>
        <a:xfrm>
          <a:off x="13837444" y="10610849"/>
          <a:ext cx="1535906" cy="226218"/>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2</xdr:col>
      <xdr:colOff>0</xdr:colOff>
      <xdr:row>45</xdr:row>
      <xdr:rowOff>176213</xdr:rowOff>
    </xdr:from>
    <xdr:to>
      <xdr:col>3</xdr:col>
      <xdr:colOff>50007</xdr:colOff>
      <xdr:row>47</xdr:row>
      <xdr:rowOff>47626</xdr:rowOff>
    </xdr:to>
    <xdr:sp macro="" textlink="">
      <xdr:nvSpPr>
        <xdr:cNvPr id="34" name="Rectangle 33">
          <a:extLst>
            <a:ext uri="{FF2B5EF4-FFF2-40B4-BE49-F238E27FC236}">
              <a16:creationId xmlns:a16="http://schemas.microsoft.com/office/drawing/2014/main" id="{00000000-0008-0000-0800-000022000000}"/>
            </a:ext>
          </a:extLst>
        </xdr:cNvPr>
        <xdr:cNvSpPr/>
      </xdr:nvSpPr>
      <xdr:spPr>
        <a:xfrm>
          <a:off x="523875" y="11379994"/>
          <a:ext cx="4550570" cy="252413"/>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3</xdr:col>
      <xdr:colOff>204789</xdr:colOff>
      <xdr:row>45</xdr:row>
      <xdr:rowOff>178594</xdr:rowOff>
    </xdr:from>
    <xdr:to>
      <xdr:col>5</xdr:col>
      <xdr:colOff>38101</xdr:colOff>
      <xdr:row>47</xdr:row>
      <xdr:rowOff>59533</xdr:rowOff>
    </xdr:to>
    <xdr:sp macro="" textlink="">
      <xdr:nvSpPr>
        <xdr:cNvPr id="35" name="Rectangle 34">
          <a:extLst>
            <a:ext uri="{FF2B5EF4-FFF2-40B4-BE49-F238E27FC236}">
              <a16:creationId xmlns:a16="http://schemas.microsoft.com/office/drawing/2014/main" id="{00000000-0008-0000-0800-000023000000}"/>
            </a:ext>
          </a:extLst>
        </xdr:cNvPr>
        <xdr:cNvSpPr/>
      </xdr:nvSpPr>
      <xdr:spPr>
        <a:xfrm>
          <a:off x="5229227" y="11382375"/>
          <a:ext cx="1428749" cy="261939"/>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5</xdr:col>
      <xdr:colOff>240508</xdr:colOff>
      <xdr:row>44</xdr:row>
      <xdr:rowOff>0</xdr:rowOff>
    </xdr:from>
    <xdr:to>
      <xdr:col>7</xdr:col>
      <xdr:colOff>38102</xdr:colOff>
      <xdr:row>45</xdr:row>
      <xdr:rowOff>178595</xdr:rowOff>
    </xdr:to>
    <xdr:sp macro="" textlink="">
      <xdr:nvSpPr>
        <xdr:cNvPr id="36" name="Rectangle 35">
          <a:extLst>
            <a:ext uri="{FF2B5EF4-FFF2-40B4-BE49-F238E27FC236}">
              <a16:creationId xmlns:a16="http://schemas.microsoft.com/office/drawing/2014/main" id="{00000000-0008-0000-0800-000024000000}"/>
            </a:ext>
          </a:extLst>
        </xdr:cNvPr>
        <xdr:cNvSpPr/>
      </xdr:nvSpPr>
      <xdr:spPr>
        <a:xfrm>
          <a:off x="6860383" y="11013281"/>
          <a:ext cx="654844" cy="369095"/>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13</xdr:col>
      <xdr:colOff>38101</xdr:colOff>
      <xdr:row>44</xdr:row>
      <xdr:rowOff>1</xdr:rowOff>
    </xdr:from>
    <xdr:to>
      <xdr:col>14</xdr:col>
      <xdr:colOff>26194</xdr:colOff>
      <xdr:row>45</xdr:row>
      <xdr:rowOff>35719</xdr:rowOff>
    </xdr:to>
    <xdr:sp macro="" textlink="">
      <xdr:nvSpPr>
        <xdr:cNvPr id="37" name="Rectangle 36">
          <a:extLst>
            <a:ext uri="{FF2B5EF4-FFF2-40B4-BE49-F238E27FC236}">
              <a16:creationId xmlns:a16="http://schemas.microsoft.com/office/drawing/2014/main" id="{00000000-0008-0000-0800-000025000000}"/>
            </a:ext>
          </a:extLst>
        </xdr:cNvPr>
        <xdr:cNvSpPr/>
      </xdr:nvSpPr>
      <xdr:spPr>
        <a:xfrm>
          <a:off x="13849351" y="11013282"/>
          <a:ext cx="1535906" cy="226218"/>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13</xdr:col>
      <xdr:colOff>35719</xdr:colOff>
      <xdr:row>49</xdr:row>
      <xdr:rowOff>178593</xdr:rowOff>
    </xdr:from>
    <xdr:to>
      <xdr:col>14</xdr:col>
      <xdr:colOff>23812</xdr:colOff>
      <xdr:row>51</xdr:row>
      <xdr:rowOff>23811</xdr:rowOff>
    </xdr:to>
    <xdr:sp macro="" textlink="">
      <xdr:nvSpPr>
        <xdr:cNvPr id="38" name="Rectangle 37">
          <a:extLst>
            <a:ext uri="{FF2B5EF4-FFF2-40B4-BE49-F238E27FC236}">
              <a16:creationId xmlns:a16="http://schemas.microsoft.com/office/drawing/2014/main" id="{00000000-0008-0000-0800-000026000000}"/>
            </a:ext>
          </a:extLst>
        </xdr:cNvPr>
        <xdr:cNvSpPr/>
      </xdr:nvSpPr>
      <xdr:spPr>
        <a:xfrm>
          <a:off x="13846969" y="12144374"/>
          <a:ext cx="1535906" cy="226218"/>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235743</xdr:colOff>
      <xdr:row>53</xdr:row>
      <xdr:rowOff>161926</xdr:rowOff>
    </xdr:from>
    <xdr:to>
      <xdr:col>3</xdr:col>
      <xdr:colOff>23813</xdr:colOff>
      <xdr:row>55</xdr:row>
      <xdr:rowOff>33339</xdr:rowOff>
    </xdr:to>
    <xdr:sp macro="" textlink="">
      <xdr:nvSpPr>
        <xdr:cNvPr id="39" name="Rectangle 38">
          <a:extLst>
            <a:ext uri="{FF2B5EF4-FFF2-40B4-BE49-F238E27FC236}">
              <a16:creationId xmlns:a16="http://schemas.microsoft.com/office/drawing/2014/main" id="{00000000-0008-0000-0800-000027000000}"/>
            </a:ext>
          </a:extLst>
        </xdr:cNvPr>
        <xdr:cNvSpPr/>
      </xdr:nvSpPr>
      <xdr:spPr>
        <a:xfrm>
          <a:off x="497681" y="12889707"/>
          <a:ext cx="4550570" cy="252413"/>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8</xdr:col>
      <xdr:colOff>0</xdr:colOff>
      <xdr:row>53</xdr:row>
      <xdr:rowOff>178594</xdr:rowOff>
    </xdr:from>
    <xdr:to>
      <xdr:col>11</xdr:col>
      <xdr:colOff>23813</xdr:colOff>
      <xdr:row>55</xdr:row>
      <xdr:rowOff>23813</xdr:rowOff>
    </xdr:to>
    <xdr:sp macro="" textlink="">
      <xdr:nvSpPr>
        <xdr:cNvPr id="40" name="Rectangle 39">
          <a:extLst>
            <a:ext uri="{FF2B5EF4-FFF2-40B4-BE49-F238E27FC236}">
              <a16:creationId xmlns:a16="http://schemas.microsoft.com/office/drawing/2014/main" id="{00000000-0008-0000-0800-000028000000}"/>
            </a:ext>
          </a:extLst>
        </xdr:cNvPr>
        <xdr:cNvSpPr/>
      </xdr:nvSpPr>
      <xdr:spPr>
        <a:xfrm>
          <a:off x="8084344" y="12906375"/>
          <a:ext cx="2524125" cy="226219"/>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1</xdr:col>
      <xdr:colOff>261936</xdr:colOff>
      <xdr:row>59</xdr:row>
      <xdr:rowOff>0</xdr:rowOff>
    </xdr:from>
    <xdr:to>
      <xdr:col>13</xdr:col>
      <xdr:colOff>1523999</xdr:colOff>
      <xdr:row>61</xdr:row>
      <xdr:rowOff>11906</xdr:rowOff>
    </xdr:to>
    <xdr:sp macro="" textlink="">
      <xdr:nvSpPr>
        <xdr:cNvPr id="41" name="Rectangle 40">
          <a:extLst>
            <a:ext uri="{FF2B5EF4-FFF2-40B4-BE49-F238E27FC236}">
              <a16:creationId xmlns:a16="http://schemas.microsoft.com/office/drawing/2014/main" id="{00000000-0008-0000-0800-000029000000}"/>
            </a:ext>
          </a:extLst>
        </xdr:cNvPr>
        <xdr:cNvSpPr/>
      </xdr:nvSpPr>
      <xdr:spPr>
        <a:xfrm>
          <a:off x="523874" y="13870781"/>
          <a:ext cx="14811375" cy="392906"/>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2</xdr:col>
      <xdr:colOff>21430</xdr:colOff>
      <xdr:row>66</xdr:row>
      <xdr:rowOff>188119</xdr:rowOff>
    </xdr:from>
    <xdr:to>
      <xdr:col>13</xdr:col>
      <xdr:colOff>1545430</xdr:colOff>
      <xdr:row>69</xdr:row>
      <xdr:rowOff>9525</xdr:rowOff>
    </xdr:to>
    <xdr:sp macro="" textlink="">
      <xdr:nvSpPr>
        <xdr:cNvPr id="42" name="Rectangle 41">
          <a:extLst>
            <a:ext uri="{FF2B5EF4-FFF2-40B4-BE49-F238E27FC236}">
              <a16:creationId xmlns:a16="http://schemas.microsoft.com/office/drawing/2014/main" id="{00000000-0008-0000-0800-00002A000000}"/>
            </a:ext>
          </a:extLst>
        </xdr:cNvPr>
        <xdr:cNvSpPr/>
      </xdr:nvSpPr>
      <xdr:spPr>
        <a:xfrm>
          <a:off x="545305" y="15392400"/>
          <a:ext cx="14811375" cy="392906"/>
        </a:xfrm>
        <a:prstGeom prst="rect">
          <a:avLst/>
        </a:prstGeom>
        <a:solidFill>
          <a:schemeClr val="accent1">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C8"/>
  <sheetViews>
    <sheetView showRowColHeaders="0" tabSelected="1" zoomScaleNormal="100" workbookViewId="0"/>
  </sheetViews>
  <sheetFormatPr defaultColWidth="0" defaultRowHeight="15" zeroHeight="1" x14ac:dyDescent="0.25"/>
  <cols>
    <col min="1" max="1" width="9.140625" style="86" customWidth="1"/>
    <col min="2" max="2" width="136.7109375" style="86" customWidth="1"/>
    <col min="3" max="3" width="9.140625" style="86" customWidth="1"/>
    <col min="4" max="16384" width="9.140625" hidden="1"/>
  </cols>
  <sheetData>
    <row r="1" spans="2:2" ht="123.75" customHeight="1" x14ac:dyDescent="0.25"/>
    <row r="2" spans="2:2" ht="21.2" customHeight="1" x14ac:dyDescent="0.25">
      <c r="B2" s="307" t="s">
        <v>355</v>
      </c>
    </row>
    <row r="3" spans="2:2" ht="9" customHeight="1" x14ac:dyDescent="0.25"/>
    <row r="4" spans="2:2" ht="409.5" x14ac:dyDescent="0.25">
      <c r="B4" s="135" t="s">
        <v>358</v>
      </c>
    </row>
    <row r="5" spans="2:2" x14ac:dyDescent="0.25">
      <c r="B5" s="135" t="s">
        <v>354</v>
      </c>
    </row>
    <row r="6" spans="2:2" ht="47.25" customHeight="1" x14ac:dyDescent="0.25">
      <c r="B6" s="274" t="s">
        <v>323</v>
      </c>
    </row>
    <row r="7" spans="2:2" ht="210" x14ac:dyDescent="0.25">
      <c r="B7" s="135" t="s">
        <v>359</v>
      </c>
    </row>
    <row r="8" spans="2:2" ht="175.7" customHeight="1" x14ac:dyDescent="0.25">
      <c r="B8" s="297" t="s">
        <v>360</v>
      </c>
    </row>
  </sheetData>
  <sheetProtection algorithmName="SHA-256" hashValue="r8sxS8cOqE6wLLZBZktYltcZQNYA5SiCzraCPXEV3Ss=" saltValue="uyCJ3nKtav+WNZKjfUONxQ==" spinCount="100000" sheet="1" objects="1" scenarios="1" selectLockedCells="1" selectUnlockedCells="1"/>
  <pageMargins left="0.7" right="0.7" top="0.75" bottom="0.75" header="0.3" footer="0.3"/>
  <pageSetup paperSize="9" scale="56"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V94"/>
  <sheetViews>
    <sheetView showRowColHeaders="0" zoomScaleNormal="100" workbookViewId="0"/>
  </sheetViews>
  <sheetFormatPr defaultColWidth="0" defaultRowHeight="15" zeroHeight="1" x14ac:dyDescent="0.25"/>
  <cols>
    <col min="1" max="1" width="9.140625" style="2" customWidth="1"/>
    <col min="2" max="2" width="32.28515625" style="89" customWidth="1"/>
    <col min="3" max="3" width="89.42578125" style="89" customWidth="1"/>
    <col min="4" max="4" width="30.7109375" style="89" customWidth="1"/>
    <col min="5" max="5" width="9.140625" style="2" customWidth="1"/>
    <col min="6" max="7" width="9.140625" style="2" hidden="1" customWidth="1"/>
    <col min="8" max="8" width="53.140625" style="2" hidden="1" customWidth="1"/>
    <col min="9" max="9" width="9.140625" style="2" hidden="1" customWidth="1"/>
    <col min="10" max="10" width="12.7109375" style="2" hidden="1" customWidth="1"/>
    <col min="11" max="11" width="9.140625" style="2" hidden="1" customWidth="1"/>
    <col min="12" max="12" width="69.85546875" style="2" hidden="1" customWidth="1"/>
    <col min="13" max="17" width="9.140625" style="2" hidden="1" customWidth="1"/>
    <col min="18" max="18" width="18.42578125" style="2" hidden="1" customWidth="1"/>
    <col min="19" max="21" width="9.140625" style="2" hidden="1" customWidth="1"/>
    <col min="22" max="16384" width="9.140625" style="89" hidden="1"/>
  </cols>
  <sheetData>
    <row r="1" spans="1:21" ht="133.5" customHeight="1" x14ac:dyDescent="0.25">
      <c r="B1" s="364"/>
      <c r="C1" s="364"/>
      <c r="D1" s="364"/>
    </row>
    <row r="2" spans="1:21" x14ac:dyDescent="0.25">
      <c r="B2" s="2"/>
      <c r="C2" s="2"/>
      <c r="D2" s="2"/>
    </row>
    <row r="3" spans="1:21" ht="45" customHeight="1" x14ac:dyDescent="0.25">
      <c r="B3" s="412" t="s">
        <v>343</v>
      </c>
      <c r="C3" s="412"/>
      <c r="D3" s="412"/>
    </row>
    <row r="4" spans="1:21" x14ac:dyDescent="0.25">
      <c r="B4" s="2"/>
      <c r="C4" s="2"/>
      <c r="D4" s="2"/>
    </row>
    <row r="5" spans="1:21" ht="49.7" customHeight="1" x14ac:dyDescent="0.25">
      <c r="B5" s="411" t="s">
        <v>324</v>
      </c>
      <c r="C5" s="412"/>
      <c r="D5" s="412"/>
    </row>
    <row r="6" spans="1:21" ht="14.25" customHeight="1" x14ac:dyDescent="0.25">
      <c r="B6" s="2"/>
      <c r="C6" s="2"/>
      <c r="D6" s="2"/>
    </row>
    <row r="7" spans="1:21" ht="23.25" x14ac:dyDescent="0.35">
      <c r="B7" s="147"/>
      <c r="C7" s="148" t="s">
        <v>247</v>
      </c>
      <c r="D7" s="149"/>
    </row>
    <row r="8" spans="1:21" x14ac:dyDescent="0.25">
      <c r="A8" s="12"/>
      <c r="B8" s="406" t="s">
        <v>258</v>
      </c>
      <c r="C8" s="407"/>
      <c r="D8" s="408"/>
      <c r="E8" s="12"/>
      <c r="H8" s="2" t="s">
        <v>255</v>
      </c>
      <c r="L8" s="2" t="s">
        <v>272</v>
      </c>
    </row>
    <row r="9" spans="1:21" s="268" customFormat="1" ht="20.100000000000001" customHeight="1" x14ac:dyDescent="0.25">
      <c r="A9" s="2"/>
      <c r="B9" s="150" t="s">
        <v>287</v>
      </c>
      <c r="C9" s="90" t="s">
        <v>112</v>
      </c>
      <c r="D9" s="40"/>
      <c r="E9" s="2"/>
      <c r="F9" s="12"/>
      <c r="G9" s="12"/>
      <c r="H9" s="12" t="s">
        <v>112</v>
      </c>
      <c r="I9" s="12"/>
      <c r="J9" s="12"/>
      <c r="K9" s="12"/>
      <c r="L9" s="12" t="s">
        <v>112</v>
      </c>
      <c r="M9" s="12" t="s">
        <v>112</v>
      </c>
      <c r="N9" s="12"/>
      <c r="O9" s="12"/>
      <c r="P9" s="12"/>
      <c r="Q9" s="12"/>
      <c r="R9" s="12"/>
      <c r="S9" s="12"/>
      <c r="T9" s="12"/>
      <c r="U9" s="12"/>
    </row>
    <row r="10" spans="1:21" x14ac:dyDescent="0.25">
      <c r="B10" s="150" t="s">
        <v>251</v>
      </c>
      <c r="C10" s="91">
        <v>0</v>
      </c>
      <c r="D10" s="40"/>
      <c r="H10" s="2" t="s">
        <v>249</v>
      </c>
      <c r="L10" s="2" t="s">
        <v>273</v>
      </c>
      <c r="M10" s="2" t="s">
        <v>305</v>
      </c>
    </row>
    <row r="11" spans="1:21" x14ac:dyDescent="0.25">
      <c r="B11" s="151" t="s">
        <v>254</v>
      </c>
      <c r="C11" s="87" t="str">
        <f>IF(C9="Convert kilowatt hours (kWh) to gigajoules (GJ)",C10*H12,IF(C9="Convert gigajoules (GJ) to kilowatt hours (kWh)",C10/H12,""))</f>
        <v/>
      </c>
      <c r="D11" s="152" t="str">
        <f>IF(C9="Convert kilowatt hours (kWh) to gigajoules (GJ)","gigajoules (GJ)",IF(C9="Convert gigajoules (GJ) to kilowatt hours (kWh)","kilowatt hours (kWh)",""))</f>
        <v/>
      </c>
      <c r="H11" s="2" t="s">
        <v>250</v>
      </c>
      <c r="L11" s="2" t="s">
        <v>275</v>
      </c>
      <c r="M11" s="2" t="s">
        <v>306</v>
      </c>
    </row>
    <row r="12" spans="1:21" x14ac:dyDescent="0.25">
      <c r="B12" s="153"/>
      <c r="C12" s="41"/>
      <c r="D12" s="49"/>
      <c r="H12" s="2">
        <v>3.5999999999999999E-3</v>
      </c>
      <c r="L12" s="2" t="s">
        <v>276</v>
      </c>
    </row>
    <row r="13" spans="1:21" x14ac:dyDescent="0.25">
      <c r="B13" s="2"/>
      <c r="C13" s="2"/>
      <c r="D13" s="2"/>
      <c r="L13" s="2" t="s">
        <v>274</v>
      </c>
    </row>
    <row r="14" spans="1:21" ht="23.25" x14ac:dyDescent="0.35">
      <c r="B14" s="136"/>
      <c r="C14" s="137" t="s">
        <v>248</v>
      </c>
      <c r="D14" s="138"/>
    </row>
    <row r="15" spans="1:21" x14ac:dyDescent="0.25">
      <c r="A15" s="12"/>
      <c r="B15" s="409" t="s">
        <v>257</v>
      </c>
      <c r="C15" s="407"/>
      <c r="D15" s="410"/>
      <c r="E15" s="12"/>
      <c r="H15" s="2" t="s">
        <v>256</v>
      </c>
      <c r="L15" s="8" t="s">
        <v>112</v>
      </c>
      <c r="M15" s="8" t="s">
        <v>112</v>
      </c>
      <c r="N15" s="8" t="s">
        <v>112</v>
      </c>
      <c r="O15" s="8" t="s">
        <v>112</v>
      </c>
      <c r="P15" s="8" t="s">
        <v>112</v>
      </c>
      <c r="Q15" s="8" t="s">
        <v>112</v>
      </c>
      <c r="R15" s="8" t="s">
        <v>112</v>
      </c>
    </row>
    <row r="16" spans="1:21" s="268" customFormat="1" ht="20.100000000000001" customHeight="1" x14ac:dyDescent="0.25">
      <c r="A16" s="2"/>
      <c r="B16" s="139" t="s">
        <v>287</v>
      </c>
      <c r="C16" s="90" t="s">
        <v>112</v>
      </c>
      <c r="D16" s="140"/>
      <c r="E16" s="2"/>
      <c r="F16" s="12"/>
      <c r="G16" s="12"/>
      <c r="H16" s="12" t="s">
        <v>112</v>
      </c>
      <c r="I16" s="12"/>
      <c r="J16" s="12"/>
      <c r="K16" s="12"/>
      <c r="L16" s="318" t="s">
        <v>129</v>
      </c>
      <c r="M16" s="318">
        <v>27</v>
      </c>
      <c r="N16" s="318">
        <v>90</v>
      </c>
      <c r="O16" s="318">
        <v>0.03</v>
      </c>
      <c r="P16" s="318">
        <v>0.2</v>
      </c>
      <c r="Q16" s="172" t="s">
        <v>285</v>
      </c>
      <c r="R16" s="12" t="s">
        <v>312</v>
      </c>
      <c r="S16" s="12"/>
      <c r="T16" s="12"/>
      <c r="U16" s="12"/>
    </row>
    <row r="17" spans="2:18" x14ac:dyDescent="0.25">
      <c r="B17" s="139" t="s">
        <v>252</v>
      </c>
      <c r="C17" s="91" t="s">
        <v>112</v>
      </c>
      <c r="D17" s="140"/>
      <c r="H17" s="2" t="s">
        <v>268</v>
      </c>
      <c r="L17" s="318" t="s">
        <v>159</v>
      </c>
      <c r="M17" s="318">
        <v>21</v>
      </c>
      <c r="N17" s="318">
        <v>90</v>
      </c>
      <c r="O17" s="318">
        <v>0.03</v>
      </c>
      <c r="P17" s="318">
        <v>0.2</v>
      </c>
      <c r="Q17" s="172" t="s">
        <v>285</v>
      </c>
      <c r="R17" s="12" t="s">
        <v>312</v>
      </c>
    </row>
    <row r="18" spans="2:18" x14ac:dyDescent="0.25">
      <c r="B18" s="139" t="s">
        <v>253</v>
      </c>
      <c r="C18" s="91">
        <v>0</v>
      </c>
      <c r="D18" s="140"/>
      <c r="H18" s="2" t="s">
        <v>267</v>
      </c>
      <c r="L18" s="318" t="s">
        <v>94</v>
      </c>
      <c r="M18" s="318">
        <v>29</v>
      </c>
      <c r="N18" s="318">
        <v>90</v>
      </c>
      <c r="O18" s="318">
        <v>0.03</v>
      </c>
      <c r="P18" s="318">
        <v>0.2</v>
      </c>
      <c r="Q18" s="172" t="s">
        <v>285</v>
      </c>
      <c r="R18" s="12" t="s">
        <v>312</v>
      </c>
    </row>
    <row r="19" spans="2:18" x14ac:dyDescent="0.25">
      <c r="B19" s="141" t="s">
        <v>254</v>
      </c>
      <c r="C19" s="142" t="str">
        <f>IF(C16="Convert cubic metres (m3) to gigajoules (GJ)",C18*H19,IF(C16="Convert gigajoules (GJ) to cubic metres (m3)",C18/H19,""))</f>
        <v/>
      </c>
      <c r="D19" s="143" t="str">
        <f>IF(C16="Convert cubic metres (m3) to gigajoules (GJ)","gigajoules (GJ)",IF(C16="Convert gigajoules (GJ) to cubic metres (m3)","cubic metres (m3)",""))</f>
        <v/>
      </c>
      <c r="H19" s="2" t="str">
        <f>VLOOKUP(C17,H20:I34,2,FALSE)</f>
        <v>-</v>
      </c>
      <c r="L19" s="318" t="s">
        <v>130</v>
      </c>
      <c r="M19" s="318">
        <v>10.199999999999999</v>
      </c>
      <c r="N19" s="318">
        <v>93.5</v>
      </c>
      <c r="O19" s="318">
        <v>0.02</v>
      </c>
      <c r="P19" s="318">
        <v>0.4</v>
      </c>
      <c r="Q19" s="172" t="s">
        <v>285</v>
      </c>
      <c r="R19" s="12" t="s">
        <v>312</v>
      </c>
    </row>
    <row r="20" spans="2:18" x14ac:dyDescent="0.25">
      <c r="B20" s="144"/>
      <c r="C20" s="145"/>
      <c r="D20" s="146"/>
      <c r="H20" s="2" t="s">
        <v>112</v>
      </c>
      <c r="I20" s="2" t="s">
        <v>112</v>
      </c>
      <c r="L20" s="318" t="s">
        <v>134</v>
      </c>
      <c r="M20" s="318">
        <v>30</v>
      </c>
      <c r="N20" s="318">
        <v>91.8</v>
      </c>
      <c r="O20" s="318">
        <v>0.02</v>
      </c>
      <c r="P20" s="318">
        <v>0.2</v>
      </c>
      <c r="Q20" s="172" t="s">
        <v>285</v>
      </c>
      <c r="R20" s="12" t="s">
        <v>312</v>
      </c>
    </row>
    <row r="21" spans="2:18" ht="15.75" x14ac:dyDescent="0.25">
      <c r="B21" s="2"/>
      <c r="C21" s="243"/>
      <c r="D21" s="2"/>
      <c r="H21" s="319" t="s">
        <v>41</v>
      </c>
      <c r="I21" s="2">
        <v>3.9300000000000002E-2</v>
      </c>
      <c r="J21" s="320" t="s">
        <v>260</v>
      </c>
      <c r="L21" s="318" t="s">
        <v>97</v>
      </c>
      <c r="M21" s="318">
        <v>22.1</v>
      </c>
      <c r="N21" s="318">
        <v>95</v>
      </c>
      <c r="O21" s="318">
        <v>7.0000000000000007E-2</v>
      </c>
      <c r="P21" s="318">
        <v>0.3</v>
      </c>
      <c r="Q21" s="172" t="s">
        <v>285</v>
      </c>
      <c r="R21" s="12" t="s">
        <v>312</v>
      </c>
    </row>
    <row r="22" spans="2:18" ht="23.25" x14ac:dyDescent="0.35">
      <c r="B22" s="147"/>
      <c r="C22" s="148" t="s">
        <v>269</v>
      </c>
      <c r="D22" s="149"/>
      <c r="H22" s="319" t="s">
        <v>27</v>
      </c>
      <c r="I22" s="2">
        <v>3.7699999999999997E-2</v>
      </c>
      <c r="J22" s="320" t="s">
        <v>261</v>
      </c>
      <c r="L22" s="318" t="s">
        <v>132</v>
      </c>
      <c r="M22" s="318">
        <v>27</v>
      </c>
      <c r="N22" s="318">
        <v>107</v>
      </c>
      <c r="O22" s="318">
        <v>0.04</v>
      </c>
      <c r="P22" s="318">
        <v>0.2</v>
      </c>
      <c r="Q22" s="172" t="s">
        <v>285</v>
      </c>
      <c r="R22" s="12" t="s">
        <v>312</v>
      </c>
    </row>
    <row r="23" spans="2:18" ht="15.75" x14ac:dyDescent="0.25">
      <c r="B23" s="406" t="s">
        <v>270</v>
      </c>
      <c r="C23" s="407"/>
      <c r="D23" s="408"/>
      <c r="H23" s="319" t="s">
        <v>26</v>
      </c>
      <c r="I23" s="2">
        <v>3.7699999999999997E-2</v>
      </c>
      <c r="J23" s="320" t="s">
        <v>261</v>
      </c>
      <c r="L23" s="318" t="s">
        <v>133</v>
      </c>
      <c r="M23" s="318">
        <v>37.5</v>
      </c>
      <c r="N23" s="318">
        <v>81.8</v>
      </c>
      <c r="O23" s="318">
        <v>0.03</v>
      </c>
      <c r="P23" s="318">
        <v>0.2</v>
      </c>
      <c r="Q23" s="172" t="s">
        <v>285</v>
      </c>
      <c r="R23" s="12" t="s">
        <v>312</v>
      </c>
    </row>
    <row r="24" spans="2:18" ht="20.100000000000001" customHeight="1" x14ac:dyDescent="0.25">
      <c r="B24" s="271" t="s">
        <v>271</v>
      </c>
      <c r="C24" s="93" t="s">
        <v>112</v>
      </c>
      <c r="D24" s="40"/>
      <c r="H24" s="319" t="s">
        <v>167</v>
      </c>
      <c r="I24" s="2">
        <v>3.9300000000000002E-2</v>
      </c>
      <c r="J24" s="320" t="s">
        <v>260</v>
      </c>
      <c r="L24" s="318" t="s">
        <v>162</v>
      </c>
      <c r="M24" s="318">
        <v>22.1</v>
      </c>
      <c r="N24" s="318">
        <v>95</v>
      </c>
      <c r="O24" s="318">
        <v>7.0000000000000007E-2</v>
      </c>
      <c r="P24" s="318">
        <v>0.3</v>
      </c>
      <c r="Q24" s="172" t="s">
        <v>285</v>
      </c>
      <c r="R24" s="12" t="s">
        <v>312</v>
      </c>
    </row>
    <row r="25" spans="2:18" ht="15" customHeight="1" x14ac:dyDescent="0.25">
      <c r="B25" s="271" t="s">
        <v>325</v>
      </c>
      <c r="C25" s="94" t="s">
        <v>112</v>
      </c>
      <c r="D25" s="154" t="str">
        <f>VLOOKUP(C25,L15:R92,7,FALSE)</f>
        <v>-</v>
      </c>
      <c r="H25" s="319" t="s">
        <v>45</v>
      </c>
      <c r="I25" s="2">
        <v>3.9300000000000002E-2</v>
      </c>
      <c r="J25" s="320" t="s">
        <v>260</v>
      </c>
      <c r="L25" s="318" t="s">
        <v>279</v>
      </c>
      <c r="M25" s="318">
        <v>26.3</v>
      </c>
      <c r="N25" s="318">
        <v>81.599999999999994</v>
      </c>
      <c r="O25" s="318">
        <v>0.02</v>
      </c>
      <c r="P25" s="318">
        <v>0.2</v>
      </c>
      <c r="Q25" s="172" t="s">
        <v>285</v>
      </c>
      <c r="R25" s="12" t="s">
        <v>312</v>
      </c>
    </row>
    <row r="26" spans="2:18" ht="15" customHeight="1" x14ac:dyDescent="0.25">
      <c r="B26" s="271" t="s">
        <v>326</v>
      </c>
      <c r="C26" s="95" t="s">
        <v>112</v>
      </c>
      <c r="D26" s="40"/>
      <c r="H26" s="319" t="s">
        <v>33</v>
      </c>
      <c r="I26" s="2">
        <v>6.2899999999999998E-2</v>
      </c>
      <c r="J26" s="320" t="s">
        <v>262</v>
      </c>
      <c r="L26" s="318" t="s">
        <v>278</v>
      </c>
      <c r="M26" s="318">
        <v>10.5</v>
      </c>
      <c r="N26" s="318">
        <v>87.1</v>
      </c>
      <c r="O26" s="318">
        <v>0.7</v>
      </c>
      <c r="P26" s="318">
        <v>1.1000000000000001</v>
      </c>
      <c r="Q26" s="172" t="s">
        <v>285</v>
      </c>
      <c r="R26" s="12" t="s">
        <v>312</v>
      </c>
    </row>
    <row r="27" spans="2:18" ht="15.75" x14ac:dyDescent="0.25">
      <c r="B27" s="272" t="s">
        <v>308</v>
      </c>
      <c r="C27" s="92" t="str">
        <f>IF(C26="-","-",VLOOKUP(C25,L15:Q92,2,FALSE))</f>
        <v>-</v>
      </c>
      <c r="D27" s="155" t="str">
        <f>VLOOKUP(C25,L15:Q92,6,FALSE)</f>
        <v>-</v>
      </c>
      <c r="H27" s="319" t="s">
        <v>29</v>
      </c>
      <c r="I27" s="2">
        <v>1.8100000000000002E-2</v>
      </c>
      <c r="J27" s="320" t="s">
        <v>263</v>
      </c>
      <c r="L27" s="318" t="s">
        <v>98</v>
      </c>
      <c r="M27" s="318">
        <v>16.2</v>
      </c>
      <c r="N27" s="318">
        <v>0</v>
      </c>
      <c r="O27" s="318">
        <v>0.1</v>
      </c>
      <c r="P27" s="318">
        <v>1.2</v>
      </c>
      <c r="Q27" s="172" t="s">
        <v>285</v>
      </c>
      <c r="R27" s="12" t="s">
        <v>312</v>
      </c>
    </row>
    <row r="28" spans="2:18" ht="15" customHeight="1" x14ac:dyDescent="0.35">
      <c r="B28" s="273" t="s">
        <v>309</v>
      </c>
      <c r="C28" s="88">
        <f>IF(C26="Combusted",VLOOKUP(C25,L15:Q92,3,FALSE),0)</f>
        <v>0</v>
      </c>
      <c r="D28" s="154" t="s">
        <v>307</v>
      </c>
      <c r="H28" s="319" t="s">
        <v>25</v>
      </c>
      <c r="I28" s="2">
        <v>4.0000000000000001E-3</v>
      </c>
      <c r="J28" s="320" t="s">
        <v>264</v>
      </c>
      <c r="L28" s="318" t="s">
        <v>100</v>
      </c>
      <c r="M28" s="318">
        <v>10.4</v>
      </c>
      <c r="N28" s="318">
        <v>0</v>
      </c>
      <c r="O28" s="318">
        <v>0.1</v>
      </c>
      <c r="P28" s="318">
        <v>1.2</v>
      </c>
      <c r="Q28" s="172" t="s">
        <v>285</v>
      </c>
      <c r="R28" s="12" t="s">
        <v>312</v>
      </c>
    </row>
    <row r="29" spans="2:18" ht="15" customHeight="1" x14ac:dyDescent="0.35">
      <c r="B29" s="273" t="s">
        <v>310</v>
      </c>
      <c r="C29" s="88">
        <f>IF(C26="Combusted",VLOOKUP(C25,L15:Q92,4,FALSE),0)</f>
        <v>0</v>
      </c>
      <c r="D29" s="154" t="s">
        <v>307</v>
      </c>
      <c r="H29" s="319" t="s">
        <v>42</v>
      </c>
      <c r="I29" s="2">
        <v>3.9E-2</v>
      </c>
      <c r="J29" s="320" t="s">
        <v>265</v>
      </c>
      <c r="L29" s="318" t="s">
        <v>154</v>
      </c>
      <c r="M29" s="318">
        <v>12.4</v>
      </c>
      <c r="N29" s="318">
        <v>0</v>
      </c>
      <c r="O29" s="318">
        <v>7.0000000000000007E-2</v>
      </c>
      <c r="P29" s="318">
        <v>0.6</v>
      </c>
      <c r="Q29" s="172" t="s">
        <v>285</v>
      </c>
      <c r="R29" s="12" t="s">
        <v>312</v>
      </c>
    </row>
    <row r="30" spans="2:18" ht="15" customHeight="1" x14ac:dyDescent="0.35">
      <c r="B30" s="273" t="s">
        <v>311</v>
      </c>
      <c r="C30" s="88">
        <f>IF(C26="Combusted",VLOOKUP(C25,L15:Q92,5,FALSE),0)</f>
        <v>0</v>
      </c>
      <c r="D30" s="154" t="s">
        <v>307</v>
      </c>
      <c r="H30" s="319" t="s">
        <v>38</v>
      </c>
      <c r="I30" s="2">
        <v>25.3</v>
      </c>
      <c r="J30" s="320" t="s">
        <v>266</v>
      </c>
      <c r="L30" s="318" t="s">
        <v>95</v>
      </c>
      <c r="M30" s="318">
        <v>9.6</v>
      </c>
      <c r="N30" s="318">
        <v>0</v>
      </c>
      <c r="O30" s="318">
        <v>0.2</v>
      </c>
      <c r="P30" s="318">
        <v>1.2</v>
      </c>
      <c r="Q30" s="172" t="s">
        <v>285</v>
      </c>
      <c r="R30" s="12" t="s">
        <v>312</v>
      </c>
    </row>
    <row r="31" spans="2:18" ht="15" customHeight="1" x14ac:dyDescent="0.25">
      <c r="B31" s="153"/>
      <c r="C31" s="156" t="str">
        <f>IF(C25="Industrial materials and tyres that are derived from fossil fuels *","* if recycled and combusted to produce heat or electricity",IF(C25="Non‑biomass municipal materials *","* if recycled and combusted to produce heat or electricity",IF(C25="Biomass municipal and industrial materials *","* if recycled and combusted to produce heat or electricity","")))</f>
        <v/>
      </c>
      <c r="D31" s="49"/>
      <c r="H31" s="319" t="s">
        <v>161</v>
      </c>
      <c r="I31" s="2">
        <v>3.9300000000000002E-2</v>
      </c>
      <c r="J31" s="320" t="s">
        <v>260</v>
      </c>
      <c r="L31" s="318" t="s">
        <v>277</v>
      </c>
      <c r="M31" s="318">
        <v>12.2</v>
      </c>
      <c r="N31" s="318">
        <v>0</v>
      </c>
      <c r="O31" s="318">
        <v>0.7</v>
      </c>
      <c r="P31" s="318">
        <v>1.1000000000000001</v>
      </c>
      <c r="Q31" s="172" t="s">
        <v>285</v>
      </c>
      <c r="R31" s="12" t="s">
        <v>312</v>
      </c>
    </row>
    <row r="32" spans="2:18" ht="15" customHeight="1" x14ac:dyDescent="0.25">
      <c r="B32" s="2"/>
      <c r="C32" s="2"/>
      <c r="D32" s="2"/>
      <c r="H32" s="319" t="s">
        <v>36</v>
      </c>
      <c r="I32" s="2">
        <v>3.7699999999999997E-2</v>
      </c>
      <c r="J32" s="320" t="s">
        <v>261</v>
      </c>
      <c r="L32" s="318" t="s">
        <v>96</v>
      </c>
      <c r="M32" s="318">
        <v>31.1</v>
      </c>
      <c r="N32" s="318">
        <v>0</v>
      </c>
      <c r="O32" s="318">
        <v>4.8</v>
      </c>
      <c r="P32" s="318">
        <v>1.1000000000000001</v>
      </c>
      <c r="Q32" s="172" t="s">
        <v>285</v>
      </c>
      <c r="R32" s="12" t="s">
        <v>312</v>
      </c>
    </row>
    <row r="33" spans="8:22" ht="30" hidden="1" x14ac:dyDescent="0.25">
      <c r="H33" s="319" t="s">
        <v>149</v>
      </c>
      <c r="I33" s="2">
        <v>3.7699999999999997E-2</v>
      </c>
      <c r="J33" s="320" t="s">
        <v>261</v>
      </c>
      <c r="L33" s="321" t="s">
        <v>160</v>
      </c>
      <c r="M33" s="321">
        <v>12.2</v>
      </c>
      <c r="N33" s="321">
        <v>0</v>
      </c>
      <c r="O33" s="321">
        <v>0.7</v>
      </c>
      <c r="P33" s="321">
        <v>1.1000000000000001</v>
      </c>
      <c r="Q33" s="172" t="s">
        <v>285</v>
      </c>
      <c r="R33" s="12" t="s">
        <v>312</v>
      </c>
    </row>
    <row r="34" spans="8:22" ht="30.75" hidden="1" thickBot="1" x14ac:dyDescent="0.3">
      <c r="H34" s="322" t="s">
        <v>168</v>
      </c>
      <c r="I34" s="2">
        <v>3.7699999999999997E-2</v>
      </c>
      <c r="J34" s="323" t="s">
        <v>261</v>
      </c>
      <c r="L34" s="321" t="s">
        <v>112</v>
      </c>
      <c r="M34" s="174" t="s">
        <v>112</v>
      </c>
      <c r="N34" s="321" t="s">
        <v>112</v>
      </c>
      <c r="O34" s="174" t="s">
        <v>112</v>
      </c>
      <c r="P34" s="321" t="s">
        <v>112</v>
      </c>
      <c r="Q34" s="39" t="s">
        <v>112</v>
      </c>
      <c r="R34" s="12" t="s">
        <v>112</v>
      </c>
    </row>
    <row r="35" spans="8:22" ht="15.75" hidden="1" thickTop="1" x14ac:dyDescent="0.25">
      <c r="L35" s="318" t="s">
        <v>289</v>
      </c>
      <c r="M35" s="318">
        <v>34.200000000000003</v>
      </c>
      <c r="N35" s="318">
        <v>67.400000000000006</v>
      </c>
      <c r="O35" s="318">
        <v>0.5</v>
      </c>
      <c r="P35" s="318">
        <v>1.8</v>
      </c>
      <c r="Q35" s="172" t="s">
        <v>284</v>
      </c>
      <c r="R35" s="12" t="s">
        <v>313</v>
      </c>
    </row>
    <row r="36" spans="8:22" hidden="1" x14ac:dyDescent="0.25">
      <c r="L36" s="318" t="s">
        <v>290</v>
      </c>
      <c r="M36" s="318">
        <v>38.6</v>
      </c>
      <c r="N36" s="318">
        <v>69.900000000000006</v>
      </c>
      <c r="O36" s="318">
        <v>0.1</v>
      </c>
      <c r="P36" s="318">
        <v>0.5</v>
      </c>
      <c r="Q36" s="172" t="s">
        <v>284</v>
      </c>
      <c r="R36" s="12" t="s">
        <v>313</v>
      </c>
    </row>
    <row r="37" spans="8:22" hidden="1" x14ac:dyDescent="0.25">
      <c r="L37" s="318" t="s">
        <v>291</v>
      </c>
      <c r="M37" s="318">
        <v>33.1</v>
      </c>
      <c r="N37" s="318">
        <v>67</v>
      </c>
      <c r="O37" s="318">
        <v>0.05</v>
      </c>
      <c r="P37" s="318">
        <v>0.7</v>
      </c>
      <c r="Q37" s="172" t="s">
        <v>284</v>
      </c>
      <c r="R37" s="12" t="s">
        <v>313</v>
      </c>
    </row>
    <row r="38" spans="8:22" hidden="1" x14ac:dyDescent="0.25">
      <c r="L38" s="318" t="s">
        <v>292</v>
      </c>
      <c r="M38" s="318">
        <v>36.799999999999997</v>
      </c>
      <c r="N38" s="318">
        <v>69.599999999999994</v>
      </c>
      <c r="O38" s="318">
        <v>0.01</v>
      </c>
      <c r="P38" s="318">
        <v>0.6</v>
      </c>
      <c r="Q38" s="172" t="s">
        <v>284</v>
      </c>
      <c r="R38" s="12" t="s">
        <v>313</v>
      </c>
    </row>
    <row r="39" spans="8:22" hidden="1" x14ac:dyDescent="0.25">
      <c r="L39" s="318" t="s">
        <v>293</v>
      </c>
      <c r="M39" s="318">
        <v>39.700000000000003</v>
      </c>
      <c r="N39" s="318">
        <v>73.599999999999994</v>
      </c>
      <c r="O39" s="318">
        <v>7.0000000000000007E-2</v>
      </c>
      <c r="P39" s="318">
        <v>0.6</v>
      </c>
      <c r="Q39" s="172" t="s">
        <v>284</v>
      </c>
      <c r="R39" s="12" t="s">
        <v>313</v>
      </c>
    </row>
    <row r="40" spans="8:22" hidden="1" x14ac:dyDescent="0.25">
      <c r="L40" s="318" t="s">
        <v>294</v>
      </c>
      <c r="M40" s="318">
        <v>26.2</v>
      </c>
      <c r="N40" s="318">
        <v>60.2</v>
      </c>
      <c r="O40" s="318">
        <v>0.6</v>
      </c>
      <c r="P40" s="318">
        <v>0.7</v>
      </c>
      <c r="Q40" s="172" t="s">
        <v>284</v>
      </c>
      <c r="R40" s="12" t="s">
        <v>313</v>
      </c>
    </row>
    <row r="41" spans="8:22" hidden="1" x14ac:dyDescent="0.25">
      <c r="L41" s="318" t="s">
        <v>295</v>
      </c>
      <c r="M41" s="318">
        <v>34.6</v>
      </c>
      <c r="N41" s="318">
        <v>0</v>
      </c>
      <c r="O41" s="318">
        <v>0.7</v>
      </c>
      <c r="P41" s="318">
        <v>1.9</v>
      </c>
      <c r="Q41" s="172" t="s">
        <v>284</v>
      </c>
      <c r="R41" s="12" t="s">
        <v>313</v>
      </c>
    </row>
    <row r="42" spans="8:22" hidden="1" x14ac:dyDescent="0.25">
      <c r="L42" s="318" t="s">
        <v>296</v>
      </c>
      <c r="M42" s="318">
        <v>23.4</v>
      </c>
      <c r="N42" s="318">
        <v>0</v>
      </c>
      <c r="O42" s="318">
        <v>0.7</v>
      </c>
      <c r="P42" s="318">
        <v>1.9</v>
      </c>
      <c r="Q42" s="172" t="s">
        <v>284</v>
      </c>
      <c r="R42" s="12" t="s">
        <v>313</v>
      </c>
    </row>
    <row r="43" spans="8:22" hidden="1" x14ac:dyDescent="0.25">
      <c r="L43" s="318" t="s">
        <v>297</v>
      </c>
      <c r="M43" s="318">
        <v>23.4</v>
      </c>
      <c r="N43" s="318">
        <v>0</v>
      </c>
      <c r="O43" s="318">
        <v>0.7</v>
      </c>
      <c r="P43" s="318">
        <v>1.9</v>
      </c>
      <c r="Q43" s="172" t="s">
        <v>284</v>
      </c>
      <c r="R43" s="12" t="s">
        <v>313</v>
      </c>
    </row>
    <row r="44" spans="8:22" ht="30" hidden="1" x14ac:dyDescent="0.25">
      <c r="L44" s="318" t="s">
        <v>298</v>
      </c>
      <c r="M44" s="318">
        <v>3.9300000000000002E-2</v>
      </c>
      <c r="N44" s="318">
        <v>51.4</v>
      </c>
      <c r="O44" s="318">
        <v>6.5</v>
      </c>
      <c r="P44" s="318">
        <v>0.3</v>
      </c>
      <c r="Q44" s="172" t="s">
        <v>286</v>
      </c>
      <c r="R44" s="12" t="s">
        <v>314</v>
      </c>
    </row>
    <row r="45" spans="8:22" ht="30" hidden="1" x14ac:dyDescent="0.25">
      <c r="L45" s="318" t="s">
        <v>299</v>
      </c>
      <c r="M45" s="318">
        <v>3.9300000000000002E-2</v>
      </c>
      <c r="N45" s="318">
        <v>51.4</v>
      </c>
      <c r="O45" s="318">
        <v>2.5</v>
      </c>
      <c r="P45" s="318">
        <v>0.3</v>
      </c>
      <c r="Q45" s="172" t="s">
        <v>286</v>
      </c>
      <c r="R45" s="12" t="s">
        <v>314</v>
      </c>
    </row>
    <row r="46" spans="8:22" hidden="1" x14ac:dyDescent="0.25">
      <c r="L46" s="318" t="s">
        <v>300</v>
      </c>
      <c r="M46" s="318">
        <v>25.3</v>
      </c>
      <c r="N46" s="318">
        <v>51.4</v>
      </c>
      <c r="O46" s="318">
        <v>6.5</v>
      </c>
      <c r="P46" s="318">
        <v>0.3</v>
      </c>
      <c r="Q46" s="172" t="s">
        <v>284</v>
      </c>
      <c r="R46" s="12" t="s">
        <v>313</v>
      </c>
    </row>
    <row r="47" spans="8:22" hidden="1" x14ac:dyDescent="0.25">
      <c r="L47" s="321" t="s">
        <v>301</v>
      </c>
      <c r="M47" s="321">
        <v>25.3</v>
      </c>
      <c r="N47" s="321">
        <v>51.4</v>
      </c>
      <c r="O47" s="321">
        <v>2.5</v>
      </c>
      <c r="P47" s="321">
        <v>0.3</v>
      </c>
      <c r="Q47" s="39" t="s">
        <v>284</v>
      </c>
      <c r="R47" s="12" t="s">
        <v>313</v>
      </c>
      <c r="S47" s="6"/>
      <c r="T47" s="6"/>
      <c r="U47" s="6"/>
      <c r="V47" s="269"/>
    </row>
    <row r="48" spans="8:22" hidden="1" x14ac:dyDescent="0.25">
      <c r="L48" s="321" t="s">
        <v>302</v>
      </c>
      <c r="M48" s="321">
        <v>34.200000000000003</v>
      </c>
      <c r="N48" s="321">
        <v>67.400000000000006</v>
      </c>
      <c r="O48" s="321">
        <v>0.02</v>
      </c>
      <c r="P48" s="321">
        <v>0.2</v>
      </c>
      <c r="Q48" s="39" t="s">
        <v>284</v>
      </c>
      <c r="R48" s="12" t="s">
        <v>313</v>
      </c>
      <c r="S48" s="324"/>
      <c r="T48" s="6"/>
      <c r="U48" s="324"/>
      <c r="V48" s="270"/>
    </row>
    <row r="49" spans="12:22" hidden="1" x14ac:dyDescent="0.25">
      <c r="L49" s="321" t="s">
        <v>303</v>
      </c>
      <c r="M49" s="321">
        <v>38.6</v>
      </c>
      <c r="N49" s="321">
        <v>69.900000000000006</v>
      </c>
      <c r="O49" s="321">
        <v>0.01</v>
      </c>
      <c r="P49" s="321">
        <v>0.6</v>
      </c>
      <c r="Q49" s="39" t="s">
        <v>284</v>
      </c>
      <c r="R49" s="12" t="s">
        <v>313</v>
      </c>
      <c r="S49" s="324"/>
      <c r="T49" s="6"/>
      <c r="U49" s="324"/>
      <c r="V49" s="270"/>
    </row>
    <row r="50" spans="12:22" hidden="1" x14ac:dyDescent="0.25">
      <c r="L50" s="321" t="s">
        <v>304</v>
      </c>
      <c r="M50" s="321">
        <v>26.2</v>
      </c>
      <c r="N50" s="321">
        <v>60.2</v>
      </c>
      <c r="O50" s="321">
        <v>0.4</v>
      </c>
      <c r="P50" s="321">
        <v>0.3</v>
      </c>
      <c r="Q50" s="39" t="s">
        <v>284</v>
      </c>
      <c r="R50" s="12" t="s">
        <v>313</v>
      </c>
      <c r="S50" s="324"/>
      <c r="T50" s="6"/>
      <c r="U50" s="324"/>
      <c r="V50" s="270"/>
    </row>
    <row r="51" spans="12:22" ht="38.25" hidden="1" customHeight="1" x14ac:dyDescent="0.25">
      <c r="L51" s="321" t="s">
        <v>280</v>
      </c>
      <c r="M51" s="321">
        <v>23.4</v>
      </c>
      <c r="N51" s="321">
        <v>0</v>
      </c>
      <c r="O51" s="321">
        <v>0.2</v>
      </c>
      <c r="P51" s="321">
        <v>0.2</v>
      </c>
      <c r="Q51" s="39" t="s">
        <v>284</v>
      </c>
      <c r="R51" s="12" t="s">
        <v>313</v>
      </c>
      <c r="S51" s="324"/>
      <c r="T51" s="6"/>
      <c r="U51" s="324"/>
      <c r="V51" s="269"/>
    </row>
    <row r="52" spans="12:22" hidden="1" x14ac:dyDescent="0.25">
      <c r="L52" s="321" t="s">
        <v>281</v>
      </c>
      <c r="M52" s="321">
        <v>38.6</v>
      </c>
      <c r="N52" s="321">
        <v>69.900000000000006</v>
      </c>
      <c r="O52" s="321">
        <v>0.06</v>
      </c>
      <c r="P52" s="321">
        <v>0.5</v>
      </c>
      <c r="Q52" s="39" t="s">
        <v>284</v>
      </c>
      <c r="R52" s="12" t="s">
        <v>313</v>
      </c>
      <c r="S52" s="6"/>
      <c r="T52" s="6"/>
      <c r="U52" s="6"/>
      <c r="V52" s="269"/>
    </row>
    <row r="53" spans="12:22" hidden="1" x14ac:dyDescent="0.25">
      <c r="L53" s="321" t="s">
        <v>282</v>
      </c>
      <c r="M53" s="321">
        <v>38.6</v>
      </c>
      <c r="N53" s="321">
        <v>69.900000000000006</v>
      </c>
      <c r="O53" s="321">
        <v>0.1</v>
      </c>
      <c r="P53" s="321">
        <v>0.5</v>
      </c>
      <c r="Q53" s="39" t="s">
        <v>284</v>
      </c>
      <c r="R53" s="12" t="s">
        <v>313</v>
      </c>
      <c r="S53" s="6"/>
      <c r="T53" s="6"/>
      <c r="U53" s="6"/>
      <c r="V53" s="269"/>
    </row>
    <row r="54" spans="12:22" hidden="1" x14ac:dyDescent="0.25">
      <c r="L54" s="321" t="s">
        <v>283</v>
      </c>
      <c r="M54" s="321">
        <v>38.6</v>
      </c>
      <c r="N54" s="321">
        <v>69.900000000000006</v>
      </c>
      <c r="O54" s="321">
        <v>0.2</v>
      </c>
      <c r="P54" s="321">
        <v>0.5</v>
      </c>
      <c r="Q54" s="39" t="s">
        <v>284</v>
      </c>
      <c r="R54" s="12" t="s">
        <v>313</v>
      </c>
      <c r="S54" s="6"/>
      <c r="T54" s="6"/>
      <c r="U54" s="6"/>
      <c r="V54" s="269"/>
    </row>
    <row r="55" spans="12:22" hidden="1" x14ac:dyDescent="0.25">
      <c r="L55" s="321" t="s">
        <v>112</v>
      </c>
      <c r="M55" s="174" t="s">
        <v>112</v>
      </c>
      <c r="N55" s="174" t="s">
        <v>112</v>
      </c>
      <c r="O55" s="174" t="s">
        <v>112</v>
      </c>
      <c r="P55" s="174" t="s">
        <v>112</v>
      </c>
      <c r="Q55" s="39" t="s">
        <v>112</v>
      </c>
      <c r="R55" s="12" t="s">
        <v>313</v>
      </c>
      <c r="S55" s="6"/>
      <c r="T55" s="6"/>
      <c r="U55" s="6"/>
      <c r="V55" s="269"/>
    </row>
    <row r="56" spans="12:22" hidden="1" x14ac:dyDescent="0.25">
      <c r="L56" s="321" t="s">
        <v>146</v>
      </c>
      <c r="M56" s="321">
        <v>38.799999999999997</v>
      </c>
      <c r="N56" s="321">
        <v>13.9</v>
      </c>
      <c r="O56" s="321">
        <v>0</v>
      </c>
      <c r="P56" s="321">
        <v>0</v>
      </c>
      <c r="Q56" s="39" t="s">
        <v>284</v>
      </c>
      <c r="R56" s="12" t="s">
        <v>313</v>
      </c>
    </row>
    <row r="57" spans="12:22" hidden="1" x14ac:dyDescent="0.25">
      <c r="L57" s="321" t="s">
        <v>92</v>
      </c>
      <c r="M57" s="321">
        <v>38.799999999999997</v>
      </c>
      <c r="N57" s="321">
        <v>3.5</v>
      </c>
      <c r="O57" s="321">
        <v>0</v>
      </c>
      <c r="P57" s="321">
        <v>0</v>
      </c>
      <c r="Q57" s="39" t="s">
        <v>284</v>
      </c>
      <c r="R57" s="12" t="s">
        <v>313</v>
      </c>
    </row>
    <row r="58" spans="12:22" hidden="1" x14ac:dyDescent="0.25">
      <c r="L58" s="321" t="s">
        <v>50</v>
      </c>
      <c r="M58" s="321">
        <v>45.3</v>
      </c>
      <c r="N58" s="321">
        <v>69.599999999999994</v>
      </c>
      <c r="O58" s="321">
        <v>0.1</v>
      </c>
      <c r="P58" s="321">
        <v>0.2</v>
      </c>
      <c r="Q58" s="39" t="s">
        <v>285</v>
      </c>
      <c r="R58" s="12" t="s">
        <v>312</v>
      </c>
    </row>
    <row r="59" spans="12:22" hidden="1" x14ac:dyDescent="0.25">
      <c r="L59" s="321" t="s">
        <v>76</v>
      </c>
      <c r="M59" s="321">
        <v>46.5</v>
      </c>
      <c r="N59" s="321">
        <v>61</v>
      </c>
      <c r="O59" s="321">
        <v>0.1</v>
      </c>
      <c r="P59" s="321">
        <v>0.2</v>
      </c>
      <c r="Q59" s="39" t="s">
        <v>285</v>
      </c>
      <c r="R59" s="12" t="s">
        <v>312</v>
      </c>
    </row>
    <row r="60" spans="12:22" hidden="1" x14ac:dyDescent="0.25">
      <c r="L60" s="321" t="s">
        <v>138</v>
      </c>
      <c r="M60" s="321">
        <v>34.200000000000003</v>
      </c>
      <c r="N60" s="321">
        <v>67.400000000000006</v>
      </c>
      <c r="O60" s="321">
        <v>0.2</v>
      </c>
      <c r="P60" s="321">
        <v>0.2</v>
      </c>
      <c r="Q60" s="39" t="s">
        <v>284</v>
      </c>
      <c r="R60" s="12" t="s">
        <v>313</v>
      </c>
    </row>
    <row r="61" spans="12:22" hidden="1" x14ac:dyDescent="0.25">
      <c r="L61" s="321" t="s">
        <v>169</v>
      </c>
      <c r="M61" s="321">
        <v>33.1</v>
      </c>
      <c r="N61" s="321">
        <v>67</v>
      </c>
      <c r="O61" s="321">
        <v>0.2</v>
      </c>
      <c r="P61" s="321">
        <v>0.2</v>
      </c>
      <c r="Q61" s="39" t="s">
        <v>284</v>
      </c>
      <c r="R61" s="12" t="s">
        <v>313</v>
      </c>
    </row>
    <row r="62" spans="12:22" hidden="1" x14ac:dyDescent="0.25">
      <c r="L62" s="321" t="s">
        <v>142</v>
      </c>
      <c r="M62" s="321">
        <v>37.5</v>
      </c>
      <c r="N62" s="321">
        <v>68.900000000000006</v>
      </c>
      <c r="O62" s="321">
        <v>0</v>
      </c>
      <c r="P62" s="321">
        <v>0.2</v>
      </c>
      <c r="Q62" s="39" t="s">
        <v>284</v>
      </c>
      <c r="R62" s="12" t="s">
        <v>313</v>
      </c>
    </row>
    <row r="63" spans="12:22" hidden="1" x14ac:dyDescent="0.25">
      <c r="L63" s="321" t="s">
        <v>143</v>
      </c>
      <c r="M63" s="321">
        <v>36.799999999999997</v>
      </c>
      <c r="N63" s="321">
        <v>69.599999999999994</v>
      </c>
      <c r="O63" s="321">
        <v>0.02</v>
      </c>
      <c r="P63" s="321">
        <v>0.2</v>
      </c>
      <c r="Q63" s="39" t="s">
        <v>284</v>
      </c>
      <c r="R63" s="12" t="s">
        <v>313</v>
      </c>
    </row>
    <row r="64" spans="12:22" hidden="1" x14ac:dyDescent="0.25">
      <c r="L64" s="321" t="s">
        <v>65</v>
      </c>
      <c r="M64" s="321">
        <v>37.299999999999997</v>
      </c>
      <c r="N64" s="321">
        <v>69.5</v>
      </c>
      <c r="O64" s="321">
        <v>0.03</v>
      </c>
      <c r="P64" s="321">
        <v>0.2</v>
      </c>
      <c r="Q64" s="39" t="s">
        <v>284</v>
      </c>
      <c r="R64" s="12" t="s">
        <v>313</v>
      </c>
    </row>
    <row r="65" spans="12:18" hidden="1" x14ac:dyDescent="0.25">
      <c r="L65" s="321" t="s">
        <v>54</v>
      </c>
      <c r="M65" s="321">
        <v>38.6</v>
      </c>
      <c r="N65" s="321">
        <v>69.900000000000006</v>
      </c>
      <c r="O65" s="321">
        <v>0.1</v>
      </c>
      <c r="P65" s="321">
        <v>0.2</v>
      </c>
      <c r="Q65" s="39" t="s">
        <v>284</v>
      </c>
      <c r="R65" s="12" t="s">
        <v>313</v>
      </c>
    </row>
    <row r="66" spans="12:18" hidden="1" x14ac:dyDescent="0.25">
      <c r="L66" s="321" t="s">
        <v>58</v>
      </c>
      <c r="M66" s="321">
        <v>39.700000000000003</v>
      </c>
      <c r="N66" s="321">
        <v>73.599999999999994</v>
      </c>
      <c r="O66" s="321">
        <v>0.04</v>
      </c>
      <c r="P66" s="321">
        <v>0.2</v>
      </c>
      <c r="Q66" s="39" t="s">
        <v>284</v>
      </c>
      <c r="R66" s="12" t="s">
        <v>313</v>
      </c>
    </row>
    <row r="67" spans="12:18" hidden="1" x14ac:dyDescent="0.25">
      <c r="L67" s="321" t="s">
        <v>69</v>
      </c>
      <c r="M67" s="321">
        <v>34.4</v>
      </c>
      <c r="N67" s="321">
        <v>69.7</v>
      </c>
      <c r="O67" s="321">
        <v>0.02</v>
      </c>
      <c r="P67" s="321">
        <v>0.2</v>
      </c>
      <c r="Q67" s="39" t="s">
        <v>284</v>
      </c>
      <c r="R67" s="12" t="s">
        <v>313</v>
      </c>
    </row>
    <row r="68" spans="12:18" hidden="1" x14ac:dyDescent="0.25">
      <c r="L68" s="321" t="s">
        <v>82</v>
      </c>
      <c r="M68" s="321">
        <v>34.4</v>
      </c>
      <c r="N68" s="321">
        <v>69.7</v>
      </c>
      <c r="O68" s="321">
        <v>0.02</v>
      </c>
      <c r="P68" s="321">
        <v>0.2</v>
      </c>
      <c r="Q68" s="39" t="s">
        <v>284</v>
      </c>
      <c r="R68" s="12" t="s">
        <v>313</v>
      </c>
    </row>
    <row r="69" spans="12:18" hidden="1" x14ac:dyDescent="0.25">
      <c r="L69" s="321" t="s">
        <v>71</v>
      </c>
      <c r="M69" s="321">
        <v>25.7</v>
      </c>
      <c r="N69" s="321">
        <v>60.2</v>
      </c>
      <c r="O69" s="321">
        <v>0.2</v>
      </c>
      <c r="P69" s="321">
        <v>0.2</v>
      </c>
      <c r="Q69" s="39" t="s">
        <v>284</v>
      </c>
      <c r="R69" s="12" t="s">
        <v>313</v>
      </c>
    </row>
    <row r="70" spans="12:18" hidden="1" x14ac:dyDescent="0.25">
      <c r="L70" s="321" t="s">
        <v>73</v>
      </c>
      <c r="M70" s="321">
        <v>31.4</v>
      </c>
      <c r="N70" s="321">
        <v>69.8</v>
      </c>
      <c r="O70" s="321">
        <v>0</v>
      </c>
      <c r="P70" s="321">
        <v>0.01</v>
      </c>
      <c r="Q70" s="39" t="s">
        <v>284</v>
      </c>
      <c r="R70" s="12" t="s">
        <v>313</v>
      </c>
    </row>
    <row r="71" spans="12:18" hidden="1" x14ac:dyDescent="0.25">
      <c r="L71" s="321" t="s">
        <v>78</v>
      </c>
      <c r="M71" s="321">
        <v>34.200000000000003</v>
      </c>
      <c r="N71" s="321">
        <v>92.6</v>
      </c>
      <c r="O71" s="321">
        <v>7.0000000000000007E-2</v>
      </c>
      <c r="P71" s="321">
        <v>0.2</v>
      </c>
      <c r="Q71" s="39" t="s">
        <v>285</v>
      </c>
      <c r="R71" s="12" t="s">
        <v>312</v>
      </c>
    </row>
    <row r="72" spans="12:18" hidden="1" x14ac:dyDescent="0.25">
      <c r="L72" s="321" t="s">
        <v>80</v>
      </c>
      <c r="M72" s="321">
        <v>42.9</v>
      </c>
      <c r="N72" s="321">
        <v>54.7</v>
      </c>
      <c r="O72" s="321">
        <v>0.02</v>
      </c>
      <c r="P72" s="321">
        <v>0</v>
      </c>
      <c r="Q72" s="39" t="s">
        <v>285</v>
      </c>
      <c r="R72" s="12" t="s">
        <v>312</v>
      </c>
    </row>
    <row r="73" spans="12:18" hidden="1" x14ac:dyDescent="0.25">
      <c r="L73" s="321" t="s">
        <v>79</v>
      </c>
      <c r="M73" s="321">
        <v>34.200000000000003</v>
      </c>
      <c r="N73" s="321">
        <v>92.6</v>
      </c>
      <c r="O73" s="321">
        <v>7.0000000000000007E-2</v>
      </c>
      <c r="P73" s="321">
        <v>0.2</v>
      </c>
      <c r="Q73" s="39" t="s">
        <v>285</v>
      </c>
      <c r="R73" s="12" t="s">
        <v>312</v>
      </c>
    </row>
    <row r="74" spans="12:18" hidden="1" x14ac:dyDescent="0.25">
      <c r="L74" s="321" t="s">
        <v>288</v>
      </c>
      <c r="M74" s="321">
        <v>34.4</v>
      </c>
      <c r="N74" s="321">
        <v>69.8</v>
      </c>
      <c r="O74" s="321">
        <v>0</v>
      </c>
      <c r="P74" s="321">
        <v>0.2</v>
      </c>
      <c r="Q74" s="39" t="s">
        <v>284</v>
      </c>
      <c r="R74" s="12" t="s">
        <v>313</v>
      </c>
    </row>
    <row r="75" spans="12:18" hidden="1" x14ac:dyDescent="0.25">
      <c r="L75" s="321" t="s">
        <v>48</v>
      </c>
      <c r="M75" s="321">
        <v>34.6</v>
      </c>
      <c r="N75" s="321">
        <v>0</v>
      </c>
      <c r="O75" s="321">
        <v>7.0000000000000007E-2</v>
      </c>
      <c r="P75" s="321">
        <v>0.2</v>
      </c>
      <c r="Q75" s="39" t="s">
        <v>284</v>
      </c>
      <c r="R75" s="12" t="s">
        <v>313</v>
      </c>
    </row>
    <row r="76" spans="12:18" hidden="1" x14ac:dyDescent="0.25">
      <c r="L76" s="321" t="s">
        <v>135</v>
      </c>
      <c r="M76" s="321">
        <v>23.4</v>
      </c>
      <c r="N76" s="321">
        <v>0</v>
      </c>
      <c r="O76" s="321">
        <v>7.0000000000000007E-2</v>
      </c>
      <c r="P76" s="321">
        <v>0.2</v>
      </c>
      <c r="Q76" s="39" t="s">
        <v>284</v>
      </c>
      <c r="R76" s="12" t="s">
        <v>313</v>
      </c>
    </row>
    <row r="77" spans="12:18" hidden="1" x14ac:dyDescent="0.25">
      <c r="L77" s="321" t="s">
        <v>170</v>
      </c>
      <c r="M77" s="321">
        <v>23.4</v>
      </c>
      <c r="N77" s="321">
        <v>0</v>
      </c>
      <c r="O77" s="321">
        <v>7.0000000000000007E-2</v>
      </c>
      <c r="P77" s="321">
        <v>0.2</v>
      </c>
      <c r="Q77" s="39" t="s">
        <v>284</v>
      </c>
      <c r="R77" s="12" t="s">
        <v>313</v>
      </c>
    </row>
    <row r="78" spans="12:18" hidden="1" x14ac:dyDescent="0.25">
      <c r="L78" s="321" t="s">
        <v>112</v>
      </c>
      <c r="M78" s="8" t="s">
        <v>112</v>
      </c>
      <c r="N78" s="8" t="s">
        <v>112</v>
      </c>
      <c r="O78" s="8" t="s">
        <v>112</v>
      </c>
      <c r="P78" s="8" t="s">
        <v>112</v>
      </c>
      <c r="Q78" s="39" t="s">
        <v>112</v>
      </c>
      <c r="R78" s="12" t="s">
        <v>112</v>
      </c>
    </row>
    <row r="79" spans="12:18" hidden="1" x14ac:dyDescent="0.25">
      <c r="L79" s="319" t="s">
        <v>41</v>
      </c>
      <c r="M79" s="325">
        <v>3.9300000000000002E-2</v>
      </c>
      <c r="N79" s="319">
        <v>51.4</v>
      </c>
      <c r="O79" s="319">
        <v>0.1</v>
      </c>
      <c r="P79" s="319">
        <v>0.03</v>
      </c>
      <c r="Q79" s="326" t="s">
        <v>286</v>
      </c>
      <c r="R79" s="12" t="s">
        <v>314</v>
      </c>
    </row>
    <row r="80" spans="12:18" hidden="1" x14ac:dyDescent="0.25">
      <c r="L80" s="319" t="s">
        <v>27</v>
      </c>
      <c r="M80" s="325">
        <v>3.7699999999999997E-2</v>
      </c>
      <c r="N80" s="319">
        <v>51.4</v>
      </c>
      <c r="O80" s="319">
        <v>0.2</v>
      </c>
      <c r="P80" s="319">
        <v>0.03</v>
      </c>
      <c r="Q80" s="326" t="s">
        <v>286</v>
      </c>
      <c r="R80" s="12" t="s">
        <v>314</v>
      </c>
    </row>
    <row r="81" spans="12:18" hidden="1" x14ac:dyDescent="0.25">
      <c r="L81" s="319" t="s">
        <v>26</v>
      </c>
      <c r="M81" s="325">
        <v>3.7699999999999997E-2</v>
      </c>
      <c r="N81" s="319">
        <v>51.9</v>
      </c>
      <c r="O81" s="319">
        <v>4.0999999999999996</v>
      </c>
      <c r="P81" s="319">
        <v>0.03</v>
      </c>
      <c r="Q81" s="326" t="s">
        <v>286</v>
      </c>
      <c r="R81" s="12" t="s">
        <v>314</v>
      </c>
    </row>
    <row r="82" spans="12:18" hidden="1" x14ac:dyDescent="0.25">
      <c r="L82" s="319" t="s">
        <v>167</v>
      </c>
      <c r="M82" s="325">
        <v>3.9300000000000002E-2</v>
      </c>
      <c r="N82" s="319">
        <v>51.4</v>
      </c>
      <c r="O82" s="319">
        <v>0.1</v>
      </c>
      <c r="P82" s="319">
        <v>0.03</v>
      </c>
      <c r="Q82" s="326" t="s">
        <v>286</v>
      </c>
      <c r="R82" s="12" t="s">
        <v>314</v>
      </c>
    </row>
    <row r="83" spans="12:18" hidden="1" x14ac:dyDescent="0.25">
      <c r="L83" s="319" t="s">
        <v>45</v>
      </c>
      <c r="M83" s="325">
        <v>3.9300000000000002E-2</v>
      </c>
      <c r="N83" s="319">
        <v>51.4</v>
      </c>
      <c r="O83" s="319">
        <v>0.1</v>
      </c>
      <c r="P83" s="319">
        <v>0.03</v>
      </c>
      <c r="Q83" s="326" t="s">
        <v>286</v>
      </c>
      <c r="R83" s="12" t="s">
        <v>314</v>
      </c>
    </row>
    <row r="84" spans="12:18" hidden="1" x14ac:dyDescent="0.25">
      <c r="L84" s="319" t="s">
        <v>33</v>
      </c>
      <c r="M84" s="325">
        <v>6.2899999999999998E-2</v>
      </c>
      <c r="N84" s="319">
        <v>56.5</v>
      </c>
      <c r="O84" s="319">
        <v>0.03</v>
      </c>
      <c r="P84" s="319">
        <v>0.03</v>
      </c>
      <c r="Q84" s="326" t="s">
        <v>286</v>
      </c>
      <c r="R84" s="12" t="s">
        <v>314</v>
      </c>
    </row>
    <row r="85" spans="12:18" hidden="1" x14ac:dyDescent="0.25">
      <c r="L85" s="319" t="s">
        <v>29</v>
      </c>
      <c r="M85" s="325">
        <v>1.8100000000000002E-2</v>
      </c>
      <c r="N85" s="319">
        <v>37</v>
      </c>
      <c r="O85" s="319">
        <v>0.03</v>
      </c>
      <c r="P85" s="319">
        <v>0.05</v>
      </c>
      <c r="Q85" s="326" t="s">
        <v>286</v>
      </c>
      <c r="R85" s="12" t="s">
        <v>314</v>
      </c>
    </row>
    <row r="86" spans="12:18" hidden="1" x14ac:dyDescent="0.25">
      <c r="L86" s="319" t="s">
        <v>25</v>
      </c>
      <c r="M86" s="325">
        <v>4.0000000000000001E-3</v>
      </c>
      <c r="N86" s="319">
        <v>234</v>
      </c>
      <c r="O86" s="319">
        <v>0</v>
      </c>
      <c r="P86" s="319">
        <v>0.03</v>
      </c>
      <c r="Q86" s="326" t="s">
        <v>286</v>
      </c>
      <c r="R86" s="12" t="s">
        <v>314</v>
      </c>
    </row>
    <row r="87" spans="12:18" hidden="1" x14ac:dyDescent="0.25">
      <c r="L87" s="319" t="s">
        <v>42</v>
      </c>
      <c r="M87" s="325">
        <v>3.9E-2</v>
      </c>
      <c r="N87" s="319">
        <v>60.2</v>
      </c>
      <c r="O87" s="319">
        <v>0</v>
      </c>
      <c r="P87" s="319">
        <v>0.03</v>
      </c>
      <c r="Q87" s="326" t="s">
        <v>286</v>
      </c>
      <c r="R87" s="12" t="s">
        <v>314</v>
      </c>
    </row>
    <row r="88" spans="12:18" hidden="1" x14ac:dyDescent="0.25">
      <c r="L88" s="319" t="s">
        <v>38</v>
      </c>
      <c r="M88" s="325">
        <v>25.3</v>
      </c>
      <c r="N88" s="319">
        <v>51.4</v>
      </c>
      <c r="O88" s="319">
        <v>0.1</v>
      </c>
      <c r="P88" s="319">
        <v>0.03</v>
      </c>
      <c r="Q88" s="326" t="s">
        <v>284</v>
      </c>
      <c r="R88" s="12" t="s">
        <v>313</v>
      </c>
    </row>
    <row r="89" spans="12:18" hidden="1" x14ac:dyDescent="0.25">
      <c r="L89" s="319" t="s">
        <v>259</v>
      </c>
      <c r="M89" s="325">
        <v>3.9300000000000002E-2</v>
      </c>
      <c r="N89" s="319">
        <v>51.4</v>
      </c>
      <c r="O89" s="319">
        <v>0.1</v>
      </c>
      <c r="P89" s="319">
        <v>0.03</v>
      </c>
      <c r="Q89" s="326" t="s">
        <v>286</v>
      </c>
      <c r="R89" s="12" t="s">
        <v>314</v>
      </c>
    </row>
    <row r="90" spans="12:18" hidden="1" x14ac:dyDescent="0.25">
      <c r="L90" s="319" t="s">
        <v>36</v>
      </c>
      <c r="M90" s="325">
        <v>3.7699999999999997E-2</v>
      </c>
      <c r="N90" s="319">
        <v>0</v>
      </c>
      <c r="O90" s="319">
        <v>4.8</v>
      </c>
      <c r="P90" s="319">
        <v>0.03</v>
      </c>
      <c r="Q90" s="326" t="s">
        <v>286</v>
      </c>
      <c r="R90" s="12" t="s">
        <v>314</v>
      </c>
    </row>
    <row r="91" spans="12:18" hidden="1" x14ac:dyDescent="0.25">
      <c r="L91" s="319" t="s">
        <v>149</v>
      </c>
      <c r="M91" s="325">
        <v>3.7699999999999997E-2</v>
      </c>
      <c r="N91" s="319">
        <v>0</v>
      </c>
      <c r="O91" s="319">
        <v>4.8</v>
      </c>
      <c r="P91" s="319">
        <v>0.03</v>
      </c>
      <c r="Q91" s="326" t="s">
        <v>286</v>
      </c>
      <c r="R91" s="12" t="s">
        <v>314</v>
      </c>
    </row>
    <row r="92" spans="12:18" ht="15.75" hidden="1" thickBot="1" x14ac:dyDescent="0.3">
      <c r="L92" s="322" t="s">
        <v>168</v>
      </c>
      <c r="M92" s="325">
        <v>3.7699999999999997E-2</v>
      </c>
      <c r="N92" s="322">
        <v>0</v>
      </c>
      <c r="O92" s="322">
        <v>4.8</v>
      </c>
      <c r="P92" s="322">
        <v>0.03</v>
      </c>
      <c r="Q92" s="326" t="s">
        <v>286</v>
      </c>
      <c r="R92" s="12" t="s">
        <v>314</v>
      </c>
    </row>
    <row r="93" spans="12:18" ht="15.75" hidden="1" thickTop="1" x14ac:dyDescent="0.25"/>
    <row r="94" spans="12:18" hidden="1" x14ac:dyDescent="0.25"/>
  </sheetData>
  <sheetProtection algorithmName="SHA-256" hashValue="helXVAXTWE4NZE1ZRMVDkABGLnAhSkkCJFPz5BQcWHQ=" saltValue="iHRKDFX5c5etwpWm/7XqDg==" spinCount="100000" sheet="1" objects="1" scenarios="1" selectLockedCells="1"/>
  <mergeCells count="6">
    <mergeCell ref="B8:D8"/>
    <mergeCell ref="B15:D15"/>
    <mergeCell ref="B23:D23"/>
    <mergeCell ref="B5:D5"/>
    <mergeCell ref="B1:D1"/>
    <mergeCell ref="B3:D3"/>
  </mergeCells>
  <dataValidations count="6">
    <dataValidation type="list" allowBlank="1" showInputMessage="1" showErrorMessage="1" sqref="C9" xr:uid="{00000000-0002-0000-0900-000000000000}">
      <formula1>$H$9:$H$11</formula1>
    </dataValidation>
    <dataValidation type="list" allowBlank="1" showInputMessage="1" showErrorMessage="1" sqref="C16" xr:uid="{00000000-0002-0000-0900-000001000000}">
      <formula1>$H$16:$H$18</formula1>
    </dataValidation>
    <dataValidation type="list" allowBlank="1" showInputMessage="1" showErrorMessage="1" sqref="C17" xr:uid="{00000000-0002-0000-0900-000002000000}">
      <formula1>$H$20:$H$34</formula1>
    </dataValidation>
    <dataValidation type="list" allowBlank="1" showInputMessage="1" showErrorMessage="1" sqref="C24" xr:uid="{00000000-0002-0000-0900-000003000000}">
      <formula1>$L$9:$L$13</formula1>
    </dataValidation>
    <dataValidation type="list" allowBlank="1" showInputMessage="1" showErrorMessage="1" sqref="C26" xr:uid="{00000000-0002-0000-0900-000004000000}">
      <formula1>$M$9:$M$11</formula1>
    </dataValidation>
    <dataValidation type="list" allowBlank="1" showInputMessage="1" showErrorMessage="1" sqref="C25" xr:uid="{00000000-0002-0000-0900-000005000000}">
      <formula1>IF(C24="Solid fuels",L15:L33,IF(C24="Liquid fuels - transport",L34:L54,IF(C24="Liquid fuels - stationary",L55:L77,IF(C24="Gaseous fuels",L78:L92,"-"))))</formula1>
    </dataValidation>
  </dataValidation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6:AJ78"/>
  <sheetViews>
    <sheetView topLeftCell="R1" zoomScale="70" zoomScaleNormal="70" workbookViewId="0">
      <selection activeCell="R20" sqref="R20"/>
    </sheetView>
  </sheetViews>
  <sheetFormatPr defaultColWidth="0" defaultRowHeight="15" x14ac:dyDescent="0.25"/>
  <cols>
    <col min="1" max="1" width="9.140625" style="317" customWidth="1"/>
    <col min="2" max="2" width="64" style="2" customWidth="1"/>
    <col min="3" max="8" width="9.140625" style="2" customWidth="1"/>
    <col min="9" max="9" width="77.42578125" style="8" customWidth="1"/>
    <col min="10" max="14" width="9.140625" style="8" customWidth="1"/>
    <col min="15" max="16" width="9.140625" style="2" customWidth="1"/>
    <col min="17" max="17" width="36.140625" style="2" customWidth="1"/>
    <col min="18" max="22" width="9.140625" style="2" customWidth="1"/>
    <col min="23" max="23" width="82.5703125" style="2" customWidth="1"/>
    <col min="24" max="29" width="9.140625" style="2" customWidth="1"/>
    <col min="30" max="30" width="88.42578125" style="2" customWidth="1"/>
    <col min="31" max="36" width="9.140625" style="2" customWidth="1"/>
    <col min="37" max="16384" width="9.140625" hidden="1"/>
  </cols>
  <sheetData>
    <row r="6" spans="2:35" x14ac:dyDescent="0.25">
      <c r="B6" s="2" t="s">
        <v>191</v>
      </c>
      <c r="I6" s="8" t="s">
        <v>192</v>
      </c>
      <c r="Q6" s="2" t="s">
        <v>189</v>
      </c>
      <c r="W6" s="2" t="s">
        <v>175</v>
      </c>
      <c r="AD6" s="2" t="s">
        <v>182</v>
      </c>
    </row>
    <row r="8" spans="2:35" x14ac:dyDescent="0.25">
      <c r="B8" s="98" t="s">
        <v>112</v>
      </c>
      <c r="C8" s="98">
        <v>0</v>
      </c>
      <c r="D8" s="98">
        <v>0</v>
      </c>
      <c r="E8" s="98">
        <v>0</v>
      </c>
      <c r="F8" s="98">
        <v>0</v>
      </c>
      <c r="G8" s="98" t="s">
        <v>112</v>
      </c>
      <c r="H8" s="89"/>
      <c r="I8" s="99" t="s">
        <v>112</v>
      </c>
      <c r="J8" s="99">
        <v>0</v>
      </c>
      <c r="K8" s="99">
        <v>0</v>
      </c>
      <c r="L8" s="99">
        <v>0</v>
      </c>
      <c r="M8" s="10">
        <v>0</v>
      </c>
      <c r="N8" s="10" t="s">
        <v>112</v>
      </c>
      <c r="W8" s="11" t="s">
        <v>112</v>
      </c>
      <c r="X8" s="11">
        <v>0</v>
      </c>
      <c r="Y8" s="11">
        <v>0</v>
      </c>
      <c r="Z8" s="11">
        <v>0</v>
      </c>
      <c r="AA8" s="11">
        <v>0</v>
      </c>
      <c r="AB8" s="11" t="s">
        <v>112</v>
      </c>
      <c r="AD8" s="9" t="s">
        <v>112</v>
      </c>
      <c r="AE8" s="9">
        <v>0</v>
      </c>
      <c r="AF8" s="9">
        <v>0</v>
      </c>
      <c r="AG8" s="9">
        <v>0</v>
      </c>
      <c r="AH8" s="9">
        <v>0</v>
      </c>
      <c r="AI8" s="9" t="s">
        <v>112</v>
      </c>
    </row>
    <row r="9" spans="2:35" x14ac:dyDescent="0.25">
      <c r="B9" s="100" t="s">
        <v>48</v>
      </c>
      <c r="C9" s="101">
        <v>34.6</v>
      </c>
      <c r="D9" s="102">
        <v>0</v>
      </c>
      <c r="E9" s="102" t="s">
        <v>83</v>
      </c>
      <c r="F9" s="102" t="s">
        <v>84</v>
      </c>
      <c r="G9" s="100" t="s">
        <v>40</v>
      </c>
      <c r="I9" s="103" t="s">
        <v>94</v>
      </c>
      <c r="J9" s="103">
        <v>29</v>
      </c>
      <c r="K9" s="103">
        <v>90</v>
      </c>
      <c r="L9" s="103">
        <v>0.03</v>
      </c>
      <c r="M9" s="103">
        <v>0.2</v>
      </c>
      <c r="N9" s="10" t="s">
        <v>53</v>
      </c>
      <c r="O9" s="6"/>
      <c r="Q9" s="98" t="s">
        <v>19</v>
      </c>
      <c r="R9" s="104" t="s">
        <v>20</v>
      </c>
      <c r="S9" s="104" t="s">
        <v>21</v>
      </c>
      <c r="T9" s="104" t="s">
        <v>22</v>
      </c>
      <c r="W9" s="105" t="s">
        <v>315</v>
      </c>
      <c r="X9" s="106">
        <v>0</v>
      </c>
      <c r="Y9" s="106">
        <v>0</v>
      </c>
      <c r="Z9" s="106">
        <v>0</v>
      </c>
      <c r="AA9" s="106">
        <v>3.7699999999999997E-2</v>
      </c>
      <c r="AB9" s="107" t="s">
        <v>24</v>
      </c>
      <c r="AD9" s="108" t="s">
        <v>315</v>
      </c>
      <c r="AE9" s="109">
        <v>0</v>
      </c>
      <c r="AF9" s="109">
        <v>0</v>
      </c>
      <c r="AG9" s="109">
        <v>0</v>
      </c>
      <c r="AH9" s="109">
        <v>3.7699999999999997E-2</v>
      </c>
      <c r="AI9" s="110" t="s">
        <v>24</v>
      </c>
    </row>
    <row r="10" spans="2:35" x14ac:dyDescent="0.25">
      <c r="B10" s="100" t="s">
        <v>113</v>
      </c>
      <c r="C10" s="101">
        <v>23.4</v>
      </c>
      <c r="D10" s="102">
        <v>0</v>
      </c>
      <c r="E10" s="102" t="s">
        <v>83</v>
      </c>
      <c r="F10" s="102" t="s">
        <v>84</v>
      </c>
      <c r="G10" s="100" t="s">
        <v>40</v>
      </c>
      <c r="I10" s="103" t="s">
        <v>95</v>
      </c>
      <c r="J10" s="103">
        <v>9.6</v>
      </c>
      <c r="K10" s="103">
        <v>0</v>
      </c>
      <c r="L10" s="103">
        <v>0.2</v>
      </c>
      <c r="M10" s="103">
        <v>1.2</v>
      </c>
      <c r="N10" s="10" t="s">
        <v>53</v>
      </c>
      <c r="O10" s="6"/>
      <c r="Q10" s="98" t="s">
        <v>112</v>
      </c>
      <c r="R10" s="98">
        <v>0</v>
      </c>
      <c r="S10" s="98">
        <v>0</v>
      </c>
      <c r="T10" s="98">
        <v>0</v>
      </c>
      <c r="V10" s="2" t="s">
        <v>198</v>
      </c>
      <c r="W10" s="105" t="s">
        <v>94</v>
      </c>
      <c r="X10" s="106">
        <v>0</v>
      </c>
      <c r="Y10" s="106">
        <v>0</v>
      </c>
      <c r="Z10" s="106">
        <v>0</v>
      </c>
      <c r="AA10" s="106">
        <v>29</v>
      </c>
      <c r="AB10" s="107" t="s">
        <v>53</v>
      </c>
      <c r="AC10" s="2" t="s">
        <v>198</v>
      </c>
      <c r="AD10" s="108" t="s">
        <v>94</v>
      </c>
      <c r="AE10" s="109">
        <v>0</v>
      </c>
      <c r="AF10" s="109">
        <v>0</v>
      </c>
      <c r="AG10" s="109">
        <v>0</v>
      </c>
      <c r="AH10" s="109">
        <v>29</v>
      </c>
      <c r="AI10" s="110" t="s">
        <v>53</v>
      </c>
    </row>
    <row r="11" spans="2:35" x14ac:dyDescent="0.25">
      <c r="B11" s="100" t="s">
        <v>114</v>
      </c>
      <c r="C11" s="101" t="s">
        <v>56</v>
      </c>
      <c r="D11" s="111" t="s">
        <v>55</v>
      </c>
      <c r="E11" s="111" t="s">
        <v>74</v>
      </c>
      <c r="F11" s="111" t="s">
        <v>85</v>
      </c>
      <c r="G11" s="100" t="s">
        <v>40</v>
      </c>
      <c r="I11" s="103" t="s">
        <v>48</v>
      </c>
      <c r="J11" s="103">
        <v>34.6</v>
      </c>
      <c r="K11" s="103">
        <v>0</v>
      </c>
      <c r="L11" s="103">
        <v>7.0000000000000007E-2</v>
      </c>
      <c r="M11" s="103">
        <v>0.2</v>
      </c>
      <c r="N11" s="112" t="s">
        <v>40</v>
      </c>
      <c r="O11" s="6"/>
      <c r="Q11" s="98" t="s">
        <v>10</v>
      </c>
      <c r="R11" s="113">
        <v>0.81</v>
      </c>
      <c r="S11" s="98">
        <v>3.5999999999999999E-3</v>
      </c>
      <c r="T11" s="98">
        <f t="shared" ref="T11:T19" si="0">R11/S11</f>
        <v>225.00000000000003</v>
      </c>
      <c r="V11" s="2" t="s">
        <v>198</v>
      </c>
      <c r="W11" s="105" t="s">
        <v>95</v>
      </c>
      <c r="X11" s="106">
        <v>0</v>
      </c>
      <c r="Y11" s="106">
        <v>0</v>
      </c>
      <c r="Z11" s="106">
        <v>0</v>
      </c>
      <c r="AA11" s="106">
        <v>9.6</v>
      </c>
      <c r="AB11" s="107" t="s">
        <v>53</v>
      </c>
      <c r="AC11" s="2" t="s">
        <v>198</v>
      </c>
      <c r="AD11" s="108" t="s">
        <v>95</v>
      </c>
      <c r="AE11" s="109">
        <v>0</v>
      </c>
      <c r="AF11" s="109">
        <v>0</v>
      </c>
      <c r="AG11" s="109">
        <v>0</v>
      </c>
      <c r="AH11" s="109">
        <v>9.6</v>
      </c>
      <c r="AI11" s="110" t="s">
        <v>53</v>
      </c>
    </row>
    <row r="12" spans="2:35" x14ac:dyDescent="0.25">
      <c r="B12" s="100" t="s">
        <v>54</v>
      </c>
      <c r="C12" s="101" t="s">
        <v>56</v>
      </c>
      <c r="D12" s="102" t="s">
        <v>55</v>
      </c>
      <c r="E12" s="102" t="s">
        <v>86</v>
      </c>
      <c r="F12" s="102">
        <v>0.5</v>
      </c>
      <c r="G12" s="100" t="s">
        <v>40</v>
      </c>
      <c r="I12" s="103" t="s">
        <v>164</v>
      </c>
      <c r="J12" s="103">
        <v>12.2</v>
      </c>
      <c r="K12" s="103">
        <v>0</v>
      </c>
      <c r="L12" s="103">
        <v>0.7</v>
      </c>
      <c r="M12" s="103">
        <v>1.1000000000000001</v>
      </c>
      <c r="N12" s="10" t="s">
        <v>53</v>
      </c>
      <c r="O12" s="6"/>
      <c r="Q12" s="98" t="s">
        <v>11</v>
      </c>
      <c r="R12" s="113">
        <v>0.81</v>
      </c>
      <c r="S12" s="98">
        <v>3.5999999999999999E-3</v>
      </c>
      <c r="T12" s="98">
        <f t="shared" si="0"/>
        <v>225.00000000000003</v>
      </c>
      <c r="W12" s="105" t="s">
        <v>48</v>
      </c>
      <c r="X12" s="106">
        <v>0</v>
      </c>
      <c r="Y12" s="106">
        <v>0</v>
      </c>
      <c r="Z12" s="106">
        <v>0</v>
      </c>
      <c r="AA12" s="106">
        <v>34.6</v>
      </c>
      <c r="AB12" s="107" t="s">
        <v>40</v>
      </c>
      <c r="AD12" s="108" t="s">
        <v>48</v>
      </c>
      <c r="AE12" s="109">
        <v>0</v>
      </c>
      <c r="AF12" s="109">
        <v>0</v>
      </c>
      <c r="AG12" s="109">
        <v>0</v>
      </c>
      <c r="AH12" s="109">
        <v>34.6</v>
      </c>
      <c r="AI12" s="110" t="s">
        <v>40</v>
      </c>
    </row>
    <row r="13" spans="2:35" x14ac:dyDescent="0.25">
      <c r="B13" s="100" t="s">
        <v>104</v>
      </c>
      <c r="C13" s="101" t="s">
        <v>56</v>
      </c>
      <c r="D13" s="111" t="s">
        <v>55</v>
      </c>
      <c r="E13" s="111">
        <v>0.2</v>
      </c>
      <c r="F13" s="111">
        <v>0.5</v>
      </c>
      <c r="G13" s="100" t="s">
        <v>40</v>
      </c>
      <c r="I13" s="103" t="s">
        <v>129</v>
      </c>
      <c r="J13" s="103">
        <v>27</v>
      </c>
      <c r="K13" s="103">
        <v>90</v>
      </c>
      <c r="L13" s="103">
        <v>0.03</v>
      </c>
      <c r="M13" s="103">
        <v>0.2</v>
      </c>
      <c r="N13" s="10" t="s">
        <v>53</v>
      </c>
      <c r="O13" s="6"/>
      <c r="Q13" s="98" t="s">
        <v>12</v>
      </c>
      <c r="R13" s="113">
        <v>1.02</v>
      </c>
      <c r="S13" s="98">
        <v>3.5999999999999999E-3</v>
      </c>
      <c r="T13" s="98">
        <f t="shared" si="0"/>
        <v>283.33333333333337</v>
      </c>
      <c r="W13" s="105" t="s">
        <v>113</v>
      </c>
      <c r="X13" s="106">
        <v>0</v>
      </c>
      <c r="Y13" s="106">
        <v>0</v>
      </c>
      <c r="Z13" s="106">
        <v>0</v>
      </c>
      <c r="AA13" s="106">
        <v>23.4</v>
      </c>
      <c r="AB13" s="107" t="s">
        <v>40</v>
      </c>
      <c r="AD13" s="108" t="s">
        <v>113</v>
      </c>
      <c r="AE13" s="109">
        <v>0</v>
      </c>
      <c r="AF13" s="109">
        <v>0</v>
      </c>
      <c r="AG13" s="109">
        <v>0</v>
      </c>
      <c r="AH13" s="109">
        <v>23.4</v>
      </c>
      <c r="AI13" s="110" t="s">
        <v>40</v>
      </c>
    </row>
    <row r="14" spans="2:35" x14ac:dyDescent="0.25">
      <c r="B14" s="100" t="s">
        <v>105</v>
      </c>
      <c r="C14" s="101" t="s">
        <v>56</v>
      </c>
      <c r="D14" s="111" t="s">
        <v>55</v>
      </c>
      <c r="E14" s="111">
        <v>0.1</v>
      </c>
      <c r="F14" s="111">
        <v>0.5</v>
      </c>
      <c r="G14" s="100" t="s">
        <v>40</v>
      </c>
      <c r="I14" s="103" t="s">
        <v>25</v>
      </c>
      <c r="J14" s="103">
        <v>4.0000000000000001E-3</v>
      </c>
      <c r="K14" s="103">
        <v>234</v>
      </c>
      <c r="L14" s="103">
        <v>0</v>
      </c>
      <c r="M14" s="103">
        <v>0.03</v>
      </c>
      <c r="N14" s="10" t="s">
        <v>24</v>
      </c>
      <c r="O14" s="6"/>
      <c r="Q14" s="98" t="s">
        <v>13</v>
      </c>
      <c r="R14" s="113">
        <v>0.15</v>
      </c>
      <c r="S14" s="98">
        <v>3.5999999999999999E-3</v>
      </c>
      <c r="T14" s="98">
        <f t="shared" si="0"/>
        <v>41.666666666666664</v>
      </c>
      <c r="V14" s="2" t="s">
        <v>198</v>
      </c>
      <c r="W14" s="105" t="s">
        <v>164</v>
      </c>
      <c r="X14" s="106">
        <v>0</v>
      </c>
      <c r="Y14" s="106">
        <v>0</v>
      </c>
      <c r="Z14" s="106">
        <v>0</v>
      </c>
      <c r="AA14" s="106">
        <v>12.2</v>
      </c>
      <c r="AB14" s="107" t="s">
        <v>53</v>
      </c>
      <c r="AC14" s="2" t="s">
        <v>198</v>
      </c>
      <c r="AD14" s="108" t="s">
        <v>164</v>
      </c>
      <c r="AE14" s="109">
        <v>0</v>
      </c>
      <c r="AF14" s="109">
        <v>0</v>
      </c>
      <c r="AG14" s="109">
        <v>0</v>
      </c>
      <c r="AH14" s="109">
        <v>12.2</v>
      </c>
      <c r="AI14" s="110" t="s">
        <v>53</v>
      </c>
    </row>
    <row r="15" spans="2:35" x14ac:dyDescent="0.25">
      <c r="B15" s="100" t="s">
        <v>106</v>
      </c>
      <c r="C15" s="101" t="s">
        <v>56</v>
      </c>
      <c r="D15" s="111" t="s">
        <v>55</v>
      </c>
      <c r="E15" s="111" t="s">
        <v>87</v>
      </c>
      <c r="F15" s="111">
        <v>0.5</v>
      </c>
      <c r="G15" s="100" t="s">
        <v>40</v>
      </c>
      <c r="I15" s="103" t="s">
        <v>130</v>
      </c>
      <c r="J15" s="103">
        <v>10.199999999999999</v>
      </c>
      <c r="K15" s="103">
        <v>93.5</v>
      </c>
      <c r="L15" s="103">
        <v>0.02</v>
      </c>
      <c r="M15" s="103">
        <v>0.4</v>
      </c>
      <c r="N15" s="10" t="s">
        <v>53</v>
      </c>
      <c r="O15" s="6"/>
      <c r="Q15" s="98" t="s">
        <v>14</v>
      </c>
      <c r="R15" s="113">
        <v>0.44</v>
      </c>
      <c r="S15" s="98">
        <v>3.5999999999999999E-3</v>
      </c>
      <c r="T15" s="98">
        <f t="shared" si="0"/>
        <v>122.22222222222223</v>
      </c>
      <c r="W15" s="105" t="s">
        <v>128</v>
      </c>
      <c r="X15" s="106">
        <v>0</v>
      </c>
      <c r="Y15" s="106">
        <v>0</v>
      </c>
      <c r="Z15" s="106">
        <v>0</v>
      </c>
      <c r="AA15" s="106">
        <v>43.2</v>
      </c>
      <c r="AB15" s="107" t="s">
        <v>53</v>
      </c>
      <c r="AD15" s="114" t="s">
        <v>176</v>
      </c>
      <c r="AE15" s="115">
        <v>0</v>
      </c>
      <c r="AF15" s="115">
        <v>0</v>
      </c>
      <c r="AG15" s="115">
        <v>0</v>
      </c>
      <c r="AH15" s="114">
        <v>43.2</v>
      </c>
      <c r="AI15" s="10" t="s">
        <v>53</v>
      </c>
    </row>
    <row r="16" spans="2:35" x14ac:dyDescent="0.25">
      <c r="B16" s="100" t="s">
        <v>115</v>
      </c>
      <c r="C16" s="101" t="s">
        <v>57</v>
      </c>
      <c r="D16" s="111">
        <v>0</v>
      </c>
      <c r="E16" s="111">
        <v>0.2</v>
      </c>
      <c r="F16" s="111">
        <v>0.2</v>
      </c>
      <c r="G16" s="100" t="s">
        <v>40</v>
      </c>
      <c r="I16" s="103" t="s">
        <v>96</v>
      </c>
      <c r="J16" s="103">
        <v>31.1</v>
      </c>
      <c r="K16" s="103">
        <v>0</v>
      </c>
      <c r="L16" s="103">
        <v>4.8</v>
      </c>
      <c r="M16" s="103">
        <v>1.1000000000000001</v>
      </c>
      <c r="N16" s="10" t="s">
        <v>53</v>
      </c>
      <c r="O16" s="6"/>
      <c r="Q16" s="98" t="s">
        <v>15</v>
      </c>
      <c r="R16" s="113">
        <v>0.69</v>
      </c>
      <c r="S16" s="98">
        <v>3.5999999999999999E-3</v>
      </c>
      <c r="T16" s="98">
        <f t="shared" si="0"/>
        <v>191.66666666666666</v>
      </c>
      <c r="W16" s="105" t="s">
        <v>129</v>
      </c>
      <c r="X16" s="106">
        <v>0</v>
      </c>
      <c r="Y16" s="106">
        <v>0</v>
      </c>
      <c r="Z16" s="106">
        <v>0</v>
      </c>
      <c r="AA16" s="106">
        <v>27</v>
      </c>
      <c r="AB16" s="107" t="s">
        <v>53</v>
      </c>
      <c r="AD16" s="108" t="s">
        <v>128</v>
      </c>
      <c r="AE16" s="109">
        <v>0</v>
      </c>
      <c r="AF16" s="109">
        <v>0</v>
      </c>
      <c r="AG16" s="109">
        <v>0</v>
      </c>
      <c r="AH16" s="109">
        <v>43.2</v>
      </c>
      <c r="AI16" s="110" t="s">
        <v>53</v>
      </c>
    </row>
    <row r="17" spans="2:35" x14ac:dyDescent="0.25">
      <c r="B17" s="100" t="s">
        <v>107</v>
      </c>
      <c r="C17" s="101" t="s">
        <v>57</v>
      </c>
      <c r="D17" s="111">
        <v>0</v>
      </c>
      <c r="E17" s="111" t="s">
        <v>83</v>
      </c>
      <c r="F17" s="111" t="s">
        <v>84</v>
      </c>
      <c r="G17" s="100" t="s">
        <v>40</v>
      </c>
      <c r="I17" s="103" t="s">
        <v>97</v>
      </c>
      <c r="J17" s="103">
        <v>22.1</v>
      </c>
      <c r="K17" s="103">
        <v>95</v>
      </c>
      <c r="L17" s="103">
        <v>7.0000000000000007E-2</v>
      </c>
      <c r="M17" s="103">
        <v>0.3</v>
      </c>
      <c r="N17" s="10" t="s">
        <v>53</v>
      </c>
      <c r="O17" s="6"/>
      <c r="Q17" s="98" t="s">
        <v>16</v>
      </c>
      <c r="R17" s="113">
        <v>0.63</v>
      </c>
      <c r="S17" s="98">
        <v>3.5999999999999999E-3</v>
      </c>
      <c r="T17" s="98">
        <f t="shared" si="0"/>
        <v>175</v>
      </c>
      <c r="W17" s="105" t="s">
        <v>25</v>
      </c>
      <c r="X17" s="106">
        <v>0</v>
      </c>
      <c r="Y17" s="106">
        <v>0</v>
      </c>
      <c r="Z17" s="106">
        <v>0</v>
      </c>
      <c r="AA17" s="106">
        <v>4.0000000000000001E-3</v>
      </c>
      <c r="AB17" s="107" t="s">
        <v>24</v>
      </c>
      <c r="AD17" s="108" t="s">
        <v>129</v>
      </c>
      <c r="AE17" s="109">
        <v>0</v>
      </c>
      <c r="AF17" s="109">
        <v>0</v>
      </c>
      <c r="AG17" s="109">
        <v>0</v>
      </c>
      <c r="AH17" s="109">
        <v>27</v>
      </c>
      <c r="AI17" s="110" t="s">
        <v>53</v>
      </c>
    </row>
    <row r="18" spans="2:35" x14ac:dyDescent="0.25">
      <c r="B18" s="100" t="s">
        <v>58</v>
      </c>
      <c r="C18" s="101" t="s">
        <v>60</v>
      </c>
      <c r="D18" s="102" t="s">
        <v>59</v>
      </c>
      <c r="E18" s="102" t="s">
        <v>49</v>
      </c>
      <c r="F18" s="102">
        <v>0.6</v>
      </c>
      <c r="G18" s="100" t="s">
        <v>40</v>
      </c>
      <c r="I18" s="103" t="s">
        <v>132</v>
      </c>
      <c r="J18" s="103">
        <v>27</v>
      </c>
      <c r="K18" s="103">
        <v>107</v>
      </c>
      <c r="L18" s="103">
        <v>0.04</v>
      </c>
      <c r="M18" s="103">
        <v>0.2</v>
      </c>
      <c r="N18" s="10" t="s">
        <v>53</v>
      </c>
      <c r="O18" s="6"/>
      <c r="Q18" s="98" t="s">
        <v>17</v>
      </c>
      <c r="R18" s="113">
        <v>0.81</v>
      </c>
      <c r="S18" s="98">
        <v>3.5999999999999999E-3</v>
      </c>
      <c r="T18" s="98">
        <f t="shared" si="0"/>
        <v>225.00000000000003</v>
      </c>
      <c r="W18" s="105" t="s">
        <v>130</v>
      </c>
      <c r="X18" s="106">
        <v>0</v>
      </c>
      <c r="Y18" s="106">
        <v>0</v>
      </c>
      <c r="Z18" s="106">
        <v>0</v>
      </c>
      <c r="AA18" s="106">
        <v>10.199999999999999</v>
      </c>
      <c r="AB18" s="107" t="s">
        <v>53</v>
      </c>
      <c r="AD18" s="108" t="s">
        <v>25</v>
      </c>
      <c r="AE18" s="109">
        <v>0</v>
      </c>
      <c r="AF18" s="109">
        <v>0</v>
      </c>
      <c r="AG18" s="109">
        <v>0</v>
      </c>
      <c r="AH18" s="109">
        <v>4.0000000000000001E-3</v>
      </c>
      <c r="AI18" s="110" t="s">
        <v>24</v>
      </c>
    </row>
    <row r="19" spans="2:35" x14ac:dyDescent="0.25">
      <c r="B19" s="100" t="s">
        <v>171</v>
      </c>
      <c r="C19" s="101" t="s">
        <v>62</v>
      </c>
      <c r="D19" s="102" t="s">
        <v>61</v>
      </c>
      <c r="E19" s="102">
        <v>0.02</v>
      </c>
      <c r="F19" s="102">
        <v>0.2</v>
      </c>
      <c r="G19" s="100" t="s">
        <v>40</v>
      </c>
      <c r="I19" s="103" t="s">
        <v>26</v>
      </c>
      <c r="J19" s="103">
        <v>3.7699999999999997E-2</v>
      </c>
      <c r="K19" s="103">
        <v>51.9</v>
      </c>
      <c r="L19" s="103">
        <v>4.0999999999999996</v>
      </c>
      <c r="M19" s="103">
        <v>0.03</v>
      </c>
      <c r="N19" s="10" t="s">
        <v>24</v>
      </c>
      <c r="O19" s="6"/>
      <c r="Q19" s="98" t="s">
        <v>18</v>
      </c>
      <c r="R19" s="113">
        <v>0.63</v>
      </c>
      <c r="S19" s="98">
        <v>3.5999999999999999E-3</v>
      </c>
      <c r="T19" s="98">
        <f t="shared" si="0"/>
        <v>175</v>
      </c>
      <c r="W19" s="105" t="s">
        <v>131</v>
      </c>
      <c r="X19" s="106">
        <v>0</v>
      </c>
      <c r="Y19" s="106">
        <v>0</v>
      </c>
      <c r="Z19" s="106">
        <v>0</v>
      </c>
      <c r="AA19" s="106">
        <v>37.1</v>
      </c>
      <c r="AB19" s="107" t="s">
        <v>53</v>
      </c>
      <c r="AD19" s="108" t="s">
        <v>130</v>
      </c>
      <c r="AE19" s="109">
        <v>0</v>
      </c>
      <c r="AF19" s="109">
        <v>0</v>
      </c>
      <c r="AG19" s="109">
        <v>0</v>
      </c>
      <c r="AH19" s="109">
        <v>10.199999999999999</v>
      </c>
      <c r="AI19" s="110" t="s">
        <v>53</v>
      </c>
    </row>
    <row r="20" spans="2:35" x14ac:dyDescent="0.25">
      <c r="B20" s="100" t="s">
        <v>138</v>
      </c>
      <c r="C20" s="101" t="s">
        <v>62</v>
      </c>
      <c r="D20" s="102" t="s">
        <v>61</v>
      </c>
      <c r="E20" s="102" t="s">
        <v>88</v>
      </c>
      <c r="F20" s="102" t="s">
        <v>89</v>
      </c>
      <c r="G20" s="100" t="s">
        <v>40</v>
      </c>
      <c r="I20" s="103" t="s">
        <v>27</v>
      </c>
      <c r="J20" s="103">
        <v>3.7699999999999997E-2</v>
      </c>
      <c r="K20" s="103">
        <v>51.4</v>
      </c>
      <c r="L20" s="103">
        <v>0.2</v>
      </c>
      <c r="M20" s="103">
        <v>0.03</v>
      </c>
      <c r="N20" s="10" t="s">
        <v>24</v>
      </c>
      <c r="O20" s="6"/>
      <c r="W20" s="105" t="s">
        <v>96</v>
      </c>
      <c r="X20" s="106">
        <v>0</v>
      </c>
      <c r="Y20" s="106">
        <v>0</v>
      </c>
      <c r="Z20" s="106">
        <v>0</v>
      </c>
      <c r="AA20" s="106">
        <v>31.1</v>
      </c>
      <c r="AB20" s="107" t="s">
        <v>53</v>
      </c>
      <c r="AD20" s="108" t="s">
        <v>131</v>
      </c>
      <c r="AE20" s="109">
        <v>0</v>
      </c>
      <c r="AF20" s="109">
        <v>0</v>
      </c>
      <c r="AG20" s="109">
        <v>0</v>
      </c>
      <c r="AH20" s="109">
        <v>37.1</v>
      </c>
      <c r="AI20" s="110" t="s">
        <v>53</v>
      </c>
    </row>
    <row r="21" spans="2:35" x14ac:dyDescent="0.25">
      <c r="B21" s="100" t="s">
        <v>172</v>
      </c>
      <c r="C21" s="101" t="s">
        <v>64</v>
      </c>
      <c r="D21" s="102" t="s">
        <v>63</v>
      </c>
      <c r="E21" s="102" t="s">
        <v>30</v>
      </c>
      <c r="F21" s="102">
        <v>0.7</v>
      </c>
      <c r="G21" s="100" t="s">
        <v>40</v>
      </c>
      <c r="I21" s="103" t="s">
        <v>133</v>
      </c>
      <c r="J21" s="103">
        <v>37.5</v>
      </c>
      <c r="K21" s="103">
        <v>81.8</v>
      </c>
      <c r="L21" s="103">
        <v>0.03</v>
      </c>
      <c r="M21" s="103">
        <v>0.2</v>
      </c>
      <c r="N21" s="10" t="s">
        <v>53</v>
      </c>
      <c r="O21" s="6"/>
      <c r="W21" s="105" t="s">
        <v>97</v>
      </c>
      <c r="X21" s="106">
        <v>0</v>
      </c>
      <c r="Y21" s="106">
        <v>0</v>
      </c>
      <c r="Z21" s="106">
        <v>0</v>
      </c>
      <c r="AA21" s="106">
        <v>22.1</v>
      </c>
      <c r="AB21" s="107" t="s">
        <v>53</v>
      </c>
      <c r="AD21" s="108" t="s">
        <v>96</v>
      </c>
      <c r="AE21" s="109">
        <v>0</v>
      </c>
      <c r="AF21" s="109">
        <v>0</v>
      </c>
      <c r="AG21" s="109">
        <v>0</v>
      </c>
      <c r="AH21" s="109">
        <v>31.1</v>
      </c>
      <c r="AI21" s="110" t="s">
        <v>53</v>
      </c>
    </row>
    <row r="22" spans="2:35" x14ac:dyDescent="0.25">
      <c r="B22" s="100" t="s">
        <v>108</v>
      </c>
      <c r="C22" s="101" t="s">
        <v>68</v>
      </c>
      <c r="D22" s="102" t="s">
        <v>51</v>
      </c>
      <c r="E22" s="102">
        <v>0.01</v>
      </c>
      <c r="F22" s="102" t="s">
        <v>85</v>
      </c>
      <c r="G22" s="100" t="s">
        <v>40</v>
      </c>
      <c r="I22" s="103" t="s">
        <v>29</v>
      </c>
      <c r="J22" s="103">
        <v>1.8100000000000002E-2</v>
      </c>
      <c r="K22" s="103">
        <v>37</v>
      </c>
      <c r="L22" s="103">
        <v>0.03</v>
      </c>
      <c r="M22" s="103">
        <v>0.05</v>
      </c>
      <c r="N22" s="10" t="s">
        <v>24</v>
      </c>
      <c r="O22" s="6"/>
      <c r="W22" s="105" t="s">
        <v>132</v>
      </c>
      <c r="X22" s="106">
        <v>0</v>
      </c>
      <c r="Y22" s="106">
        <v>0</v>
      </c>
      <c r="Z22" s="106">
        <v>0</v>
      </c>
      <c r="AA22" s="106">
        <v>27</v>
      </c>
      <c r="AB22" s="107" t="s">
        <v>53</v>
      </c>
      <c r="AD22" s="108" t="s">
        <v>97</v>
      </c>
      <c r="AE22" s="109">
        <v>0</v>
      </c>
      <c r="AF22" s="109">
        <v>0</v>
      </c>
      <c r="AG22" s="109">
        <v>0</v>
      </c>
      <c r="AH22" s="109">
        <v>22.1</v>
      </c>
      <c r="AI22" s="110" t="s">
        <v>53</v>
      </c>
    </row>
    <row r="23" spans="2:35" x14ac:dyDescent="0.25">
      <c r="B23" s="100" t="s">
        <v>109</v>
      </c>
      <c r="C23" s="101" t="s">
        <v>39</v>
      </c>
      <c r="D23" s="102" t="s">
        <v>28</v>
      </c>
      <c r="E23" s="102" t="s">
        <v>46</v>
      </c>
      <c r="F23" s="102">
        <v>0.3</v>
      </c>
      <c r="G23" s="100" t="s">
        <v>40</v>
      </c>
      <c r="I23" s="103" t="s">
        <v>134</v>
      </c>
      <c r="J23" s="103">
        <v>30</v>
      </c>
      <c r="K23" s="103">
        <v>91.8</v>
      </c>
      <c r="L23" s="103">
        <v>0.02</v>
      </c>
      <c r="M23" s="103">
        <v>0.2</v>
      </c>
      <c r="N23" s="10" t="s">
        <v>53</v>
      </c>
      <c r="O23" s="6"/>
      <c r="W23" s="105" t="s">
        <v>26</v>
      </c>
      <c r="X23" s="106">
        <v>0</v>
      </c>
      <c r="Y23" s="106">
        <v>0</v>
      </c>
      <c r="Z23" s="106">
        <v>0</v>
      </c>
      <c r="AA23" s="106">
        <v>3.7699999999999997E-2</v>
      </c>
      <c r="AB23" s="107" t="s">
        <v>24</v>
      </c>
      <c r="AD23" s="108" t="s">
        <v>132</v>
      </c>
      <c r="AE23" s="109">
        <v>0</v>
      </c>
      <c r="AF23" s="109">
        <v>0</v>
      </c>
      <c r="AG23" s="109">
        <v>0</v>
      </c>
      <c r="AH23" s="109">
        <v>27</v>
      </c>
      <c r="AI23" s="110" t="s">
        <v>53</v>
      </c>
    </row>
    <row r="24" spans="2:35" x14ac:dyDescent="0.25">
      <c r="B24" s="100" t="s">
        <v>110</v>
      </c>
      <c r="C24" s="101" t="s">
        <v>39</v>
      </c>
      <c r="D24" s="102" t="s">
        <v>28</v>
      </c>
      <c r="E24" s="102" t="s">
        <v>47</v>
      </c>
      <c r="F24" s="102">
        <v>0.3</v>
      </c>
      <c r="G24" s="100" t="s">
        <v>40</v>
      </c>
      <c r="I24" s="103" t="s">
        <v>167</v>
      </c>
      <c r="J24" s="103">
        <v>3.9300000000000002E-2</v>
      </c>
      <c r="K24" s="103">
        <v>51.4</v>
      </c>
      <c r="L24" s="103">
        <v>0.1</v>
      </c>
      <c r="M24" s="103">
        <v>0.03</v>
      </c>
      <c r="N24" s="10" t="s">
        <v>24</v>
      </c>
      <c r="O24" s="6"/>
      <c r="W24" s="105" t="s">
        <v>27</v>
      </c>
      <c r="X24" s="106">
        <v>0</v>
      </c>
      <c r="Y24" s="106">
        <v>0</v>
      </c>
      <c r="Z24" s="106">
        <v>0</v>
      </c>
      <c r="AA24" s="106">
        <v>3.7699999999999997E-2</v>
      </c>
      <c r="AB24" s="107" t="s">
        <v>24</v>
      </c>
      <c r="AD24" s="108" t="s">
        <v>26</v>
      </c>
      <c r="AE24" s="109">
        <v>0</v>
      </c>
      <c r="AF24" s="109">
        <v>0</v>
      </c>
      <c r="AG24" s="109">
        <v>0</v>
      </c>
      <c r="AH24" s="109">
        <v>3.7699999999999997E-2</v>
      </c>
      <c r="AI24" s="110" t="s">
        <v>24</v>
      </c>
    </row>
    <row r="25" spans="2:35" x14ac:dyDescent="0.25">
      <c r="B25" s="100" t="s">
        <v>116</v>
      </c>
      <c r="C25" s="101" t="s">
        <v>91</v>
      </c>
      <c r="D25" s="102" t="s">
        <v>43</v>
      </c>
      <c r="E25" s="102" t="s">
        <v>90</v>
      </c>
      <c r="F25" s="102">
        <v>0.3</v>
      </c>
      <c r="G25" s="100" t="s">
        <v>40</v>
      </c>
      <c r="I25" s="103" t="s">
        <v>50</v>
      </c>
      <c r="J25" s="103">
        <v>45.3</v>
      </c>
      <c r="K25" s="103">
        <v>69.599999999999994</v>
      </c>
      <c r="L25" s="103">
        <v>0.1</v>
      </c>
      <c r="M25" s="103">
        <v>0.2</v>
      </c>
      <c r="N25" s="10" t="s">
        <v>53</v>
      </c>
      <c r="O25" s="6"/>
      <c r="W25" s="105" t="s">
        <v>133</v>
      </c>
      <c r="X25" s="106">
        <v>0</v>
      </c>
      <c r="Y25" s="106">
        <v>0</v>
      </c>
      <c r="Z25" s="106">
        <v>0</v>
      </c>
      <c r="AA25" s="106">
        <v>37.5</v>
      </c>
      <c r="AB25" s="107" t="s">
        <v>53</v>
      </c>
      <c r="AD25" s="108" t="s">
        <v>27</v>
      </c>
      <c r="AE25" s="109">
        <v>0</v>
      </c>
      <c r="AF25" s="109">
        <v>0</v>
      </c>
      <c r="AG25" s="109">
        <v>0</v>
      </c>
      <c r="AH25" s="109">
        <v>3.7699999999999997E-2</v>
      </c>
      <c r="AI25" s="110" t="s">
        <v>24</v>
      </c>
    </row>
    <row r="26" spans="2:35" x14ac:dyDescent="0.25">
      <c r="B26" s="100" t="s">
        <v>71</v>
      </c>
      <c r="C26" s="101" t="s">
        <v>91</v>
      </c>
      <c r="D26" s="102" t="s">
        <v>43</v>
      </c>
      <c r="E26" s="102">
        <v>0.6</v>
      </c>
      <c r="F26" s="102" t="s">
        <v>83</v>
      </c>
      <c r="G26" s="100" t="s">
        <v>40</v>
      </c>
      <c r="I26" s="103" t="s">
        <v>54</v>
      </c>
      <c r="J26" s="103">
        <v>38.6</v>
      </c>
      <c r="K26" s="103">
        <v>69.900000000000006</v>
      </c>
      <c r="L26" s="103">
        <v>0.1</v>
      </c>
      <c r="M26" s="103">
        <v>0.2</v>
      </c>
      <c r="N26" s="10" t="s">
        <v>40</v>
      </c>
      <c r="O26" s="6"/>
      <c r="W26" s="105" t="s">
        <v>29</v>
      </c>
      <c r="X26" s="106">
        <v>0</v>
      </c>
      <c r="Y26" s="106">
        <v>0</v>
      </c>
      <c r="Z26" s="106">
        <v>0</v>
      </c>
      <c r="AA26" s="106">
        <v>1.8100000000000002E-2</v>
      </c>
      <c r="AB26" s="107" t="s">
        <v>24</v>
      </c>
      <c r="AD26" s="108" t="s">
        <v>133</v>
      </c>
      <c r="AE26" s="109">
        <v>0</v>
      </c>
      <c r="AF26" s="109">
        <v>0</v>
      </c>
      <c r="AG26" s="109">
        <v>0</v>
      </c>
      <c r="AH26" s="109">
        <v>37.5</v>
      </c>
      <c r="AI26" s="110" t="s">
        <v>53</v>
      </c>
    </row>
    <row r="27" spans="2:35" x14ac:dyDescent="0.25">
      <c r="B27" s="116" t="s">
        <v>111</v>
      </c>
      <c r="C27" s="117" t="s">
        <v>32</v>
      </c>
      <c r="D27" s="117" t="s">
        <v>28</v>
      </c>
      <c r="E27" s="117" t="s">
        <v>46</v>
      </c>
      <c r="F27" s="117">
        <v>0.3</v>
      </c>
      <c r="G27" s="118" t="s">
        <v>24</v>
      </c>
      <c r="H27" s="119"/>
      <c r="I27" s="103" t="s">
        <v>98</v>
      </c>
      <c r="J27" s="103">
        <v>16.2</v>
      </c>
      <c r="K27" s="103">
        <v>0</v>
      </c>
      <c r="L27" s="103">
        <v>0.1</v>
      </c>
      <c r="M27" s="103">
        <v>1.2</v>
      </c>
      <c r="N27" s="10" t="s">
        <v>53</v>
      </c>
      <c r="O27" s="6"/>
      <c r="W27" s="105" t="s">
        <v>134</v>
      </c>
      <c r="X27" s="106">
        <v>0</v>
      </c>
      <c r="Y27" s="106">
        <v>0</v>
      </c>
      <c r="Z27" s="106">
        <v>0</v>
      </c>
      <c r="AA27" s="106">
        <v>30</v>
      </c>
      <c r="AB27" s="107" t="s">
        <v>53</v>
      </c>
      <c r="AD27" s="108" t="s">
        <v>29</v>
      </c>
      <c r="AE27" s="109">
        <v>0</v>
      </c>
      <c r="AF27" s="109">
        <v>0</v>
      </c>
      <c r="AG27" s="109">
        <v>0</v>
      </c>
      <c r="AH27" s="109">
        <v>1.8100000000000002E-2</v>
      </c>
      <c r="AI27" s="110" t="s">
        <v>24</v>
      </c>
    </row>
    <row r="28" spans="2:35" x14ac:dyDescent="0.25">
      <c r="B28" s="116" t="s">
        <v>111</v>
      </c>
      <c r="C28" s="117" t="s">
        <v>32</v>
      </c>
      <c r="D28" s="117" t="s">
        <v>28</v>
      </c>
      <c r="E28" s="117" t="s">
        <v>46</v>
      </c>
      <c r="F28" s="117">
        <v>0.3</v>
      </c>
      <c r="G28" s="118" t="s">
        <v>24</v>
      </c>
      <c r="H28" s="119"/>
      <c r="I28" s="103" t="s">
        <v>33</v>
      </c>
      <c r="J28" s="103">
        <v>6.2899999999999998E-2</v>
      </c>
      <c r="K28" s="103">
        <v>56.5</v>
      </c>
      <c r="L28" s="103">
        <v>0.03</v>
      </c>
      <c r="M28" s="103">
        <v>0.03</v>
      </c>
      <c r="N28" s="10" t="s">
        <v>24</v>
      </c>
      <c r="O28" s="6"/>
      <c r="W28" s="105" t="s">
        <v>31</v>
      </c>
      <c r="X28" s="106">
        <v>0</v>
      </c>
      <c r="Y28" s="106">
        <v>0</v>
      </c>
      <c r="Z28" s="106">
        <v>0</v>
      </c>
      <c r="AA28" s="106">
        <v>3.9899999999999998E-2</v>
      </c>
      <c r="AB28" s="107" t="s">
        <v>24</v>
      </c>
      <c r="AD28" s="108" t="s">
        <v>134</v>
      </c>
      <c r="AE28" s="109">
        <v>0</v>
      </c>
      <c r="AF28" s="109">
        <v>0</v>
      </c>
      <c r="AG28" s="109">
        <v>0</v>
      </c>
      <c r="AH28" s="109">
        <v>30</v>
      </c>
      <c r="AI28" s="110" t="s">
        <v>53</v>
      </c>
    </row>
    <row r="29" spans="2:35" x14ac:dyDescent="0.25">
      <c r="B29" s="116"/>
      <c r="C29" s="120"/>
      <c r="D29" s="116"/>
      <c r="E29" s="120"/>
      <c r="F29" s="120"/>
      <c r="G29" s="121"/>
      <c r="H29" s="122"/>
      <c r="I29" s="103" t="s">
        <v>135</v>
      </c>
      <c r="J29" s="103">
        <v>23.4</v>
      </c>
      <c r="K29" s="103">
        <v>0</v>
      </c>
      <c r="L29" s="103">
        <v>7.0000000000000007E-2</v>
      </c>
      <c r="M29" s="103">
        <v>0.2</v>
      </c>
      <c r="N29" s="10" t="s">
        <v>40</v>
      </c>
      <c r="O29" s="6"/>
      <c r="W29" s="105" t="s">
        <v>50</v>
      </c>
      <c r="X29" s="106">
        <v>0</v>
      </c>
      <c r="Y29" s="106">
        <v>0</v>
      </c>
      <c r="Z29" s="106">
        <v>0</v>
      </c>
      <c r="AA29" s="106" t="s">
        <v>52</v>
      </c>
      <c r="AB29" s="107" t="s">
        <v>53</v>
      </c>
      <c r="AD29" s="108" t="s">
        <v>31</v>
      </c>
      <c r="AE29" s="109">
        <v>0</v>
      </c>
      <c r="AF29" s="109">
        <v>0</v>
      </c>
      <c r="AG29" s="109">
        <v>0</v>
      </c>
      <c r="AH29" s="109">
        <v>3.9899999999999998E-2</v>
      </c>
      <c r="AI29" s="110" t="s">
        <v>24</v>
      </c>
    </row>
    <row r="30" spans="2:35" x14ac:dyDescent="0.25">
      <c r="B30" s="116"/>
      <c r="C30" s="120"/>
      <c r="D30" s="116"/>
      <c r="E30" s="120"/>
      <c r="F30" s="120"/>
      <c r="G30" s="121"/>
      <c r="H30" s="122"/>
      <c r="I30" s="103" t="s">
        <v>58</v>
      </c>
      <c r="J30" s="103">
        <v>39.700000000000003</v>
      </c>
      <c r="K30" s="103">
        <v>73.599999999999994</v>
      </c>
      <c r="L30" s="103">
        <v>0.04</v>
      </c>
      <c r="M30" s="103">
        <v>0.2</v>
      </c>
      <c r="N30" s="10" t="s">
        <v>40</v>
      </c>
      <c r="O30" s="6"/>
      <c r="W30" s="105" t="s">
        <v>54</v>
      </c>
      <c r="X30" s="106">
        <v>0</v>
      </c>
      <c r="Y30" s="106">
        <v>0</v>
      </c>
      <c r="Z30" s="106">
        <v>0</v>
      </c>
      <c r="AA30" s="106" t="s">
        <v>56</v>
      </c>
      <c r="AB30" s="107" t="s">
        <v>40</v>
      </c>
      <c r="AD30" s="108" t="s">
        <v>50</v>
      </c>
      <c r="AE30" s="109">
        <v>0</v>
      </c>
      <c r="AF30" s="109">
        <v>0</v>
      </c>
      <c r="AG30" s="109">
        <v>0</v>
      </c>
      <c r="AH30" s="109" t="s">
        <v>52</v>
      </c>
      <c r="AI30" s="110" t="s">
        <v>53</v>
      </c>
    </row>
    <row r="31" spans="2:35" x14ac:dyDescent="0.25">
      <c r="B31" s="116"/>
      <c r="C31" s="120"/>
      <c r="D31" s="116"/>
      <c r="E31" s="120"/>
      <c r="F31" s="120"/>
      <c r="G31" s="121"/>
      <c r="H31" s="122"/>
      <c r="I31" s="103" t="s">
        <v>138</v>
      </c>
      <c r="J31" s="103">
        <v>34.200000000000003</v>
      </c>
      <c r="K31" s="103">
        <v>67.400000000000006</v>
      </c>
      <c r="L31" s="103">
        <v>0.2</v>
      </c>
      <c r="M31" s="103">
        <v>0.2</v>
      </c>
      <c r="N31" s="10" t="s">
        <v>40</v>
      </c>
      <c r="O31" s="6"/>
      <c r="W31" s="105" t="s">
        <v>98</v>
      </c>
      <c r="X31" s="106">
        <v>0</v>
      </c>
      <c r="Y31" s="106">
        <v>0</v>
      </c>
      <c r="Z31" s="106">
        <v>0</v>
      </c>
      <c r="AA31" s="106" t="s">
        <v>99</v>
      </c>
      <c r="AB31" s="107" t="s">
        <v>53</v>
      </c>
      <c r="AD31" s="108" t="s">
        <v>54</v>
      </c>
      <c r="AE31" s="109">
        <v>0</v>
      </c>
      <c r="AF31" s="109">
        <v>0</v>
      </c>
      <c r="AG31" s="109">
        <v>0</v>
      </c>
      <c r="AH31" s="109" t="s">
        <v>56</v>
      </c>
      <c r="AI31" s="110" t="s">
        <v>40</v>
      </c>
    </row>
    <row r="32" spans="2:35" x14ac:dyDescent="0.25">
      <c r="B32" s="116"/>
      <c r="C32" s="120"/>
      <c r="D32" s="116"/>
      <c r="E32" s="120"/>
      <c r="F32" s="120"/>
      <c r="G32" s="121"/>
      <c r="H32" s="122"/>
      <c r="I32" s="103" t="s">
        <v>169</v>
      </c>
      <c r="J32" s="103">
        <v>33.1</v>
      </c>
      <c r="K32" s="103">
        <v>67</v>
      </c>
      <c r="L32" s="103">
        <v>0.2</v>
      </c>
      <c r="M32" s="103">
        <v>0.2</v>
      </c>
      <c r="N32" s="10" t="s">
        <v>40</v>
      </c>
      <c r="O32" s="6"/>
      <c r="W32" s="11" t="s">
        <v>183</v>
      </c>
      <c r="X32" s="11">
        <v>0</v>
      </c>
      <c r="Y32" s="11">
        <v>0</v>
      </c>
      <c r="Z32" s="11">
        <v>0</v>
      </c>
      <c r="AA32" s="11">
        <v>3.5999999999999999E-3</v>
      </c>
      <c r="AB32" s="11" t="s">
        <v>23</v>
      </c>
      <c r="AD32" s="108" t="s">
        <v>98</v>
      </c>
      <c r="AE32" s="109">
        <v>0</v>
      </c>
      <c r="AF32" s="109">
        <v>0</v>
      </c>
      <c r="AG32" s="109">
        <v>0</v>
      </c>
      <c r="AH32" s="109" t="s">
        <v>99</v>
      </c>
      <c r="AI32" s="110" t="s">
        <v>53</v>
      </c>
    </row>
    <row r="33" spans="2:35" x14ac:dyDescent="0.25">
      <c r="B33" s="116"/>
      <c r="C33" s="120"/>
      <c r="D33" s="116"/>
      <c r="E33" s="120"/>
      <c r="F33" s="120"/>
      <c r="G33" s="121"/>
      <c r="H33" s="122"/>
      <c r="I33" s="103" t="s">
        <v>100</v>
      </c>
      <c r="J33" s="103">
        <v>10.4</v>
      </c>
      <c r="K33" s="103">
        <v>0</v>
      </c>
      <c r="L33" s="103">
        <v>0.1</v>
      </c>
      <c r="M33" s="103">
        <v>1.2</v>
      </c>
      <c r="N33" s="10" t="s">
        <v>53</v>
      </c>
      <c r="O33" s="6"/>
      <c r="W33" s="105" t="s">
        <v>33</v>
      </c>
      <c r="X33" s="106">
        <v>0</v>
      </c>
      <c r="Y33" s="106">
        <v>0</v>
      </c>
      <c r="Z33" s="106">
        <v>0</v>
      </c>
      <c r="AA33" s="106" t="s">
        <v>34</v>
      </c>
      <c r="AB33" s="107" t="s">
        <v>24</v>
      </c>
      <c r="AD33" s="108" t="s">
        <v>33</v>
      </c>
      <c r="AE33" s="109">
        <v>0</v>
      </c>
      <c r="AF33" s="109">
        <v>0</v>
      </c>
      <c r="AG33" s="109">
        <v>0</v>
      </c>
      <c r="AH33" s="109" t="s">
        <v>34</v>
      </c>
      <c r="AI33" s="110" t="s">
        <v>24</v>
      </c>
    </row>
    <row r="34" spans="2:35" x14ac:dyDescent="0.25">
      <c r="I34" s="103" t="s">
        <v>65</v>
      </c>
      <c r="J34" s="103">
        <v>37.299999999999997</v>
      </c>
      <c r="K34" s="103">
        <v>69.5</v>
      </c>
      <c r="L34" s="103">
        <v>0.03</v>
      </c>
      <c r="M34" s="103">
        <v>0.2</v>
      </c>
      <c r="N34" s="10" t="s">
        <v>40</v>
      </c>
      <c r="O34" s="6"/>
      <c r="W34" s="105" t="s">
        <v>135</v>
      </c>
      <c r="X34" s="106">
        <v>0</v>
      </c>
      <c r="Y34" s="106">
        <v>0</v>
      </c>
      <c r="Z34" s="106">
        <v>0</v>
      </c>
      <c r="AA34" s="106" t="s">
        <v>57</v>
      </c>
      <c r="AB34" s="107" t="s">
        <v>40</v>
      </c>
      <c r="AD34" s="108" t="s">
        <v>135</v>
      </c>
      <c r="AE34" s="109">
        <v>0</v>
      </c>
      <c r="AF34" s="109">
        <v>0</v>
      </c>
      <c r="AG34" s="109">
        <v>0</v>
      </c>
      <c r="AH34" s="109" t="s">
        <v>57</v>
      </c>
      <c r="AI34" s="110" t="s">
        <v>40</v>
      </c>
    </row>
    <row r="35" spans="2:35" x14ac:dyDescent="0.25">
      <c r="B35" s="2" t="s">
        <v>163</v>
      </c>
      <c r="I35" s="103" t="s">
        <v>166</v>
      </c>
      <c r="J35" s="103">
        <v>26.3</v>
      </c>
      <c r="K35" s="103">
        <v>81.599999999999994</v>
      </c>
      <c r="L35" s="103">
        <v>0.02</v>
      </c>
      <c r="M35" s="103">
        <v>0.2</v>
      </c>
      <c r="N35" s="10" t="s">
        <v>53</v>
      </c>
      <c r="O35" s="6"/>
      <c r="W35" s="105" t="s">
        <v>136</v>
      </c>
      <c r="X35" s="106">
        <v>0</v>
      </c>
      <c r="Y35" s="106">
        <v>0</v>
      </c>
      <c r="Z35" s="106">
        <v>0</v>
      </c>
      <c r="AA35" s="106" t="s">
        <v>137</v>
      </c>
      <c r="AB35" s="107" t="s">
        <v>53</v>
      </c>
      <c r="AD35" s="108" t="s">
        <v>136</v>
      </c>
      <c r="AE35" s="109">
        <v>0</v>
      </c>
      <c r="AF35" s="109">
        <v>0</v>
      </c>
      <c r="AG35" s="109">
        <v>0</v>
      </c>
      <c r="AH35" s="109" t="s">
        <v>137</v>
      </c>
      <c r="AI35" s="110" t="s">
        <v>53</v>
      </c>
    </row>
    <row r="36" spans="2:35" x14ac:dyDescent="0.25">
      <c r="I36" s="103" t="s">
        <v>142</v>
      </c>
      <c r="J36" s="103">
        <v>37.5</v>
      </c>
      <c r="K36" s="103">
        <v>68.900000000000006</v>
      </c>
      <c r="L36" s="103">
        <v>0</v>
      </c>
      <c r="M36" s="103">
        <v>0.2</v>
      </c>
      <c r="N36" s="10" t="s">
        <v>40</v>
      </c>
      <c r="O36" s="6"/>
      <c r="W36" s="105" t="s">
        <v>58</v>
      </c>
      <c r="X36" s="106">
        <v>0</v>
      </c>
      <c r="Y36" s="106">
        <v>0</v>
      </c>
      <c r="Z36" s="106">
        <v>0</v>
      </c>
      <c r="AA36" s="106" t="s">
        <v>60</v>
      </c>
      <c r="AB36" s="107" t="s">
        <v>40</v>
      </c>
      <c r="AD36" s="108" t="s">
        <v>58</v>
      </c>
      <c r="AE36" s="109">
        <v>0</v>
      </c>
      <c r="AF36" s="109">
        <v>0</v>
      </c>
      <c r="AG36" s="109">
        <v>0</v>
      </c>
      <c r="AH36" s="109" t="s">
        <v>60</v>
      </c>
      <c r="AI36" s="110" t="s">
        <v>40</v>
      </c>
    </row>
    <row r="37" spans="2:35" x14ac:dyDescent="0.25">
      <c r="I37" s="103" t="s">
        <v>143</v>
      </c>
      <c r="J37" s="103">
        <v>36.799999999999997</v>
      </c>
      <c r="K37" s="103">
        <v>69.599999999999994</v>
      </c>
      <c r="L37" s="103">
        <v>0.02</v>
      </c>
      <c r="M37" s="103">
        <v>0.2</v>
      </c>
      <c r="N37" s="10" t="s">
        <v>40</v>
      </c>
      <c r="O37" s="6"/>
      <c r="W37" s="105" t="s">
        <v>161</v>
      </c>
      <c r="X37" s="106">
        <v>0</v>
      </c>
      <c r="Y37" s="106">
        <v>0</v>
      </c>
      <c r="Z37" s="106">
        <v>0</v>
      </c>
      <c r="AA37" s="106" t="s">
        <v>32</v>
      </c>
      <c r="AB37" s="107" t="s">
        <v>24</v>
      </c>
      <c r="AD37" s="108" t="s">
        <v>161</v>
      </c>
      <c r="AE37" s="109">
        <v>0</v>
      </c>
      <c r="AF37" s="109">
        <v>0</v>
      </c>
      <c r="AG37" s="109">
        <v>0</v>
      </c>
      <c r="AH37" s="109" t="s">
        <v>32</v>
      </c>
      <c r="AI37" s="110" t="s">
        <v>24</v>
      </c>
    </row>
    <row r="38" spans="2:35" x14ac:dyDescent="0.25">
      <c r="I38" s="103" t="s">
        <v>36</v>
      </c>
      <c r="J38" s="103">
        <v>3.7699999999999997E-2</v>
      </c>
      <c r="K38" s="103">
        <v>0</v>
      </c>
      <c r="L38" s="103">
        <v>4.8</v>
      </c>
      <c r="M38" s="103">
        <v>0.03</v>
      </c>
      <c r="N38" s="10" t="s">
        <v>24</v>
      </c>
      <c r="O38" s="6"/>
      <c r="W38" s="105" t="s">
        <v>138</v>
      </c>
      <c r="X38" s="106">
        <v>0</v>
      </c>
      <c r="Y38" s="106">
        <v>0</v>
      </c>
      <c r="Z38" s="106">
        <v>0</v>
      </c>
      <c r="AA38" s="106" t="s">
        <v>62</v>
      </c>
      <c r="AB38" s="107" t="s">
        <v>40</v>
      </c>
      <c r="AD38" s="108" t="s">
        <v>138</v>
      </c>
      <c r="AE38" s="109">
        <v>0</v>
      </c>
      <c r="AF38" s="109">
        <v>0</v>
      </c>
      <c r="AG38" s="109">
        <v>0</v>
      </c>
      <c r="AH38" s="109" t="s">
        <v>62</v>
      </c>
      <c r="AI38" s="110" t="s">
        <v>40</v>
      </c>
    </row>
    <row r="39" spans="2:35" x14ac:dyDescent="0.25">
      <c r="I39" s="103" t="s">
        <v>69</v>
      </c>
      <c r="J39" s="103">
        <v>34.4</v>
      </c>
      <c r="K39" s="103">
        <v>69.7</v>
      </c>
      <c r="L39" s="103">
        <v>0.02</v>
      </c>
      <c r="M39" s="103">
        <v>0.2</v>
      </c>
      <c r="N39" s="10" t="s">
        <v>40</v>
      </c>
      <c r="O39" s="6"/>
      <c r="W39" s="105" t="s">
        <v>139</v>
      </c>
      <c r="X39" s="106">
        <v>0</v>
      </c>
      <c r="Y39" s="106">
        <v>0</v>
      </c>
      <c r="Z39" s="106">
        <v>0</v>
      </c>
      <c r="AA39" s="106" t="s">
        <v>64</v>
      </c>
      <c r="AB39" s="107" t="s">
        <v>40</v>
      </c>
      <c r="AD39" s="108" t="s">
        <v>139</v>
      </c>
      <c r="AE39" s="109">
        <v>0</v>
      </c>
      <c r="AF39" s="109">
        <v>0</v>
      </c>
      <c r="AG39" s="109">
        <v>0</v>
      </c>
      <c r="AH39" s="109" t="s">
        <v>64</v>
      </c>
      <c r="AI39" s="110" t="s">
        <v>40</v>
      </c>
    </row>
    <row r="40" spans="2:35" x14ac:dyDescent="0.25">
      <c r="I40" s="103" t="s">
        <v>38</v>
      </c>
      <c r="J40" s="103">
        <v>25.3</v>
      </c>
      <c r="K40" s="103">
        <v>51.4</v>
      </c>
      <c r="L40" s="103">
        <v>0.1</v>
      </c>
      <c r="M40" s="103">
        <v>0.03</v>
      </c>
      <c r="N40" s="10" t="s">
        <v>40</v>
      </c>
      <c r="O40" s="6"/>
      <c r="W40" s="105" t="s">
        <v>100</v>
      </c>
      <c r="X40" s="106">
        <v>0</v>
      </c>
      <c r="Y40" s="106">
        <v>0</v>
      </c>
      <c r="Z40" s="106">
        <v>0</v>
      </c>
      <c r="AA40" s="106" t="s">
        <v>101</v>
      </c>
      <c r="AB40" s="107" t="s">
        <v>53</v>
      </c>
      <c r="AD40" s="108" t="s">
        <v>100</v>
      </c>
      <c r="AE40" s="109">
        <v>0</v>
      </c>
      <c r="AF40" s="109">
        <v>0</v>
      </c>
      <c r="AG40" s="109">
        <v>0</v>
      </c>
      <c r="AH40" s="109" t="s">
        <v>101</v>
      </c>
      <c r="AI40" s="110" t="s">
        <v>53</v>
      </c>
    </row>
    <row r="41" spans="2:35" x14ac:dyDescent="0.25">
      <c r="I41" s="103" t="s">
        <v>71</v>
      </c>
      <c r="J41" s="103">
        <v>25.7</v>
      </c>
      <c r="K41" s="103">
        <v>60.2</v>
      </c>
      <c r="L41" s="103">
        <v>0.2</v>
      </c>
      <c r="M41" s="103">
        <v>0.2</v>
      </c>
      <c r="N41" s="10" t="s">
        <v>40</v>
      </c>
      <c r="O41" s="6"/>
      <c r="W41" s="105" t="s">
        <v>65</v>
      </c>
      <c r="X41" s="106">
        <v>0</v>
      </c>
      <c r="Y41" s="106">
        <v>0</v>
      </c>
      <c r="Z41" s="106">
        <v>0</v>
      </c>
      <c r="AA41" s="106" t="s">
        <v>66</v>
      </c>
      <c r="AB41" s="107" t="s">
        <v>40</v>
      </c>
      <c r="AD41" s="108" t="s">
        <v>65</v>
      </c>
      <c r="AE41" s="109">
        <v>0</v>
      </c>
      <c r="AF41" s="109">
        <v>0</v>
      </c>
      <c r="AG41" s="109">
        <v>0</v>
      </c>
      <c r="AH41" s="109" t="s">
        <v>66</v>
      </c>
      <c r="AI41" s="110" t="s">
        <v>40</v>
      </c>
    </row>
    <row r="42" spans="2:35" x14ac:dyDescent="0.25">
      <c r="I42" s="103" t="s">
        <v>73</v>
      </c>
      <c r="J42" s="103">
        <v>31.4</v>
      </c>
      <c r="K42" s="103">
        <v>69.8</v>
      </c>
      <c r="L42" s="103">
        <v>0</v>
      </c>
      <c r="M42" s="103">
        <v>0.01</v>
      </c>
      <c r="N42" s="10" t="s">
        <v>40</v>
      </c>
      <c r="O42" s="6"/>
      <c r="W42" s="105" t="s">
        <v>316</v>
      </c>
      <c r="X42" s="106">
        <v>0</v>
      </c>
      <c r="Y42" s="106">
        <v>0</v>
      </c>
      <c r="Z42" s="106">
        <v>0</v>
      </c>
      <c r="AA42" s="106" t="s">
        <v>141</v>
      </c>
      <c r="AB42" s="107" t="s">
        <v>53</v>
      </c>
      <c r="AD42" s="108" t="s">
        <v>316</v>
      </c>
      <c r="AE42" s="109">
        <v>0</v>
      </c>
      <c r="AF42" s="109">
        <v>0</v>
      </c>
      <c r="AG42" s="109">
        <v>0</v>
      </c>
      <c r="AH42" s="109" t="s">
        <v>141</v>
      </c>
      <c r="AI42" s="110" t="s">
        <v>53</v>
      </c>
    </row>
    <row r="43" spans="2:35" x14ac:dyDescent="0.25">
      <c r="I43" s="103" t="s">
        <v>41</v>
      </c>
      <c r="J43" s="103">
        <v>3.9300000000000002E-2</v>
      </c>
      <c r="K43" s="103">
        <v>51.4</v>
      </c>
      <c r="L43" s="103">
        <v>0.1</v>
      </c>
      <c r="M43" s="103">
        <v>0.03</v>
      </c>
      <c r="N43" s="10" t="s">
        <v>24</v>
      </c>
      <c r="O43" s="6"/>
      <c r="W43" s="105" t="s">
        <v>142</v>
      </c>
      <c r="X43" s="106">
        <v>0</v>
      </c>
      <c r="Y43" s="106">
        <v>0</v>
      </c>
      <c r="Z43" s="106">
        <v>0</v>
      </c>
      <c r="AA43" s="106" t="s">
        <v>67</v>
      </c>
      <c r="AB43" s="107" t="s">
        <v>40</v>
      </c>
      <c r="AD43" s="108" t="s">
        <v>142</v>
      </c>
      <c r="AE43" s="109">
        <v>0</v>
      </c>
      <c r="AF43" s="109">
        <v>0</v>
      </c>
      <c r="AG43" s="109">
        <v>0</v>
      </c>
      <c r="AH43" s="109" t="s">
        <v>67</v>
      </c>
      <c r="AI43" s="110" t="s">
        <v>40</v>
      </c>
    </row>
    <row r="44" spans="2:35" x14ac:dyDescent="0.25">
      <c r="I44" s="103" t="s">
        <v>165</v>
      </c>
      <c r="J44" s="103">
        <v>10.5</v>
      </c>
      <c r="K44" s="103">
        <v>87.1</v>
      </c>
      <c r="L44" s="103">
        <v>0.7</v>
      </c>
      <c r="M44" s="103">
        <v>1.1000000000000001</v>
      </c>
      <c r="N44" s="10" t="s">
        <v>53</v>
      </c>
      <c r="O44" s="6"/>
      <c r="W44" s="105" t="s">
        <v>143</v>
      </c>
      <c r="X44" s="106">
        <v>0</v>
      </c>
      <c r="Y44" s="106">
        <v>0</v>
      </c>
      <c r="Z44" s="106">
        <v>0</v>
      </c>
      <c r="AA44" s="106" t="s">
        <v>68</v>
      </c>
      <c r="AB44" s="107" t="s">
        <v>40</v>
      </c>
      <c r="AD44" s="108" t="s">
        <v>143</v>
      </c>
      <c r="AE44" s="109">
        <v>0</v>
      </c>
      <c r="AF44" s="109">
        <v>0</v>
      </c>
      <c r="AG44" s="109">
        <v>0</v>
      </c>
      <c r="AH44" s="109" t="s">
        <v>68</v>
      </c>
      <c r="AI44" s="110" t="s">
        <v>40</v>
      </c>
    </row>
    <row r="45" spans="2:35" x14ac:dyDescent="0.25">
      <c r="I45" s="103" t="s">
        <v>170</v>
      </c>
      <c r="J45" s="103">
        <v>23.4</v>
      </c>
      <c r="K45" s="103">
        <v>0</v>
      </c>
      <c r="L45" s="103">
        <v>7.0000000000000007E-2</v>
      </c>
      <c r="M45" s="103">
        <v>0.2</v>
      </c>
      <c r="N45" s="10" t="s">
        <v>40</v>
      </c>
      <c r="O45" s="6"/>
      <c r="W45" s="105" t="s">
        <v>36</v>
      </c>
      <c r="X45" s="106">
        <v>0</v>
      </c>
      <c r="Y45" s="106">
        <v>0</v>
      </c>
      <c r="Z45" s="106">
        <v>0</v>
      </c>
      <c r="AA45" s="106" t="s">
        <v>37</v>
      </c>
      <c r="AB45" s="107" t="s">
        <v>24</v>
      </c>
      <c r="AD45" s="108" t="s">
        <v>36</v>
      </c>
      <c r="AE45" s="109">
        <v>0</v>
      </c>
      <c r="AF45" s="109">
        <v>0</v>
      </c>
      <c r="AG45" s="109">
        <v>0</v>
      </c>
      <c r="AH45" s="109" t="s">
        <v>37</v>
      </c>
      <c r="AI45" s="110" t="s">
        <v>24</v>
      </c>
    </row>
    <row r="46" spans="2:35" x14ac:dyDescent="0.25">
      <c r="I46" s="103" t="s">
        <v>168</v>
      </c>
      <c r="J46" s="103">
        <v>3.7699999999999997E-2</v>
      </c>
      <c r="K46" s="103">
        <v>0</v>
      </c>
      <c r="L46" s="103">
        <v>4.8</v>
      </c>
      <c r="M46" s="103">
        <v>0.03</v>
      </c>
      <c r="N46" s="10" t="s">
        <v>24</v>
      </c>
      <c r="O46" s="6"/>
      <c r="W46" s="105" t="s">
        <v>69</v>
      </c>
      <c r="X46" s="106">
        <v>0</v>
      </c>
      <c r="Y46" s="106">
        <v>0</v>
      </c>
      <c r="Z46" s="106">
        <v>0</v>
      </c>
      <c r="AA46" s="106" t="s">
        <v>70</v>
      </c>
      <c r="AB46" s="107" t="s">
        <v>40</v>
      </c>
      <c r="AD46" s="108" t="s">
        <v>69</v>
      </c>
      <c r="AE46" s="109">
        <v>0</v>
      </c>
      <c r="AF46" s="109">
        <v>0</v>
      </c>
      <c r="AG46" s="109">
        <v>0</v>
      </c>
      <c r="AH46" s="109" t="s">
        <v>70</v>
      </c>
      <c r="AI46" s="110" t="s">
        <v>40</v>
      </c>
    </row>
    <row r="47" spans="2:35" x14ac:dyDescent="0.25">
      <c r="I47" s="103" t="s">
        <v>161</v>
      </c>
      <c r="J47" s="103">
        <v>3.9300000000000002E-2</v>
      </c>
      <c r="K47" s="103">
        <v>51.4</v>
      </c>
      <c r="L47" s="103">
        <v>0.1</v>
      </c>
      <c r="M47" s="103">
        <v>0.03</v>
      </c>
      <c r="N47" s="10" t="s">
        <v>24</v>
      </c>
      <c r="O47" s="6"/>
      <c r="W47" s="105" t="s">
        <v>38</v>
      </c>
      <c r="X47" s="106">
        <v>0</v>
      </c>
      <c r="Y47" s="106">
        <v>0</v>
      </c>
      <c r="Z47" s="106">
        <v>0</v>
      </c>
      <c r="AA47" s="106" t="s">
        <v>39</v>
      </c>
      <c r="AB47" s="107" t="s">
        <v>40</v>
      </c>
      <c r="AD47" s="108" t="s">
        <v>38</v>
      </c>
      <c r="AE47" s="109">
        <v>0</v>
      </c>
      <c r="AF47" s="109">
        <v>0</v>
      </c>
      <c r="AG47" s="109">
        <v>0</v>
      </c>
      <c r="AH47" s="109" t="s">
        <v>39</v>
      </c>
      <c r="AI47" s="110" t="s">
        <v>40</v>
      </c>
    </row>
    <row r="48" spans="2:35" x14ac:dyDescent="0.25">
      <c r="I48" s="103" t="s">
        <v>76</v>
      </c>
      <c r="J48" s="103">
        <v>46.5</v>
      </c>
      <c r="K48" s="103">
        <v>61</v>
      </c>
      <c r="L48" s="103">
        <v>0.1</v>
      </c>
      <c r="M48" s="103">
        <v>0.2</v>
      </c>
      <c r="N48" s="10" t="s">
        <v>53</v>
      </c>
      <c r="O48" s="6"/>
      <c r="W48" s="105" t="s">
        <v>71</v>
      </c>
      <c r="X48" s="106">
        <v>0</v>
      </c>
      <c r="Y48" s="106">
        <v>0</v>
      </c>
      <c r="Z48" s="106">
        <v>0</v>
      </c>
      <c r="AA48" s="106" t="s">
        <v>72</v>
      </c>
      <c r="AB48" s="107" t="s">
        <v>40</v>
      </c>
      <c r="AD48" s="108" t="s">
        <v>71</v>
      </c>
      <c r="AE48" s="109">
        <v>0</v>
      </c>
      <c r="AF48" s="109">
        <v>0</v>
      </c>
      <c r="AG48" s="109">
        <v>0</v>
      </c>
      <c r="AH48" s="109" t="s">
        <v>72</v>
      </c>
      <c r="AI48" s="110" t="s">
        <v>40</v>
      </c>
    </row>
    <row r="49" spans="2:36" x14ac:dyDescent="0.25">
      <c r="I49" s="103" t="s">
        <v>117</v>
      </c>
      <c r="J49" s="103">
        <v>34.4</v>
      </c>
      <c r="K49" s="103">
        <v>69.8</v>
      </c>
      <c r="L49" s="103">
        <v>0</v>
      </c>
      <c r="M49" s="103">
        <v>0.2</v>
      </c>
      <c r="N49" s="112" t="s">
        <v>40</v>
      </c>
      <c r="O49" s="6"/>
      <c r="W49" s="105" t="s">
        <v>73</v>
      </c>
      <c r="X49" s="106">
        <v>0</v>
      </c>
      <c r="Y49" s="106">
        <v>0</v>
      </c>
      <c r="Z49" s="106">
        <v>0</v>
      </c>
      <c r="AA49" s="106" t="s">
        <v>75</v>
      </c>
      <c r="AB49" s="107" t="s">
        <v>40</v>
      </c>
      <c r="AD49" s="108" t="s">
        <v>73</v>
      </c>
      <c r="AE49" s="109">
        <v>0</v>
      </c>
      <c r="AF49" s="109">
        <v>0</v>
      </c>
      <c r="AG49" s="109">
        <v>0</v>
      </c>
      <c r="AH49" s="109" t="s">
        <v>75</v>
      </c>
      <c r="AI49" s="110" t="s">
        <v>40</v>
      </c>
    </row>
    <row r="50" spans="2:36" x14ac:dyDescent="0.25">
      <c r="I50" s="103" t="s">
        <v>160</v>
      </c>
      <c r="J50" s="103">
        <v>12.2</v>
      </c>
      <c r="K50" s="103">
        <v>0</v>
      </c>
      <c r="L50" s="103">
        <v>0.7</v>
      </c>
      <c r="M50" s="103">
        <v>1.1000000000000001</v>
      </c>
      <c r="N50" s="10" t="s">
        <v>53</v>
      </c>
      <c r="O50" s="6"/>
      <c r="W50" s="123" t="s">
        <v>41</v>
      </c>
      <c r="X50" s="106">
        <v>0</v>
      </c>
      <c r="Y50" s="106">
        <v>0</v>
      </c>
      <c r="Z50" s="106">
        <v>0</v>
      </c>
      <c r="AA50" s="106" t="s">
        <v>32</v>
      </c>
      <c r="AB50" s="107" t="s">
        <v>24</v>
      </c>
      <c r="AD50" s="124" t="s">
        <v>41</v>
      </c>
      <c r="AE50" s="109">
        <v>0</v>
      </c>
      <c r="AF50" s="109">
        <v>0</v>
      </c>
      <c r="AG50" s="109">
        <v>0</v>
      </c>
      <c r="AH50" s="109" t="s">
        <v>32</v>
      </c>
      <c r="AI50" s="110" t="s">
        <v>24</v>
      </c>
    </row>
    <row r="51" spans="2:36" x14ac:dyDescent="0.25">
      <c r="I51" s="103" t="s">
        <v>162</v>
      </c>
      <c r="J51" s="103">
        <v>22.1</v>
      </c>
      <c r="K51" s="103">
        <v>95</v>
      </c>
      <c r="L51" s="103">
        <v>7.0000000000000007E-2</v>
      </c>
      <c r="M51" s="103">
        <v>0.3</v>
      </c>
      <c r="N51" s="10" t="s">
        <v>53</v>
      </c>
      <c r="O51" s="6"/>
      <c r="W51" s="105" t="s">
        <v>317</v>
      </c>
      <c r="X51" s="106">
        <v>0</v>
      </c>
      <c r="Y51" s="106">
        <v>0</v>
      </c>
      <c r="Z51" s="106">
        <v>0</v>
      </c>
      <c r="AA51" s="106" t="s">
        <v>145</v>
      </c>
      <c r="AB51" s="107" t="s">
        <v>53</v>
      </c>
      <c r="AD51" s="108" t="s">
        <v>317</v>
      </c>
      <c r="AE51" s="109">
        <v>0</v>
      </c>
      <c r="AF51" s="109">
        <v>0</v>
      </c>
      <c r="AG51" s="109">
        <v>0</v>
      </c>
      <c r="AH51" s="109" t="s">
        <v>145</v>
      </c>
      <c r="AI51" s="110" t="s">
        <v>53</v>
      </c>
    </row>
    <row r="52" spans="2:36" x14ac:dyDescent="0.25">
      <c r="I52" s="103" t="s">
        <v>92</v>
      </c>
      <c r="J52" s="103">
        <v>38.799999999999997</v>
      </c>
      <c r="K52" s="103">
        <v>3.5</v>
      </c>
      <c r="L52" s="103">
        <v>0</v>
      </c>
      <c r="M52" s="103">
        <v>0</v>
      </c>
      <c r="N52" s="10" t="s">
        <v>40</v>
      </c>
      <c r="O52" s="6"/>
      <c r="W52" s="105" t="s">
        <v>76</v>
      </c>
      <c r="X52" s="106">
        <v>0</v>
      </c>
      <c r="Y52" s="106">
        <v>0</v>
      </c>
      <c r="Z52" s="106">
        <v>0</v>
      </c>
      <c r="AA52" s="106" t="s">
        <v>77</v>
      </c>
      <c r="AB52" s="107" t="s">
        <v>53</v>
      </c>
      <c r="AD52" s="108" t="s">
        <v>76</v>
      </c>
      <c r="AE52" s="109">
        <v>0</v>
      </c>
      <c r="AF52" s="109">
        <v>0</v>
      </c>
      <c r="AG52" s="109">
        <v>0</v>
      </c>
      <c r="AH52" s="109" t="s">
        <v>77</v>
      </c>
      <c r="AI52" s="110" t="s">
        <v>53</v>
      </c>
    </row>
    <row r="53" spans="2:36" x14ac:dyDescent="0.25">
      <c r="I53" s="103" t="s">
        <v>146</v>
      </c>
      <c r="J53" s="103">
        <v>38.799999999999997</v>
      </c>
      <c r="K53" s="103">
        <v>13.9</v>
      </c>
      <c r="L53" s="103">
        <v>0</v>
      </c>
      <c r="M53" s="103">
        <v>0</v>
      </c>
      <c r="N53" s="10" t="s">
        <v>40</v>
      </c>
      <c r="O53" s="6"/>
      <c r="W53" s="105" t="s">
        <v>92</v>
      </c>
      <c r="X53" s="106">
        <v>0</v>
      </c>
      <c r="Y53" s="106">
        <v>0</v>
      </c>
      <c r="Z53" s="106">
        <v>0</v>
      </c>
      <c r="AA53" s="106" t="s">
        <v>93</v>
      </c>
      <c r="AB53" s="107" t="s">
        <v>40</v>
      </c>
      <c r="AD53" s="108" t="s">
        <v>92</v>
      </c>
      <c r="AE53" s="109">
        <v>0</v>
      </c>
      <c r="AF53" s="109">
        <v>0</v>
      </c>
      <c r="AG53" s="109">
        <v>0</v>
      </c>
      <c r="AH53" s="109" t="s">
        <v>93</v>
      </c>
      <c r="AI53" s="110" t="s">
        <v>40</v>
      </c>
    </row>
    <row r="54" spans="2:36" x14ac:dyDescent="0.25">
      <c r="I54" s="103" t="s">
        <v>78</v>
      </c>
      <c r="J54" s="103">
        <v>34.200000000000003</v>
      </c>
      <c r="K54" s="103">
        <v>92.6</v>
      </c>
      <c r="L54" s="103">
        <v>7.0000000000000007E-2</v>
      </c>
      <c r="M54" s="103">
        <v>0.2</v>
      </c>
      <c r="N54" s="112" t="s">
        <v>53</v>
      </c>
      <c r="O54" s="6"/>
      <c r="W54" s="105" t="s">
        <v>146</v>
      </c>
      <c r="X54" s="106">
        <v>0</v>
      </c>
      <c r="Y54" s="106">
        <v>0</v>
      </c>
      <c r="Z54" s="106">
        <v>0</v>
      </c>
      <c r="AA54" s="106" t="s">
        <v>93</v>
      </c>
      <c r="AB54" s="107" t="s">
        <v>40</v>
      </c>
      <c r="AD54" s="108" t="s">
        <v>146</v>
      </c>
      <c r="AE54" s="109">
        <v>0</v>
      </c>
      <c r="AF54" s="109">
        <v>0</v>
      </c>
      <c r="AG54" s="109">
        <v>0</v>
      </c>
      <c r="AH54" s="109" t="s">
        <v>93</v>
      </c>
      <c r="AI54" s="110" t="s">
        <v>40</v>
      </c>
    </row>
    <row r="55" spans="2:36" ht="30" x14ac:dyDescent="0.25">
      <c r="I55" s="103" t="s">
        <v>79</v>
      </c>
      <c r="J55" s="103">
        <v>34.200000000000003</v>
      </c>
      <c r="K55" s="103">
        <v>92.6</v>
      </c>
      <c r="L55" s="103">
        <v>7.0000000000000007E-2</v>
      </c>
      <c r="M55" s="103">
        <v>0.2</v>
      </c>
      <c r="N55" s="112" t="s">
        <v>53</v>
      </c>
      <c r="O55" s="6"/>
      <c r="W55" s="125" t="s">
        <v>147</v>
      </c>
      <c r="X55" s="106">
        <v>0</v>
      </c>
      <c r="Y55" s="106">
        <v>0</v>
      </c>
      <c r="Z55" s="106">
        <v>0</v>
      </c>
      <c r="AA55" s="106" t="s">
        <v>70</v>
      </c>
      <c r="AB55" s="107" t="s">
        <v>40</v>
      </c>
      <c r="AD55" s="126" t="s">
        <v>117</v>
      </c>
      <c r="AE55" s="109">
        <v>0</v>
      </c>
      <c r="AF55" s="109">
        <v>0</v>
      </c>
      <c r="AG55" s="109">
        <v>0</v>
      </c>
      <c r="AH55" s="109" t="s">
        <v>70</v>
      </c>
      <c r="AI55" s="110" t="s">
        <v>40</v>
      </c>
    </row>
    <row r="56" spans="2:36" x14ac:dyDescent="0.25">
      <c r="B56" s="12"/>
      <c r="C56" s="12"/>
      <c r="D56" s="12"/>
      <c r="E56" s="12"/>
      <c r="F56" s="12"/>
      <c r="G56" s="12"/>
      <c r="H56" s="12"/>
      <c r="I56" s="103" t="s">
        <v>80</v>
      </c>
      <c r="J56" s="103">
        <v>42.9</v>
      </c>
      <c r="K56" s="103">
        <v>54.7</v>
      </c>
      <c r="L56" s="103">
        <v>0.02</v>
      </c>
      <c r="M56" s="103">
        <v>0</v>
      </c>
      <c r="N56" s="112" t="s">
        <v>53</v>
      </c>
      <c r="O56" s="53"/>
      <c r="P56" s="12"/>
      <c r="Q56" s="12"/>
      <c r="R56" s="12"/>
      <c r="S56" s="12"/>
      <c r="T56" s="12"/>
      <c r="U56" s="12"/>
      <c r="V56" s="12"/>
      <c r="W56" s="105" t="s">
        <v>78</v>
      </c>
      <c r="X56" s="106">
        <v>0</v>
      </c>
      <c r="Y56" s="106">
        <v>0</v>
      </c>
      <c r="Z56" s="106">
        <v>0</v>
      </c>
      <c r="AA56" s="106" t="s">
        <v>62</v>
      </c>
      <c r="AB56" s="107" t="s">
        <v>53</v>
      </c>
      <c r="AC56" s="12"/>
      <c r="AD56" s="108" t="s">
        <v>78</v>
      </c>
      <c r="AE56" s="109">
        <v>0</v>
      </c>
      <c r="AF56" s="109">
        <v>0</v>
      </c>
      <c r="AG56" s="109">
        <v>0</v>
      </c>
      <c r="AH56" s="109" t="s">
        <v>62</v>
      </c>
      <c r="AI56" s="110" t="s">
        <v>53</v>
      </c>
      <c r="AJ56" s="12"/>
    </row>
    <row r="57" spans="2:36" x14ac:dyDescent="0.25">
      <c r="B57" s="12"/>
      <c r="C57" s="12"/>
      <c r="D57" s="12"/>
      <c r="E57" s="12"/>
      <c r="F57" s="12"/>
      <c r="G57" s="12"/>
      <c r="H57" s="12"/>
      <c r="I57" s="103" t="s">
        <v>149</v>
      </c>
      <c r="J57" s="103">
        <v>3.7699999999999997E-2</v>
      </c>
      <c r="K57" s="103">
        <v>0</v>
      </c>
      <c r="L57" s="103">
        <v>4.8</v>
      </c>
      <c r="M57" s="103">
        <v>0.03</v>
      </c>
      <c r="N57" s="10" t="s">
        <v>24</v>
      </c>
      <c r="O57" s="53"/>
      <c r="P57" s="12"/>
      <c r="Q57" s="12"/>
      <c r="R57" s="12"/>
      <c r="S57" s="12"/>
      <c r="T57" s="12"/>
      <c r="U57" s="12"/>
      <c r="V57" s="12"/>
      <c r="W57" s="127" t="s">
        <v>160</v>
      </c>
      <c r="X57" s="128">
        <v>0</v>
      </c>
      <c r="Y57" s="128">
        <v>0</v>
      </c>
      <c r="Z57" s="128">
        <v>0</v>
      </c>
      <c r="AA57" s="128" t="s">
        <v>102</v>
      </c>
      <c r="AB57" s="129" t="s">
        <v>53</v>
      </c>
      <c r="AC57" s="12"/>
      <c r="AD57" s="130" t="s">
        <v>160</v>
      </c>
      <c r="AE57" s="131">
        <v>0</v>
      </c>
      <c r="AF57" s="131">
        <v>0</v>
      </c>
      <c r="AG57" s="131">
        <v>0</v>
      </c>
      <c r="AH57" s="131" t="s">
        <v>102</v>
      </c>
      <c r="AI57" s="132" t="s">
        <v>53</v>
      </c>
      <c r="AJ57" s="12"/>
    </row>
    <row r="58" spans="2:36" x14ac:dyDescent="0.25">
      <c r="B58" s="12"/>
      <c r="C58" s="12"/>
      <c r="D58" s="12"/>
      <c r="E58" s="12"/>
      <c r="F58" s="12"/>
      <c r="G58" s="12"/>
      <c r="H58" s="12"/>
      <c r="I58" s="103" t="s">
        <v>82</v>
      </c>
      <c r="J58" s="103">
        <v>34.4</v>
      </c>
      <c r="K58" s="103">
        <v>69.7</v>
      </c>
      <c r="L58" s="103">
        <v>0.02</v>
      </c>
      <c r="M58" s="103">
        <v>0.2</v>
      </c>
      <c r="N58" s="10" t="s">
        <v>40</v>
      </c>
      <c r="O58" s="53"/>
      <c r="P58" s="12"/>
      <c r="Q58" s="12"/>
      <c r="R58" s="12"/>
      <c r="S58" s="12"/>
      <c r="T58" s="12"/>
      <c r="U58" s="12"/>
      <c r="V58" s="12"/>
      <c r="W58" s="127" t="s">
        <v>79</v>
      </c>
      <c r="X58" s="128">
        <v>0</v>
      </c>
      <c r="Y58" s="128">
        <v>0</v>
      </c>
      <c r="Z58" s="128">
        <v>0</v>
      </c>
      <c r="AA58" s="128" t="s">
        <v>62</v>
      </c>
      <c r="AB58" s="129" t="s">
        <v>53</v>
      </c>
      <c r="AC58" s="12"/>
      <c r="AD58" s="130" t="s">
        <v>79</v>
      </c>
      <c r="AE58" s="131">
        <v>0</v>
      </c>
      <c r="AF58" s="131">
        <v>0</v>
      </c>
      <c r="AG58" s="131">
        <v>0</v>
      </c>
      <c r="AH58" s="131" t="s">
        <v>62</v>
      </c>
      <c r="AI58" s="132" t="s">
        <v>53</v>
      </c>
      <c r="AJ58" s="12"/>
    </row>
    <row r="59" spans="2:36" x14ac:dyDescent="0.25">
      <c r="B59" s="12"/>
      <c r="C59" s="12"/>
      <c r="D59" s="12"/>
      <c r="E59" s="12"/>
      <c r="F59" s="12"/>
      <c r="G59" s="12"/>
      <c r="H59" s="12"/>
      <c r="I59" s="103" t="s">
        <v>159</v>
      </c>
      <c r="J59" s="103">
        <v>21</v>
      </c>
      <c r="K59" s="103">
        <v>90</v>
      </c>
      <c r="L59" s="103">
        <v>0.03</v>
      </c>
      <c r="M59" s="103">
        <v>0.2</v>
      </c>
      <c r="N59" s="10" t="s">
        <v>53</v>
      </c>
      <c r="O59" s="53"/>
      <c r="P59" s="12"/>
      <c r="Q59" s="12"/>
      <c r="R59" s="12"/>
      <c r="S59" s="12"/>
      <c r="T59" s="12"/>
      <c r="U59" s="12"/>
      <c r="V59" s="12"/>
      <c r="W59" s="127" t="s">
        <v>80</v>
      </c>
      <c r="X59" s="128">
        <v>0</v>
      </c>
      <c r="Y59" s="128">
        <v>0</v>
      </c>
      <c r="Z59" s="128">
        <v>0</v>
      </c>
      <c r="AA59" s="128" t="s">
        <v>81</v>
      </c>
      <c r="AB59" s="129" t="s">
        <v>53</v>
      </c>
      <c r="AC59" s="12"/>
      <c r="AD59" s="130" t="s">
        <v>80</v>
      </c>
      <c r="AE59" s="131">
        <v>0</v>
      </c>
      <c r="AF59" s="131">
        <v>0</v>
      </c>
      <c r="AG59" s="131">
        <v>0</v>
      </c>
      <c r="AH59" s="131" t="s">
        <v>81</v>
      </c>
      <c r="AI59" s="132" t="s">
        <v>53</v>
      </c>
      <c r="AJ59" s="12"/>
    </row>
    <row r="60" spans="2:36" x14ac:dyDescent="0.25">
      <c r="B60" s="12"/>
      <c r="C60" s="12"/>
      <c r="D60" s="12"/>
      <c r="E60" s="12"/>
      <c r="F60" s="12"/>
      <c r="G60" s="12"/>
      <c r="H60" s="12"/>
      <c r="I60" s="103" t="s">
        <v>154</v>
      </c>
      <c r="J60" s="103">
        <v>12.4</v>
      </c>
      <c r="K60" s="103">
        <v>0</v>
      </c>
      <c r="L60" s="103">
        <v>7.0000000000000007E-2</v>
      </c>
      <c r="M60" s="103">
        <v>0.6</v>
      </c>
      <c r="N60" s="10" t="s">
        <v>53</v>
      </c>
      <c r="O60" s="53"/>
      <c r="P60" s="12"/>
      <c r="Q60" s="12"/>
      <c r="R60" s="12"/>
      <c r="S60" s="12"/>
      <c r="T60" s="12"/>
      <c r="U60" s="12"/>
      <c r="V60" s="12"/>
      <c r="W60" s="127" t="s">
        <v>149</v>
      </c>
      <c r="X60" s="128">
        <v>0</v>
      </c>
      <c r="Y60" s="128">
        <v>0</v>
      </c>
      <c r="Z60" s="128">
        <v>0</v>
      </c>
      <c r="AA60" s="128" t="s">
        <v>37</v>
      </c>
      <c r="AB60" s="129" t="s">
        <v>24</v>
      </c>
      <c r="AC60" s="12"/>
      <c r="AD60" s="130" t="s">
        <v>149</v>
      </c>
      <c r="AE60" s="131">
        <v>0</v>
      </c>
      <c r="AF60" s="131">
        <v>0</v>
      </c>
      <c r="AG60" s="131">
        <v>0</v>
      </c>
      <c r="AH60" s="131" t="s">
        <v>37</v>
      </c>
      <c r="AI60" s="132" t="s">
        <v>24</v>
      </c>
      <c r="AJ60" s="12"/>
    </row>
    <row r="61" spans="2:36" x14ac:dyDescent="0.25">
      <c r="B61" s="12"/>
      <c r="C61" s="12"/>
      <c r="D61" s="12"/>
      <c r="E61" s="12"/>
      <c r="F61" s="12"/>
      <c r="G61" s="12"/>
      <c r="H61" s="12"/>
      <c r="I61" s="103" t="s">
        <v>42</v>
      </c>
      <c r="J61" s="103">
        <v>3.9E-2</v>
      </c>
      <c r="K61" s="103">
        <v>60.2</v>
      </c>
      <c r="L61" s="103">
        <v>0</v>
      </c>
      <c r="M61" s="103">
        <v>0.03</v>
      </c>
      <c r="N61" s="10" t="s">
        <v>24</v>
      </c>
      <c r="O61" s="53"/>
      <c r="P61" s="12"/>
      <c r="Q61" s="12"/>
      <c r="R61" s="12"/>
      <c r="S61" s="12"/>
      <c r="T61" s="12"/>
      <c r="U61" s="12"/>
      <c r="V61" s="12"/>
      <c r="W61" s="127" t="s">
        <v>162</v>
      </c>
      <c r="X61" s="128">
        <v>0</v>
      </c>
      <c r="Y61" s="128">
        <v>0</v>
      </c>
      <c r="Z61" s="128">
        <v>0</v>
      </c>
      <c r="AA61" s="128" t="s">
        <v>103</v>
      </c>
      <c r="AB61" s="129" t="s">
        <v>53</v>
      </c>
      <c r="AC61" s="12"/>
      <c r="AD61" s="130" t="s">
        <v>209</v>
      </c>
      <c r="AE61" s="131">
        <v>0</v>
      </c>
      <c r="AF61" s="131">
        <v>0</v>
      </c>
      <c r="AG61" s="131">
        <v>0</v>
      </c>
      <c r="AH61" s="131" t="s">
        <v>103</v>
      </c>
      <c r="AI61" s="132" t="s">
        <v>53</v>
      </c>
      <c r="AJ61" s="12"/>
    </row>
    <row r="62" spans="2:36" x14ac:dyDescent="0.25">
      <c r="B62" s="12"/>
      <c r="C62" s="12"/>
      <c r="D62" s="12"/>
      <c r="E62" s="12"/>
      <c r="F62" s="12"/>
      <c r="G62" s="12"/>
      <c r="H62" s="12"/>
      <c r="I62" s="103" t="s">
        <v>45</v>
      </c>
      <c r="J62" s="103">
        <v>3.9300000000000002E-2</v>
      </c>
      <c r="K62" s="103">
        <v>51.4</v>
      </c>
      <c r="L62" s="103">
        <v>0.1</v>
      </c>
      <c r="M62" s="103">
        <v>0.03</v>
      </c>
      <c r="N62" s="10" t="s">
        <v>24</v>
      </c>
      <c r="O62" s="53"/>
      <c r="P62" s="12"/>
      <c r="Q62" s="12"/>
      <c r="R62" s="12"/>
      <c r="S62" s="12"/>
      <c r="T62" s="12"/>
      <c r="U62" s="12"/>
      <c r="V62" s="12"/>
      <c r="W62" s="105" t="s">
        <v>82</v>
      </c>
      <c r="X62" s="106">
        <v>0</v>
      </c>
      <c r="Y62" s="106">
        <v>0</v>
      </c>
      <c r="Z62" s="106">
        <v>0</v>
      </c>
      <c r="AA62" s="106" t="s">
        <v>70</v>
      </c>
      <c r="AB62" s="107" t="s">
        <v>40</v>
      </c>
      <c r="AC62" s="12"/>
      <c r="AD62" s="114" t="s">
        <v>181</v>
      </c>
      <c r="AE62" s="115">
        <v>0</v>
      </c>
      <c r="AF62" s="115">
        <v>0</v>
      </c>
      <c r="AG62" s="115">
        <v>0</v>
      </c>
      <c r="AH62" s="114">
        <v>34.4</v>
      </c>
      <c r="AI62" s="10" t="s">
        <v>40</v>
      </c>
      <c r="AJ62" s="12"/>
    </row>
    <row r="63" spans="2:36" x14ac:dyDescent="0.25">
      <c r="B63" s="12"/>
      <c r="C63" s="12"/>
      <c r="D63" s="12"/>
      <c r="E63" s="12"/>
      <c r="F63" s="12"/>
      <c r="G63" s="12"/>
      <c r="H63" s="12"/>
      <c r="O63" s="53"/>
      <c r="P63" s="12"/>
      <c r="Q63" s="12"/>
      <c r="R63" s="12"/>
      <c r="S63" s="12"/>
      <c r="T63" s="12"/>
      <c r="U63" s="12"/>
      <c r="V63" s="12"/>
      <c r="W63" s="105" t="s">
        <v>151</v>
      </c>
      <c r="X63" s="106">
        <v>0</v>
      </c>
      <c r="Y63" s="106">
        <v>0</v>
      </c>
      <c r="Z63" s="106">
        <v>0</v>
      </c>
      <c r="AA63" s="106" t="s">
        <v>70</v>
      </c>
      <c r="AB63" s="107" t="s">
        <v>40</v>
      </c>
      <c r="AC63" s="12"/>
      <c r="AD63" s="108" t="s">
        <v>82</v>
      </c>
      <c r="AE63" s="109">
        <v>0</v>
      </c>
      <c r="AF63" s="109">
        <v>0</v>
      </c>
      <c r="AG63" s="109">
        <v>0</v>
      </c>
      <c r="AH63" s="109" t="s">
        <v>70</v>
      </c>
      <c r="AI63" s="110" t="s">
        <v>40</v>
      </c>
      <c r="AJ63" s="12"/>
    </row>
    <row r="64" spans="2:36" x14ac:dyDescent="0.25">
      <c r="I64" s="8" t="s">
        <v>163</v>
      </c>
      <c r="O64" s="6"/>
      <c r="W64" s="105" t="s">
        <v>152</v>
      </c>
      <c r="X64" s="106">
        <v>0</v>
      </c>
      <c r="Y64" s="106">
        <v>0</v>
      </c>
      <c r="Z64" s="106">
        <v>0</v>
      </c>
      <c r="AA64" s="106" t="s">
        <v>153</v>
      </c>
      <c r="AB64" s="107" t="s">
        <v>53</v>
      </c>
      <c r="AD64" s="108" t="s">
        <v>151</v>
      </c>
      <c r="AE64" s="109">
        <v>0</v>
      </c>
      <c r="AF64" s="109">
        <v>0</v>
      </c>
      <c r="AG64" s="109">
        <v>0</v>
      </c>
      <c r="AH64" s="109" t="s">
        <v>70</v>
      </c>
      <c r="AI64" s="110" t="s">
        <v>40</v>
      </c>
    </row>
    <row r="65" spans="23:35" x14ac:dyDescent="0.25">
      <c r="W65" s="105" t="s">
        <v>154</v>
      </c>
      <c r="X65" s="106">
        <v>0</v>
      </c>
      <c r="Y65" s="106">
        <v>0</v>
      </c>
      <c r="Z65" s="106">
        <v>0</v>
      </c>
      <c r="AA65" s="106" t="s">
        <v>155</v>
      </c>
      <c r="AB65" s="107" t="s">
        <v>53</v>
      </c>
      <c r="AD65" s="108" t="s">
        <v>152</v>
      </c>
      <c r="AE65" s="109">
        <v>0</v>
      </c>
      <c r="AF65" s="109">
        <v>0</v>
      </c>
      <c r="AG65" s="109">
        <v>0</v>
      </c>
      <c r="AH65" s="109" t="s">
        <v>153</v>
      </c>
      <c r="AI65" s="110" t="s">
        <v>53</v>
      </c>
    </row>
    <row r="66" spans="23:35" x14ac:dyDescent="0.25">
      <c r="W66" s="105" t="s">
        <v>42</v>
      </c>
      <c r="X66" s="106">
        <v>0</v>
      </c>
      <c r="Y66" s="106">
        <v>0</v>
      </c>
      <c r="Z66" s="106">
        <v>0</v>
      </c>
      <c r="AA66" s="106" t="s">
        <v>44</v>
      </c>
      <c r="AB66" s="107" t="s">
        <v>24</v>
      </c>
      <c r="AD66" s="108" t="s">
        <v>154</v>
      </c>
      <c r="AE66" s="109">
        <v>0</v>
      </c>
      <c r="AF66" s="109">
        <v>0</v>
      </c>
      <c r="AG66" s="109">
        <v>0</v>
      </c>
      <c r="AH66" s="109" t="s">
        <v>155</v>
      </c>
      <c r="AI66" s="110" t="s">
        <v>53</v>
      </c>
    </row>
    <row r="67" spans="23:35" x14ac:dyDescent="0.25">
      <c r="W67" s="105" t="s">
        <v>45</v>
      </c>
      <c r="X67" s="106">
        <v>0</v>
      </c>
      <c r="Y67" s="106">
        <v>0</v>
      </c>
      <c r="Z67" s="106">
        <v>0</v>
      </c>
      <c r="AA67" s="106" t="s">
        <v>32</v>
      </c>
      <c r="AB67" s="107" t="s">
        <v>24</v>
      </c>
      <c r="AD67" s="108" t="s">
        <v>42</v>
      </c>
      <c r="AE67" s="109">
        <v>0</v>
      </c>
      <c r="AF67" s="109">
        <v>0</v>
      </c>
      <c r="AG67" s="109">
        <v>0</v>
      </c>
      <c r="AH67" s="109" t="s">
        <v>44</v>
      </c>
      <c r="AI67" s="110" t="s">
        <v>24</v>
      </c>
    </row>
    <row r="68" spans="23:35" x14ac:dyDescent="0.25">
      <c r="W68" s="105" t="s">
        <v>156</v>
      </c>
      <c r="X68" s="106">
        <v>0</v>
      </c>
      <c r="Y68" s="106">
        <v>0</v>
      </c>
      <c r="Z68" s="106">
        <v>0</v>
      </c>
      <c r="AA68" s="106" t="s">
        <v>157</v>
      </c>
      <c r="AB68" s="107" t="s">
        <v>53</v>
      </c>
      <c r="AD68" s="108" t="s">
        <v>45</v>
      </c>
      <c r="AE68" s="109">
        <v>0</v>
      </c>
      <c r="AF68" s="109">
        <v>0</v>
      </c>
      <c r="AG68" s="109">
        <v>0</v>
      </c>
      <c r="AH68" s="109" t="s">
        <v>32</v>
      </c>
      <c r="AI68" s="110" t="s">
        <v>24</v>
      </c>
    </row>
    <row r="69" spans="23:35" x14ac:dyDescent="0.25">
      <c r="W69" s="105" t="s">
        <v>351</v>
      </c>
      <c r="X69" s="106" t="s">
        <v>352</v>
      </c>
      <c r="Y69" s="106" t="s">
        <v>352</v>
      </c>
      <c r="Z69" s="106" t="s">
        <v>352</v>
      </c>
      <c r="AA69" s="106" t="s">
        <v>352</v>
      </c>
      <c r="AB69" s="107" t="s">
        <v>112</v>
      </c>
      <c r="AD69" s="133" t="s">
        <v>156</v>
      </c>
      <c r="AE69" s="115">
        <v>0</v>
      </c>
      <c r="AF69" s="115">
        <v>0</v>
      </c>
      <c r="AG69" s="115">
        <v>0</v>
      </c>
      <c r="AH69" s="115" t="s">
        <v>157</v>
      </c>
      <c r="AI69" s="134" t="s">
        <v>53</v>
      </c>
    </row>
    <row r="70" spans="23:35" x14ac:dyDescent="0.25">
      <c r="W70" s="105" t="s">
        <v>345</v>
      </c>
      <c r="X70" s="106">
        <v>0</v>
      </c>
      <c r="Y70" s="106">
        <v>0</v>
      </c>
      <c r="Z70" s="106">
        <v>0</v>
      </c>
      <c r="AA70" s="106" t="s">
        <v>346</v>
      </c>
      <c r="AB70" s="107" t="s">
        <v>53</v>
      </c>
      <c r="AD70" s="114" t="s">
        <v>177</v>
      </c>
      <c r="AE70" s="115">
        <v>0</v>
      </c>
      <c r="AF70" s="115">
        <v>0</v>
      </c>
      <c r="AG70" s="115">
        <v>0</v>
      </c>
      <c r="AH70" s="114">
        <v>45.8</v>
      </c>
      <c r="AI70" s="10" t="s">
        <v>53</v>
      </c>
    </row>
    <row r="71" spans="23:35" x14ac:dyDescent="0.25">
      <c r="W71" s="105" t="s">
        <v>347</v>
      </c>
      <c r="X71" s="106">
        <v>0</v>
      </c>
      <c r="Y71" s="106">
        <v>0</v>
      </c>
      <c r="Z71" s="106">
        <v>0</v>
      </c>
      <c r="AA71" s="106" t="s">
        <v>348</v>
      </c>
      <c r="AB71" s="107" t="s">
        <v>53</v>
      </c>
      <c r="AD71" s="114" t="s">
        <v>178</v>
      </c>
      <c r="AE71" s="115">
        <v>0</v>
      </c>
      <c r="AF71" s="115">
        <v>0</v>
      </c>
      <c r="AG71" s="115">
        <v>0</v>
      </c>
      <c r="AH71" s="114">
        <v>37.1</v>
      </c>
      <c r="AI71" s="10" t="s">
        <v>53</v>
      </c>
    </row>
    <row r="72" spans="23:35" x14ac:dyDescent="0.25">
      <c r="W72" s="105" t="s">
        <v>349</v>
      </c>
      <c r="X72" s="106">
        <v>0</v>
      </c>
      <c r="Y72" s="106">
        <v>0</v>
      </c>
      <c r="Z72" s="106">
        <v>0</v>
      </c>
      <c r="AA72" s="106" t="s">
        <v>350</v>
      </c>
      <c r="AB72" s="107" t="s">
        <v>53</v>
      </c>
      <c r="AD72" s="114" t="s">
        <v>179</v>
      </c>
      <c r="AE72" s="115">
        <v>0</v>
      </c>
      <c r="AF72" s="115">
        <v>0</v>
      </c>
      <c r="AG72" s="115">
        <v>0</v>
      </c>
      <c r="AH72" s="114">
        <v>50.3</v>
      </c>
      <c r="AI72" s="10" t="s">
        <v>53</v>
      </c>
    </row>
    <row r="73" spans="23:35" x14ac:dyDescent="0.25">
      <c r="AD73" s="114" t="s">
        <v>180</v>
      </c>
      <c r="AE73" s="115">
        <v>0</v>
      </c>
      <c r="AF73" s="115">
        <v>0</v>
      </c>
      <c r="AG73" s="115">
        <v>0</v>
      </c>
      <c r="AH73" s="10">
        <v>0</v>
      </c>
      <c r="AI73" s="10" t="s">
        <v>53</v>
      </c>
    </row>
    <row r="74" spans="23:35" x14ac:dyDescent="0.25">
      <c r="AD74" s="10" t="s">
        <v>184</v>
      </c>
      <c r="AE74" s="10">
        <v>0</v>
      </c>
      <c r="AF74" s="10">
        <v>0</v>
      </c>
      <c r="AG74" s="10">
        <v>0</v>
      </c>
      <c r="AH74" s="10">
        <v>3.5999999999999999E-3</v>
      </c>
      <c r="AI74" s="10" t="s">
        <v>23</v>
      </c>
    </row>
    <row r="75" spans="23:35" x14ac:dyDescent="0.25">
      <c r="AD75" s="9" t="s">
        <v>185</v>
      </c>
      <c r="AE75" s="9">
        <v>0</v>
      </c>
      <c r="AF75" s="9">
        <v>0</v>
      </c>
      <c r="AG75" s="9">
        <v>0</v>
      </c>
      <c r="AH75" s="9">
        <v>1</v>
      </c>
      <c r="AI75" s="9" t="s">
        <v>125</v>
      </c>
    </row>
    <row r="76" spans="23:35" x14ac:dyDescent="0.25">
      <c r="AD76" s="9" t="s">
        <v>186</v>
      </c>
      <c r="AE76" s="9">
        <v>0</v>
      </c>
      <c r="AF76" s="9">
        <v>0</v>
      </c>
      <c r="AG76" s="9">
        <v>0</v>
      </c>
      <c r="AH76" s="9">
        <v>1</v>
      </c>
      <c r="AI76" s="9" t="s">
        <v>125</v>
      </c>
    </row>
    <row r="77" spans="23:35" x14ac:dyDescent="0.25">
      <c r="AD77" s="9" t="s">
        <v>187</v>
      </c>
      <c r="AE77" s="9">
        <v>0</v>
      </c>
      <c r="AF77" s="9">
        <v>0</v>
      </c>
      <c r="AG77" s="9">
        <v>0</v>
      </c>
      <c r="AH77" s="9">
        <v>1</v>
      </c>
      <c r="AI77" s="9" t="s">
        <v>125</v>
      </c>
    </row>
    <row r="78" spans="23:35" x14ac:dyDescent="0.25">
      <c r="AD78" s="9" t="s">
        <v>188</v>
      </c>
      <c r="AE78" s="9">
        <v>0</v>
      </c>
      <c r="AF78" s="9">
        <v>0</v>
      </c>
      <c r="AG78" s="9">
        <v>0</v>
      </c>
      <c r="AH78" s="9">
        <v>1</v>
      </c>
      <c r="AI78" s="9" t="s">
        <v>125</v>
      </c>
    </row>
  </sheetData>
  <sheetProtection algorithmName="SHA-256" hashValue="CWMz1pEh9DrVAlFufXqslDAr/e30phZbPQL99k4BFNY=" saltValue="XUgHM6H+5/Y66Q/KKNEVng==" spinCount="100000" sheet="1" objects="1" scenarios="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C7"/>
  <sheetViews>
    <sheetView showRowColHeaders="0" zoomScaleNormal="100" workbookViewId="0"/>
  </sheetViews>
  <sheetFormatPr defaultColWidth="0" defaultRowHeight="15" customHeight="1" zeroHeight="1" x14ac:dyDescent="0.25"/>
  <cols>
    <col min="1" max="1" width="9.140625" style="2" customWidth="1"/>
    <col min="2" max="2" width="136.7109375" style="2" customWidth="1"/>
    <col min="3" max="3" width="9.140625" style="2" customWidth="1"/>
    <col min="4" max="16384" width="9.140625" style="89" hidden="1"/>
  </cols>
  <sheetData>
    <row r="1" spans="2:2" s="2" customFormat="1" ht="123.75" customHeight="1" x14ac:dyDescent="0.25"/>
    <row r="2" spans="2:2" s="2" customFormat="1" ht="21.2" customHeight="1" x14ac:dyDescent="0.25">
      <c r="B2" s="296" t="s">
        <v>355</v>
      </c>
    </row>
    <row r="3" spans="2:2" s="2" customFormat="1" ht="9" customHeight="1" x14ac:dyDescent="0.25"/>
    <row r="4" spans="2:2" s="2" customFormat="1" ht="115.5" customHeight="1" x14ac:dyDescent="0.25">
      <c r="B4" s="294" t="s">
        <v>357</v>
      </c>
    </row>
    <row r="5" spans="2:2" s="2" customFormat="1" ht="68.25" customHeight="1" x14ac:dyDescent="0.25">
      <c r="B5" s="295" t="s">
        <v>356</v>
      </c>
    </row>
    <row r="6" spans="2:2" s="2" customFormat="1" ht="115.5" customHeight="1" x14ac:dyDescent="0.25">
      <c r="B6" s="294" t="s">
        <v>353</v>
      </c>
    </row>
    <row r="7" spans="2:2" s="2" customFormat="1" ht="9.75" customHeight="1" x14ac:dyDescent="0.25">
      <c r="B7" s="297"/>
    </row>
  </sheetData>
  <sheetProtection algorithmName="SHA-256" hashValue="HaAKxLAAnwgg4MzoYYYLduNrnGSGJcMOH+TMMw60mj8=" saltValue="N8nWjEm9fLvhEfutvdUWBA==" spinCount="100000" sheet="1" objects="1" scenarios="1" selectLockedCells="1" selectUnlockedCells="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T98"/>
  <sheetViews>
    <sheetView showRowColHeaders="0" zoomScaleNormal="100" workbookViewId="0"/>
  </sheetViews>
  <sheetFormatPr defaultColWidth="0" defaultRowHeight="15" zeroHeight="1" x14ac:dyDescent="0.25"/>
  <cols>
    <col min="1" max="2" width="4" style="2" customWidth="1"/>
    <col min="3" max="3" width="67.5703125" style="2" customWidth="1"/>
    <col min="4" max="4" width="3.42578125" style="2" customWidth="1"/>
    <col min="5" max="5" width="19.7109375" style="2" customWidth="1"/>
    <col min="6" max="6" width="3.7109375" style="2" customWidth="1"/>
    <col min="7" max="8" width="9.140625" style="2" customWidth="1"/>
    <col min="9" max="9" width="13.5703125" style="2" customWidth="1"/>
    <col min="10" max="10" width="12.140625" style="2" customWidth="1"/>
    <col min="11" max="11" width="11.85546875" style="2" customWidth="1"/>
    <col min="12" max="12" width="22.5703125" style="2" customWidth="1"/>
    <col min="13" max="13" width="23.85546875" style="2" customWidth="1"/>
    <col min="14" max="14" width="23.28515625" style="2" customWidth="1"/>
    <col min="15" max="15" width="4.5703125" style="2" customWidth="1"/>
    <col min="16" max="16384" width="9.140625" style="2" hidden="1"/>
  </cols>
  <sheetData>
    <row r="1" spans="2:20" ht="203.25" customHeight="1" x14ac:dyDescent="0.25"/>
    <row r="2" spans="2:20" ht="33" customHeight="1" x14ac:dyDescent="0.25">
      <c r="B2" s="240"/>
      <c r="C2" s="360" t="s">
        <v>236</v>
      </c>
      <c r="D2" s="360"/>
      <c r="E2" s="360"/>
      <c r="F2" s="360"/>
      <c r="G2" s="360"/>
      <c r="H2" s="360"/>
      <c r="I2" s="360"/>
      <c r="J2" s="360"/>
      <c r="K2" s="360"/>
      <c r="L2" s="360"/>
      <c r="M2" s="360"/>
      <c r="N2" s="360"/>
    </row>
    <row r="3" spans="2:20" ht="15" customHeight="1" x14ac:dyDescent="0.25">
      <c r="B3" s="177"/>
      <c r="C3" s="177"/>
      <c r="D3" s="177"/>
      <c r="E3" s="177"/>
      <c r="F3" s="177"/>
      <c r="G3" s="177"/>
      <c r="H3" s="177"/>
      <c r="I3" s="177"/>
      <c r="J3" s="177"/>
      <c r="K3" s="177"/>
      <c r="L3" s="177"/>
      <c r="M3" s="177"/>
      <c r="N3" s="23" t="str">
        <f>IF(M4="Part year","Enter days below","")</f>
        <v/>
      </c>
      <c r="Q3" s="2" t="s">
        <v>226</v>
      </c>
    </row>
    <row r="4" spans="2:20" ht="15" customHeight="1" x14ac:dyDescent="0.25">
      <c r="B4" s="240"/>
      <c r="C4" s="239" t="s">
        <v>224</v>
      </c>
      <c r="D4" s="177"/>
      <c r="E4" s="361"/>
      <c r="F4" s="362"/>
      <c r="G4" s="362"/>
      <c r="H4" s="363"/>
      <c r="I4" s="177"/>
      <c r="J4" s="356" t="s">
        <v>225</v>
      </c>
      <c r="K4" s="357"/>
      <c r="L4" s="357"/>
      <c r="M4" s="73" t="s">
        <v>226</v>
      </c>
      <c r="N4" s="73">
        <f>IF(M4="Full year",365,"")</f>
        <v>365</v>
      </c>
      <c r="Q4" s="2" t="s">
        <v>227</v>
      </c>
    </row>
    <row r="5" spans="2:20" x14ac:dyDescent="0.25">
      <c r="B5" s="8"/>
      <c r="C5" s="8"/>
      <c r="D5" s="8"/>
      <c r="E5" s="8"/>
      <c r="F5" s="8"/>
      <c r="G5" s="8"/>
      <c r="H5" s="8"/>
      <c r="I5" s="8"/>
      <c r="J5" s="8"/>
      <c r="K5" s="8"/>
      <c r="L5" s="8"/>
      <c r="M5" s="8"/>
      <c r="N5" s="8"/>
    </row>
    <row r="6" spans="2:20" x14ac:dyDescent="0.25">
      <c r="B6" s="178"/>
      <c r="C6" s="353" t="s">
        <v>199</v>
      </c>
      <c r="D6" s="238"/>
      <c r="E6" s="354" t="s">
        <v>0</v>
      </c>
      <c r="F6" s="238"/>
      <c r="G6" s="354" t="s">
        <v>1</v>
      </c>
      <c r="H6" s="179"/>
      <c r="I6" s="355" t="s">
        <v>6</v>
      </c>
      <c r="J6" s="355"/>
      <c r="K6" s="355"/>
      <c r="L6" s="179"/>
      <c r="M6" s="238" t="s">
        <v>7</v>
      </c>
      <c r="N6" s="69" t="s">
        <v>5</v>
      </c>
      <c r="Q6" s="2" t="s">
        <v>190</v>
      </c>
    </row>
    <row r="7" spans="2:20" ht="14.25" customHeight="1" x14ac:dyDescent="0.25">
      <c r="B7" s="180"/>
      <c r="C7" s="334"/>
      <c r="D7" s="237"/>
      <c r="E7" s="352"/>
      <c r="F7" s="237"/>
      <c r="G7" s="352"/>
      <c r="H7" s="74"/>
      <c r="I7" s="1" t="s">
        <v>329</v>
      </c>
      <c r="J7" s="1" t="s">
        <v>330</v>
      </c>
      <c r="K7" s="1" t="s">
        <v>331</v>
      </c>
      <c r="L7" s="237"/>
      <c r="M7" s="1" t="s">
        <v>332</v>
      </c>
      <c r="N7" s="181" t="s">
        <v>8</v>
      </c>
    </row>
    <row r="8" spans="2:20" x14ac:dyDescent="0.25">
      <c r="B8" s="182"/>
      <c r="C8" s="161" t="s">
        <v>119</v>
      </c>
      <c r="D8" s="161"/>
      <c r="E8" s="161" t="s">
        <v>120</v>
      </c>
      <c r="F8" s="161"/>
      <c r="G8" s="161"/>
      <c r="H8" s="160"/>
      <c r="I8" s="160"/>
      <c r="J8" s="160"/>
      <c r="K8" s="160"/>
      <c r="L8" s="160"/>
      <c r="M8" s="160"/>
      <c r="N8" s="184"/>
      <c r="Q8" s="11" t="s">
        <v>2</v>
      </c>
      <c r="R8" s="11" t="s">
        <v>3</v>
      </c>
      <c r="S8" s="11" t="s">
        <v>4</v>
      </c>
      <c r="T8" s="11" t="s">
        <v>21</v>
      </c>
    </row>
    <row r="9" spans="2:20" ht="15" customHeight="1" x14ac:dyDescent="0.25">
      <c r="B9" s="182"/>
      <c r="C9" s="157" t="s">
        <v>112</v>
      </c>
      <c r="D9" s="160"/>
      <c r="E9" s="158"/>
      <c r="F9" s="161"/>
      <c r="G9" s="162" t="str">
        <f>VLOOKUP($C9,'Calculation engine'!$B$8:$G$28,6,FALSE)</f>
        <v>-</v>
      </c>
      <c r="H9" s="163"/>
      <c r="I9" s="299">
        <f>Q9*$N9/1000</f>
        <v>0</v>
      </c>
      <c r="J9" s="299">
        <f>R9*$N9/1000</f>
        <v>0</v>
      </c>
      <c r="K9" s="299">
        <f>S9*$N9/1000</f>
        <v>0</v>
      </c>
      <c r="L9" s="241"/>
      <c r="M9" s="299">
        <f>SUM(I9:K9)</f>
        <v>0</v>
      </c>
      <c r="N9" s="300">
        <f>T9*E9</f>
        <v>0</v>
      </c>
      <c r="Q9" s="11">
        <f>VLOOKUP($C9,'Calculation engine'!$B$8:$G$28,3,FALSE)</f>
        <v>0</v>
      </c>
      <c r="R9" s="11">
        <f>VLOOKUP($C9,'Calculation engine'!$B$8:$G$28,4,FALSE)</f>
        <v>0</v>
      </c>
      <c r="S9" s="11">
        <f>VLOOKUP($C9,'Calculation engine'!$B$8:$G$28,5,FALSE)</f>
        <v>0</v>
      </c>
      <c r="T9" s="11">
        <f>VLOOKUP($C9,'Calculation engine'!$B$8:$G$28,2,FALSE)</f>
        <v>0</v>
      </c>
    </row>
    <row r="10" spans="2:20" ht="15" customHeight="1" x14ac:dyDescent="0.25">
      <c r="B10" s="182"/>
      <c r="C10" s="157" t="s">
        <v>112</v>
      </c>
      <c r="D10" s="160"/>
      <c r="E10" s="159"/>
      <c r="F10" s="161"/>
      <c r="G10" s="162" t="str">
        <f>VLOOKUP($C10,'Calculation engine'!$B$8:$G$28,6,FALSE)</f>
        <v>-</v>
      </c>
      <c r="H10" s="163"/>
      <c r="I10" s="299">
        <f t="shared" ref="I10:I15" si="0">Q10*$N10/1000</f>
        <v>0</v>
      </c>
      <c r="J10" s="299">
        <f t="shared" ref="J10:J15" si="1">R10*$N10/1000</f>
        <v>0</v>
      </c>
      <c r="K10" s="299">
        <f t="shared" ref="K10:K15" si="2">S10*$N10/1000</f>
        <v>0</v>
      </c>
      <c r="L10" s="241"/>
      <c r="M10" s="299">
        <f t="shared" ref="M10:M15" si="3">SUM(I10:K10)</f>
        <v>0</v>
      </c>
      <c r="N10" s="300">
        <f t="shared" ref="N10:N15" si="4">T10*E10</f>
        <v>0</v>
      </c>
      <c r="Q10" s="11">
        <f>VLOOKUP($C10,'Calculation engine'!$B$8:$G$28,3,FALSE)</f>
        <v>0</v>
      </c>
      <c r="R10" s="11">
        <f>VLOOKUP($C10,'Calculation engine'!$B$8:$G$28,4,FALSE)</f>
        <v>0</v>
      </c>
      <c r="S10" s="11">
        <f>VLOOKUP($C10,'Calculation engine'!$B$8:$G$28,5,FALSE)</f>
        <v>0</v>
      </c>
      <c r="T10" s="11">
        <f>VLOOKUP($C10,'Calculation engine'!$B$8:$G$28,2,FALSE)</f>
        <v>0</v>
      </c>
    </row>
    <row r="11" spans="2:20" ht="15" customHeight="1" x14ac:dyDescent="0.25">
      <c r="B11" s="182"/>
      <c r="C11" s="157" t="s">
        <v>112</v>
      </c>
      <c r="D11" s="160"/>
      <c r="E11" s="159"/>
      <c r="F11" s="161"/>
      <c r="G11" s="162" t="str">
        <f>VLOOKUP($C11,'Calculation engine'!$B$8:$G$28,6,FALSE)</f>
        <v>-</v>
      </c>
      <c r="H11" s="163"/>
      <c r="I11" s="299">
        <f t="shared" ref="I11:K13" si="5">Q11*$N11/1000</f>
        <v>0</v>
      </c>
      <c r="J11" s="299">
        <f t="shared" si="5"/>
        <v>0</v>
      </c>
      <c r="K11" s="299">
        <f t="shared" si="5"/>
        <v>0</v>
      </c>
      <c r="L11" s="241"/>
      <c r="M11" s="299">
        <f>SUM(I11:K11)</f>
        <v>0</v>
      </c>
      <c r="N11" s="300">
        <f>T11*E11</f>
        <v>0</v>
      </c>
      <c r="Q11" s="11">
        <f>VLOOKUP($C11,'Calculation engine'!$B$8:$G$28,3,FALSE)</f>
        <v>0</v>
      </c>
      <c r="R11" s="11">
        <f>VLOOKUP($C11,'Calculation engine'!$B$8:$G$28,4,FALSE)</f>
        <v>0</v>
      </c>
      <c r="S11" s="11">
        <f>VLOOKUP($C11,'Calculation engine'!$B$8:$G$28,5,FALSE)</f>
        <v>0</v>
      </c>
      <c r="T11" s="11">
        <f>VLOOKUP($C11,'Calculation engine'!$B$8:$G$28,2,FALSE)</f>
        <v>0</v>
      </c>
    </row>
    <row r="12" spans="2:20" ht="15" customHeight="1" x14ac:dyDescent="0.25">
      <c r="B12" s="182"/>
      <c r="C12" s="157" t="s">
        <v>112</v>
      </c>
      <c r="D12" s="160"/>
      <c r="E12" s="159"/>
      <c r="F12" s="161"/>
      <c r="G12" s="162" t="str">
        <f>VLOOKUP($C12,'Calculation engine'!$B$8:$G$28,6,FALSE)</f>
        <v>-</v>
      </c>
      <c r="H12" s="163"/>
      <c r="I12" s="299">
        <f t="shared" si="5"/>
        <v>0</v>
      </c>
      <c r="J12" s="299">
        <f t="shared" si="5"/>
        <v>0</v>
      </c>
      <c r="K12" s="299">
        <f t="shared" si="5"/>
        <v>0</v>
      </c>
      <c r="L12" s="241"/>
      <c r="M12" s="299">
        <f>SUM(I12:K12)</f>
        <v>0</v>
      </c>
      <c r="N12" s="300">
        <f>T12*E12</f>
        <v>0</v>
      </c>
      <c r="Q12" s="11">
        <f>VLOOKUP($C12,'Calculation engine'!$B$8:$G$28,3,FALSE)</f>
        <v>0</v>
      </c>
      <c r="R12" s="11">
        <f>VLOOKUP($C12,'Calculation engine'!$B$8:$G$28,4,FALSE)</f>
        <v>0</v>
      </c>
      <c r="S12" s="11">
        <f>VLOOKUP($C12,'Calculation engine'!$B$8:$G$28,5,FALSE)</f>
        <v>0</v>
      </c>
      <c r="T12" s="11">
        <f>VLOOKUP($C12,'Calculation engine'!$B$8:$G$28,2,FALSE)</f>
        <v>0</v>
      </c>
    </row>
    <row r="13" spans="2:20" ht="15" customHeight="1" x14ac:dyDescent="0.25">
      <c r="B13" s="182"/>
      <c r="C13" s="157" t="s">
        <v>112</v>
      </c>
      <c r="D13" s="160"/>
      <c r="E13" s="159"/>
      <c r="F13" s="161"/>
      <c r="G13" s="162" t="str">
        <f>VLOOKUP($C13,'Calculation engine'!$B$8:$G$28,6,FALSE)</f>
        <v>-</v>
      </c>
      <c r="H13" s="163"/>
      <c r="I13" s="299">
        <f t="shared" si="5"/>
        <v>0</v>
      </c>
      <c r="J13" s="299">
        <f t="shared" si="5"/>
        <v>0</v>
      </c>
      <c r="K13" s="299">
        <f t="shared" si="5"/>
        <v>0</v>
      </c>
      <c r="L13" s="241"/>
      <c r="M13" s="299">
        <f>SUM(I13:K13)</f>
        <v>0</v>
      </c>
      <c r="N13" s="300">
        <f>T13*E13</f>
        <v>0</v>
      </c>
      <c r="Q13" s="11">
        <f>VLOOKUP($C13,'Calculation engine'!$B$8:$G$28,3,FALSE)</f>
        <v>0</v>
      </c>
      <c r="R13" s="11">
        <f>VLOOKUP($C13,'Calculation engine'!$B$8:$G$28,4,FALSE)</f>
        <v>0</v>
      </c>
      <c r="S13" s="11">
        <f>VLOOKUP($C13,'Calculation engine'!$B$8:$G$28,5,FALSE)</f>
        <v>0</v>
      </c>
      <c r="T13" s="11">
        <f>VLOOKUP($C13,'Calculation engine'!$B$8:$G$28,2,FALSE)</f>
        <v>0</v>
      </c>
    </row>
    <row r="14" spans="2:20" ht="15" customHeight="1" x14ac:dyDescent="0.25">
      <c r="B14" s="182"/>
      <c r="C14" s="157" t="s">
        <v>112</v>
      </c>
      <c r="D14" s="160"/>
      <c r="E14" s="159"/>
      <c r="F14" s="161"/>
      <c r="G14" s="162" t="str">
        <f>VLOOKUP($C14,'Calculation engine'!$B$8:$G$28,6,FALSE)</f>
        <v>-</v>
      </c>
      <c r="H14" s="163"/>
      <c r="I14" s="299">
        <f t="shared" si="0"/>
        <v>0</v>
      </c>
      <c r="J14" s="299">
        <f t="shared" si="1"/>
        <v>0</v>
      </c>
      <c r="K14" s="299">
        <f t="shared" si="2"/>
        <v>0</v>
      </c>
      <c r="L14" s="241"/>
      <c r="M14" s="299">
        <f t="shared" si="3"/>
        <v>0</v>
      </c>
      <c r="N14" s="300">
        <f t="shared" si="4"/>
        <v>0</v>
      </c>
      <c r="Q14" s="11">
        <f>VLOOKUP($C14,'Calculation engine'!$B$8:$G$28,3,FALSE)</f>
        <v>0</v>
      </c>
      <c r="R14" s="11">
        <f>VLOOKUP($C14,'Calculation engine'!$B$8:$G$28,4,FALSE)</f>
        <v>0</v>
      </c>
      <c r="S14" s="11">
        <f>VLOOKUP($C14,'Calculation engine'!$B$8:$G$28,5,FALSE)</f>
        <v>0</v>
      </c>
      <c r="T14" s="11">
        <f>VLOOKUP($C14,'Calculation engine'!$B$8:$G$28,2,FALSE)</f>
        <v>0</v>
      </c>
    </row>
    <row r="15" spans="2:20" ht="15" customHeight="1" x14ac:dyDescent="0.25">
      <c r="B15" s="182"/>
      <c r="C15" s="157" t="s">
        <v>112</v>
      </c>
      <c r="D15" s="160"/>
      <c r="E15" s="159"/>
      <c r="F15" s="161"/>
      <c r="G15" s="162" t="str">
        <f>VLOOKUP($C15,'Calculation engine'!$B$8:$G$28,6,FALSE)</f>
        <v>-</v>
      </c>
      <c r="H15" s="163"/>
      <c r="I15" s="299">
        <f t="shared" si="0"/>
        <v>0</v>
      </c>
      <c r="J15" s="299">
        <f t="shared" si="1"/>
        <v>0</v>
      </c>
      <c r="K15" s="299">
        <f t="shared" si="2"/>
        <v>0</v>
      </c>
      <c r="L15" s="241"/>
      <c r="M15" s="299">
        <f t="shared" si="3"/>
        <v>0</v>
      </c>
      <c r="N15" s="300">
        <f t="shared" si="4"/>
        <v>0</v>
      </c>
      <c r="Q15" s="11">
        <f>VLOOKUP($C15,'Calculation engine'!$B$8:$G$28,3,FALSE)</f>
        <v>0</v>
      </c>
      <c r="R15" s="11">
        <f>VLOOKUP($C15,'Calculation engine'!$B$8:$G$28,4,FALSE)</f>
        <v>0</v>
      </c>
      <c r="S15" s="11">
        <f>VLOOKUP($C15,'Calculation engine'!$B$8:$G$28,5,FALSE)</f>
        <v>0</v>
      </c>
      <c r="T15" s="11">
        <f>VLOOKUP($C15,'Calculation engine'!$B$8:$G$28,2,FALSE)</f>
        <v>0</v>
      </c>
    </row>
    <row r="16" spans="2:20" ht="15" customHeight="1" x14ac:dyDescent="0.25">
      <c r="B16" s="185"/>
      <c r="C16" s="165"/>
      <c r="D16" s="165"/>
      <c r="E16" s="166"/>
      <c r="F16" s="166"/>
      <c r="G16" s="350" t="s">
        <v>327</v>
      </c>
      <c r="H16" s="350"/>
      <c r="I16" s="350"/>
      <c r="J16" s="350"/>
      <c r="K16" s="350"/>
      <c r="L16" s="350"/>
      <c r="M16" s="301">
        <f>SUM(M9:M15)</f>
        <v>0</v>
      </c>
      <c r="N16" s="302">
        <f>SUM(N9:N15)</f>
        <v>0</v>
      </c>
    </row>
    <row r="17" spans="2:20" ht="15" customHeight="1" x14ac:dyDescent="0.25">
      <c r="B17" s="8"/>
      <c r="C17" s="8"/>
      <c r="D17" s="8"/>
      <c r="E17" s="23"/>
      <c r="F17" s="23"/>
      <c r="G17" s="23"/>
      <c r="H17" s="8"/>
      <c r="I17" s="8"/>
      <c r="J17" s="8"/>
      <c r="K17" s="8"/>
      <c r="L17" s="8"/>
      <c r="M17" s="8"/>
      <c r="N17" s="8"/>
    </row>
    <row r="18" spans="2:20" ht="15" customHeight="1" x14ac:dyDescent="0.25">
      <c r="B18" s="178"/>
      <c r="C18" s="353" t="s">
        <v>200</v>
      </c>
      <c r="D18" s="238"/>
      <c r="E18" s="354" t="s">
        <v>0</v>
      </c>
      <c r="F18" s="238"/>
      <c r="G18" s="354" t="s">
        <v>1</v>
      </c>
      <c r="H18" s="179"/>
      <c r="I18" s="355" t="s">
        <v>6</v>
      </c>
      <c r="J18" s="355"/>
      <c r="K18" s="355"/>
      <c r="L18" s="179"/>
      <c r="M18" s="238" t="s">
        <v>7</v>
      </c>
      <c r="N18" s="69" t="s">
        <v>5</v>
      </c>
    </row>
    <row r="19" spans="2:20" ht="15.75" customHeight="1" x14ac:dyDescent="0.25">
      <c r="B19" s="180"/>
      <c r="C19" s="334"/>
      <c r="D19" s="237"/>
      <c r="E19" s="352"/>
      <c r="F19" s="237"/>
      <c r="G19" s="352"/>
      <c r="H19" s="74"/>
      <c r="I19" s="1" t="s">
        <v>329</v>
      </c>
      <c r="J19" s="1" t="s">
        <v>330</v>
      </c>
      <c r="K19" s="1" t="s">
        <v>331</v>
      </c>
      <c r="L19" s="237"/>
      <c r="M19" s="1" t="s">
        <v>332</v>
      </c>
      <c r="N19" s="181" t="s">
        <v>8</v>
      </c>
    </row>
    <row r="20" spans="2:20" ht="15" customHeight="1" x14ac:dyDescent="0.25">
      <c r="B20" s="182"/>
      <c r="C20" s="161" t="s">
        <v>119</v>
      </c>
      <c r="D20" s="161"/>
      <c r="E20" s="161" t="s">
        <v>120</v>
      </c>
      <c r="F20" s="161"/>
      <c r="G20" s="161"/>
      <c r="H20" s="160"/>
      <c r="I20" s="160"/>
      <c r="J20" s="160"/>
      <c r="K20" s="160"/>
      <c r="L20" s="160"/>
      <c r="M20" s="160"/>
      <c r="N20" s="184"/>
      <c r="Q20" s="11" t="s">
        <v>2</v>
      </c>
      <c r="R20" s="11" t="s">
        <v>3</v>
      </c>
      <c r="S20" s="11" t="s">
        <v>4</v>
      </c>
      <c r="T20" s="11" t="s">
        <v>21</v>
      </c>
    </row>
    <row r="21" spans="2:20" ht="15" customHeight="1" x14ac:dyDescent="0.25">
      <c r="B21" s="182"/>
      <c r="C21" s="157" t="s">
        <v>112</v>
      </c>
      <c r="D21" s="160"/>
      <c r="E21" s="158"/>
      <c r="F21" s="161"/>
      <c r="G21" s="162" t="str">
        <f>VLOOKUP($C21,'Calculation engine'!$I$8:$N$62,6,FALSE)</f>
        <v>-</v>
      </c>
      <c r="H21" s="163"/>
      <c r="I21" s="299">
        <f t="shared" ref="I21:K27" si="6">Q21*$N21/1000</f>
        <v>0</v>
      </c>
      <c r="J21" s="299">
        <f t="shared" si="6"/>
        <v>0</v>
      </c>
      <c r="K21" s="299">
        <f t="shared" si="6"/>
        <v>0</v>
      </c>
      <c r="L21" s="241"/>
      <c r="M21" s="299">
        <f t="shared" ref="M21:M27" si="7">SUM(I21:K21)</f>
        <v>0</v>
      </c>
      <c r="N21" s="300">
        <f t="shared" ref="N21:N27" si="8">T21*E21</f>
        <v>0</v>
      </c>
      <c r="Q21" s="11">
        <f>VLOOKUP($C21,'Calculation engine'!$I$8:$N$62,3,FALSE)</f>
        <v>0</v>
      </c>
      <c r="R21" s="11">
        <f>VLOOKUP($C21,'Calculation engine'!$I$8:$N$62,4,FALSE)</f>
        <v>0</v>
      </c>
      <c r="S21" s="11">
        <f>VLOOKUP($C21,'Calculation engine'!$I$8:$N$62,5,FALSE)</f>
        <v>0</v>
      </c>
      <c r="T21" s="11">
        <f>VLOOKUP($C21,'Calculation engine'!$I$8:$N$62,2,FALSE)</f>
        <v>0</v>
      </c>
    </row>
    <row r="22" spans="2:20" ht="14.25" customHeight="1" x14ac:dyDescent="0.25">
      <c r="B22" s="182"/>
      <c r="C22" s="157" t="s">
        <v>112</v>
      </c>
      <c r="D22" s="160"/>
      <c r="E22" s="159"/>
      <c r="F22" s="161"/>
      <c r="G22" s="162" t="str">
        <f>VLOOKUP($C22,'Calculation engine'!$I$8:$N$62,6,FALSE)</f>
        <v>-</v>
      </c>
      <c r="H22" s="163"/>
      <c r="I22" s="299">
        <f t="shared" si="6"/>
        <v>0</v>
      </c>
      <c r="J22" s="299">
        <f t="shared" si="6"/>
        <v>0</v>
      </c>
      <c r="K22" s="299">
        <f t="shared" si="6"/>
        <v>0</v>
      </c>
      <c r="L22" s="241"/>
      <c r="M22" s="299">
        <f t="shared" si="7"/>
        <v>0</v>
      </c>
      <c r="N22" s="300">
        <f t="shared" si="8"/>
        <v>0</v>
      </c>
      <c r="Q22" s="11">
        <f>VLOOKUP($C22,'Calculation engine'!$I$8:$N$62,3,FALSE)</f>
        <v>0</v>
      </c>
      <c r="R22" s="11">
        <f>VLOOKUP($C22,'Calculation engine'!$I$8:$N$62,4,FALSE)</f>
        <v>0</v>
      </c>
      <c r="S22" s="11">
        <f>VLOOKUP($C22,'Calculation engine'!$I$8:$N$62,5,FALSE)</f>
        <v>0</v>
      </c>
      <c r="T22" s="11">
        <f>VLOOKUP($C22,'Calculation engine'!$I$8:$N$62,2,FALSE)</f>
        <v>0</v>
      </c>
    </row>
    <row r="23" spans="2:20" ht="15" customHeight="1" x14ac:dyDescent="0.25">
      <c r="B23" s="182"/>
      <c r="C23" s="157" t="s">
        <v>112</v>
      </c>
      <c r="D23" s="160"/>
      <c r="E23" s="159"/>
      <c r="F23" s="161"/>
      <c r="G23" s="162" t="str">
        <f>VLOOKUP($C23,'Calculation engine'!$I$8:$N$62,6,FALSE)</f>
        <v>-</v>
      </c>
      <c r="H23" s="163"/>
      <c r="I23" s="299">
        <f t="shared" si="6"/>
        <v>0</v>
      </c>
      <c r="J23" s="299">
        <f t="shared" si="6"/>
        <v>0</v>
      </c>
      <c r="K23" s="299">
        <f t="shared" si="6"/>
        <v>0</v>
      </c>
      <c r="L23" s="241"/>
      <c r="M23" s="299">
        <f t="shared" si="7"/>
        <v>0</v>
      </c>
      <c r="N23" s="300">
        <f t="shared" si="8"/>
        <v>0</v>
      </c>
      <c r="Q23" s="11">
        <f>VLOOKUP($C23,'Calculation engine'!$I$8:$N$62,3,FALSE)</f>
        <v>0</v>
      </c>
      <c r="R23" s="11">
        <f>VLOOKUP($C23,'Calculation engine'!$I$8:$N$62,4,FALSE)</f>
        <v>0</v>
      </c>
      <c r="S23" s="11">
        <f>VLOOKUP($C23,'Calculation engine'!$I$8:$N$62,5,FALSE)</f>
        <v>0</v>
      </c>
      <c r="T23" s="11">
        <f>VLOOKUP($C23,'Calculation engine'!$I$8:$N$62,2,FALSE)</f>
        <v>0</v>
      </c>
    </row>
    <row r="24" spans="2:20" ht="15" customHeight="1" x14ac:dyDescent="0.25">
      <c r="B24" s="182"/>
      <c r="C24" s="157" t="s">
        <v>112</v>
      </c>
      <c r="D24" s="160"/>
      <c r="E24" s="159"/>
      <c r="F24" s="161"/>
      <c r="G24" s="162" t="str">
        <f>VLOOKUP($C24,'Calculation engine'!$I$8:$N$62,6,FALSE)</f>
        <v>-</v>
      </c>
      <c r="H24" s="163"/>
      <c r="I24" s="299">
        <f t="shared" si="6"/>
        <v>0</v>
      </c>
      <c r="J24" s="299">
        <f t="shared" si="6"/>
        <v>0</v>
      </c>
      <c r="K24" s="299">
        <f t="shared" si="6"/>
        <v>0</v>
      </c>
      <c r="L24" s="241"/>
      <c r="M24" s="299">
        <f t="shared" si="7"/>
        <v>0</v>
      </c>
      <c r="N24" s="300">
        <f t="shared" si="8"/>
        <v>0</v>
      </c>
      <c r="Q24" s="11">
        <f>VLOOKUP($C24,'Calculation engine'!$I$8:$N$62,3,FALSE)</f>
        <v>0</v>
      </c>
      <c r="R24" s="11">
        <f>VLOOKUP($C24,'Calculation engine'!$I$8:$N$62,4,FALSE)</f>
        <v>0</v>
      </c>
      <c r="S24" s="11">
        <f>VLOOKUP($C24,'Calculation engine'!$I$8:$N$62,5,FALSE)</f>
        <v>0</v>
      </c>
      <c r="T24" s="11">
        <f>VLOOKUP($C24,'Calculation engine'!$I$8:$N$62,2,FALSE)</f>
        <v>0</v>
      </c>
    </row>
    <row r="25" spans="2:20" ht="15" customHeight="1" x14ac:dyDescent="0.25">
      <c r="B25" s="182"/>
      <c r="C25" s="157" t="s">
        <v>112</v>
      </c>
      <c r="D25" s="160"/>
      <c r="E25" s="159"/>
      <c r="F25" s="161"/>
      <c r="G25" s="162" t="str">
        <f>VLOOKUP($C25,'Calculation engine'!$I$8:$N$62,6,FALSE)</f>
        <v>-</v>
      </c>
      <c r="H25" s="163"/>
      <c r="I25" s="299">
        <f t="shared" si="6"/>
        <v>0</v>
      </c>
      <c r="J25" s="299">
        <f t="shared" si="6"/>
        <v>0</v>
      </c>
      <c r="K25" s="299">
        <f t="shared" si="6"/>
        <v>0</v>
      </c>
      <c r="L25" s="241"/>
      <c r="M25" s="299">
        <f t="shared" si="7"/>
        <v>0</v>
      </c>
      <c r="N25" s="300">
        <f t="shared" si="8"/>
        <v>0</v>
      </c>
      <c r="Q25" s="11">
        <f>VLOOKUP($C25,'Calculation engine'!$I$8:$N$62,3,FALSE)</f>
        <v>0</v>
      </c>
      <c r="R25" s="11">
        <f>VLOOKUP($C25,'Calculation engine'!$I$8:$N$62,4,FALSE)</f>
        <v>0</v>
      </c>
      <c r="S25" s="11">
        <f>VLOOKUP($C25,'Calculation engine'!$I$8:$N$62,5,FALSE)</f>
        <v>0</v>
      </c>
      <c r="T25" s="11">
        <f>VLOOKUP($C25,'Calculation engine'!$I$8:$N$62,2,FALSE)</f>
        <v>0</v>
      </c>
    </row>
    <row r="26" spans="2:20" ht="15" customHeight="1" x14ac:dyDescent="0.25">
      <c r="B26" s="182"/>
      <c r="C26" s="157" t="s">
        <v>112</v>
      </c>
      <c r="D26" s="160"/>
      <c r="E26" s="159"/>
      <c r="F26" s="161"/>
      <c r="G26" s="162" t="str">
        <f>VLOOKUP($C26,'Calculation engine'!$I$8:$N$62,6,FALSE)</f>
        <v>-</v>
      </c>
      <c r="H26" s="163"/>
      <c r="I26" s="299">
        <f t="shared" si="6"/>
        <v>0</v>
      </c>
      <c r="J26" s="299">
        <f t="shared" si="6"/>
        <v>0</v>
      </c>
      <c r="K26" s="299">
        <f t="shared" si="6"/>
        <v>0</v>
      </c>
      <c r="L26" s="241"/>
      <c r="M26" s="299">
        <f t="shared" si="7"/>
        <v>0</v>
      </c>
      <c r="N26" s="300">
        <f t="shared" si="8"/>
        <v>0</v>
      </c>
      <c r="Q26" s="11">
        <f>VLOOKUP($C26,'Calculation engine'!$I$8:$N$62,3,FALSE)</f>
        <v>0</v>
      </c>
      <c r="R26" s="11">
        <f>VLOOKUP($C26,'Calculation engine'!$I$8:$N$62,4,FALSE)</f>
        <v>0</v>
      </c>
      <c r="S26" s="11">
        <f>VLOOKUP($C26,'Calculation engine'!$I$8:$N$62,5,FALSE)</f>
        <v>0</v>
      </c>
      <c r="T26" s="11">
        <f>VLOOKUP($C26,'Calculation engine'!$I$8:$N$62,2,FALSE)</f>
        <v>0</v>
      </c>
    </row>
    <row r="27" spans="2:20" ht="15" customHeight="1" x14ac:dyDescent="0.25">
      <c r="B27" s="182"/>
      <c r="C27" s="157" t="s">
        <v>112</v>
      </c>
      <c r="D27" s="160"/>
      <c r="E27" s="159"/>
      <c r="F27" s="161"/>
      <c r="G27" s="162" t="str">
        <f>VLOOKUP($C27,'Calculation engine'!$I$8:$N$62,6,FALSE)</f>
        <v>-</v>
      </c>
      <c r="H27" s="163"/>
      <c r="I27" s="299">
        <f t="shared" si="6"/>
        <v>0</v>
      </c>
      <c r="J27" s="299">
        <f t="shared" si="6"/>
        <v>0</v>
      </c>
      <c r="K27" s="299">
        <f t="shared" si="6"/>
        <v>0</v>
      </c>
      <c r="L27" s="241"/>
      <c r="M27" s="299">
        <f t="shared" si="7"/>
        <v>0</v>
      </c>
      <c r="N27" s="300">
        <f t="shared" si="8"/>
        <v>0</v>
      </c>
      <c r="Q27" s="11">
        <f>VLOOKUP($C27,'Calculation engine'!$I$8:$N$62,3,FALSE)</f>
        <v>0</v>
      </c>
      <c r="R27" s="11">
        <f>VLOOKUP($C27,'Calculation engine'!$I$8:$N$62,4,FALSE)</f>
        <v>0</v>
      </c>
      <c r="S27" s="11">
        <f>VLOOKUP($C27,'Calculation engine'!$I$8:$N$62,5,FALSE)</f>
        <v>0</v>
      </c>
      <c r="T27" s="11">
        <f>VLOOKUP($C27,'Calculation engine'!$I$8:$N$62,2,FALSE)</f>
        <v>0</v>
      </c>
    </row>
    <row r="28" spans="2:20" ht="15" customHeight="1" x14ac:dyDescent="0.25">
      <c r="B28" s="185"/>
      <c r="C28" s="165"/>
      <c r="D28" s="165"/>
      <c r="E28" s="166"/>
      <c r="F28" s="166"/>
      <c r="G28" s="350" t="s">
        <v>328</v>
      </c>
      <c r="H28" s="350"/>
      <c r="I28" s="350"/>
      <c r="J28" s="350"/>
      <c r="K28" s="350"/>
      <c r="L28" s="350"/>
      <c r="M28" s="301">
        <f>SUM(M21:M27)</f>
        <v>0</v>
      </c>
      <c r="N28" s="302">
        <f>SUM(N21:N27)</f>
        <v>0</v>
      </c>
    </row>
    <row r="29" spans="2:20" ht="15" customHeight="1" x14ac:dyDescent="0.25">
      <c r="B29" s="8"/>
      <c r="C29" s="8"/>
      <c r="D29" s="8"/>
      <c r="E29" s="23"/>
      <c r="F29" s="23"/>
      <c r="G29" s="23"/>
      <c r="H29" s="8"/>
      <c r="I29" s="8"/>
      <c r="J29" s="8"/>
      <c r="K29" s="8"/>
      <c r="L29" s="8"/>
      <c r="M29" s="8"/>
      <c r="N29" s="8"/>
    </row>
    <row r="30" spans="2:20" ht="15" customHeight="1" x14ac:dyDescent="0.25">
      <c r="B30" s="178"/>
      <c r="C30" s="353" t="s">
        <v>201</v>
      </c>
      <c r="D30" s="238"/>
      <c r="E30" s="354" t="s">
        <v>0</v>
      </c>
      <c r="F30" s="238"/>
      <c r="G30" s="354" t="s">
        <v>1</v>
      </c>
      <c r="H30" s="179"/>
      <c r="I30" s="355" t="s">
        <v>121</v>
      </c>
      <c r="J30" s="355"/>
      <c r="K30" s="355"/>
      <c r="L30" s="179"/>
      <c r="M30" s="238" t="s">
        <v>9</v>
      </c>
      <c r="N30" s="69" t="s">
        <v>5</v>
      </c>
    </row>
    <row r="31" spans="2:20" ht="15" customHeight="1" x14ac:dyDescent="0.25">
      <c r="B31" s="180"/>
      <c r="C31" s="334"/>
      <c r="D31" s="237"/>
      <c r="E31" s="352"/>
      <c r="F31" s="237"/>
      <c r="G31" s="352"/>
      <c r="H31" s="74"/>
      <c r="I31" s="1" t="s">
        <v>20</v>
      </c>
      <c r="J31" s="1"/>
      <c r="K31" s="74"/>
      <c r="L31" s="237"/>
      <c r="M31" s="1" t="s">
        <v>332</v>
      </c>
      <c r="N31" s="181" t="s">
        <v>8</v>
      </c>
      <c r="Q31" s="2" t="s">
        <v>193</v>
      </c>
    </row>
    <row r="32" spans="2:20" ht="15" customHeight="1" x14ac:dyDescent="0.25">
      <c r="B32" s="182"/>
      <c r="C32" s="161" t="s">
        <v>118</v>
      </c>
      <c r="D32" s="161"/>
      <c r="E32" s="161" t="s">
        <v>120</v>
      </c>
      <c r="F32" s="161"/>
      <c r="G32" s="161"/>
      <c r="H32" s="160"/>
      <c r="I32" s="160"/>
      <c r="J32" s="160"/>
      <c r="K32" s="160"/>
      <c r="L32" s="160"/>
      <c r="M32" s="160"/>
      <c r="N32" s="184"/>
      <c r="Q32" s="1" t="s">
        <v>21</v>
      </c>
    </row>
    <row r="33" spans="2:20" ht="15" customHeight="1" x14ac:dyDescent="0.25">
      <c r="B33" s="182"/>
      <c r="C33" s="157" t="s">
        <v>112</v>
      </c>
      <c r="D33" s="160"/>
      <c r="E33" s="158"/>
      <c r="F33" s="161"/>
      <c r="G33" s="162" t="s">
        <v>23</v>
      </c>
      <c r="H33" s="174"/>
      <c r="I33" s="275">
        <f>VLOOKUP($C33,'Calculation engine'!$Q$10:$T$19,2,FALSE)</f>
        <v>0</v>
      </c>
      <c r="J33" s="359" t="str">
        <f>IF(C33="Not purchased from the main grid","You can enter a custom factor for EF","")</f>
        <v/>
      </c>
      <c r="K33" s="359"/>
      <c r="L33" s="359"/>
      <c r="M33" s="299">
        <f>E33*I33/1000</f>
        <v>0</v>
      </c>
      <c r="N33" s="300">
        <f>E33*Q34</f>
        <v>0</v>
      </c>
      <c r="Q33" s="3"/>
    </row>
    <row r="34" spans="2:20" ht="15.75" customHeight="1" x14ac:dyDescent="0.25">
      <c r="B34" s="182"/>
      <c r="C34" s="157" t="s">
        <v>112</v>
      </c>
      <c r="D34" s="160"/>
      <c r="E34" s="187"/>
      <c r="F34" s="161"/>
      <c r="G34" s="162" t="s">
        <v>23</v>
      </c>
      <c r="H34" s="174"/>
      <c r="I34" s="275">
        <f>VLOOKUP($C34,'Calculation engine'!$Q$10:$T$19,2,FALSE)</f>
        <v>0</v>
      </c>
      <c r="J34" s="358" t="str">
        <f>IF(C34="Not purchased from the main grid","You can enter a custom factor for EF","")</f>
        <v/>
      </c>
      <c r="K34" s="358"/>
      <c r="L34" s="358"/>
      <c r="M34" s="299">
        <f>E34*I34/1000</f>
        <v>0</v>
      </c>
      <c r="N34" s="300">
        <f>E34*Q35</f>
        <v>0</v>
      </c>
      <c r="Q34" s="4">
        <f>VLOOKUP($C33,'Calculation engine'!$Q$10:$T$19,3,FALSE)</f>
        <v>0</v>
      </c>
    </row>
    <row r="35" spans="2:20" ht="16.5" customHeight="1" x14ac:dyDescent="0.25">
      <c r="B35" s="185"/>
      <c r="C35" s="165"/>
      <c r="D35" s="165"/>
      <c r="E35" s="166"/>
      <c r="F35" s="166"/>
      <c r="G35" s="350" t="s">
        <v>333</v>
      </c>
      <c r="H35" s="350"/>
      <c r="I35" s="350"/>
      <c r="J35" s="350"/>
      <c r="K35" s="350"/>
      <c r="L35" s="350"/>
      <c r="M35" s="301">
        <f>SUM(M33:M34)</f>
        <v>0</v>
      </c>
      <c r="N35" s="302">
        <f>SUM(N33:N34)</f>
        <v>0</v>
      </c>
      <c r="Q35" s="4">
        <f>VLOOKUP($C34,'Calculation engine'!$Q$10:$T$19,3,FALSE)</f>
        <v>0</v>
      </c>
    </row>
    <row r="36" spans="2:20" ht="15" customHeight="1" x14ac:dyDescent="0.25">
      <c r="B36" s="8"/>
      <c r="C36" s="8"/>
      <c r="D36" s="8"/>
      <c r="E36" s="23"/>
      <c r="F36" s="23"/>
      <c r="G36" s="188"/>
      <c r="H36" s="188"/>
      <c r="I36" s="188"/>
      <c r="J36" s="188"/>
      <c r="K36" s="188"/>
      <c r="L36" s="188"/>
      <c r="M36" s="27"/>
      <c r="N36" s="27"/>
    </row>
    <row r="37" spans="2:20" ht="15" customHeight="1" x14ac:dyDescent="0.25">
      <c r="B37" s="178"/>
      <c r="C37" s="353" t="s">
        <v>158</v>
      </c>
      <c r="D37" s="238"/>
      <c r="E37" s="354" t="s">
        <v>0</v>
      </c>
      <c r="F37" s="238"/>
      <c r="G37" s="354" t="s">
        <v>1</v>
      </c>
      <c r="H37" s="179"/>
      <c r="I37" s="355"/>
      <c r="J37" s="355"/>
      <c r="K37" s="355"/>
      <c r="L37" s="179"/>
      <c r="M37" s="238"/>
      <c r="N37" s="69" t="s">
        <v>5</v>
      </c>
    </row>
    <row r="38" spans="2:20" ht="15" customHeight="1" x14ac:dyDescent="0.25">
      <c r="B38" s="180"/>
      <c r="C38" s="334"/>
      <c r="D38" s="237"/>
      <c r="E38" s="352"/>
      <c r="F38" s="237"/>
      <c r="G38" s="352"/>
      <c r="H38" s="74"/>
      <c r="I38" s="1"/>
      <c r="J38" s="1"/>
      <c r="K38" s="74"/>
      <c r="L38" s="237"/>
      <c r="M38" s="1"/>
      <c r="N38" s="181" t="s">
        <v>8</v>
      </c>
    </row>
    <row r="39" spans="2:20" ht="15" customHeight="1" x14ac:dyDescent="0.25">
      <c r="B39" s="182"/>
      <c r="C39" s="161" t="s">
        <v>196</v>
      </c>
      <c r="D39" s="161"/>
      <c r="E39" s="161" t="s">
        <v>120</v>
      </c>
      <c r="F39" s="161"/>
      <c r="G39" s="161"/>
      <c r="H39" s="160"/>
      <c r="I39" s="160"/>
      <c r="J39" s="160"/>
      <c r="K39" s="160"/>
      <c r="L39" s="160"/>
      <c r="M39" s="160"/>
      <c r="N39" s="184"/>
      <c r="Q39" s="11" t="s">
        <v>2</v>
      </c>
      <c r="R39" s="11" t="s">
        <v>3</v>
      </c>
      <c r="S39" s="11" t="s">
        <v>4</v>
      </c>
      <c r="T39" s="11" t="s">
        <v>21</v>
      </c>
    </row>
    <row r="40" spans="2:20" ht="15" customHeight="1" x14ac:dyDescent="0.25">
      <c r="B40" s="182"/>
      <c r="C40" s="157" t="s">
        <v>112</v>
      </c>
      <c r="D40" s="160"/>
      <c r="E40" s="158"/>
      <c r="F40" s="161"/>
      <c r="G40" s="162" t="str">
        <f>VLOOKUP($C40,'Calculation engine'!$AD$8:$AI$78,6,FALSE)</f>
        <v>-</v>
      </c>
      <c r="H40" s="174"/>
      <c r="I40" s="251"/>
      <c r="J40" s="251"/>
      <c r="K40" s="189"/>
      <c r="L40" s="251"/>
      <c r="M40" s="251">
        <f>E40*I40/1000</f>
        <v>0</v>
      </c>
      <c r="N40" s="300">
        <f>T40*E40</f>
        <v>0</v>
      </c>
      <c r="Q40" s="11"/>
      <c r="R40" s="11"/>
      <c r="S40" s="11"/>
      <c r="T40" s="11">
        <f>VLOOKUP($C40,'Calculation engine'!$AD$8:$AI$78,5,FALSE)</f>
        <v>0</v>
      </c>
    </row>
    <row r="41" spans="2:20" ht="15" customHeight="1" x14ac:dyDescent="0.25">
      <c r="B41" s="182"/>
      <c r="C41" s="157" t="s">
        <v>112</v>
      </c>
      <c r="D41" s="160"/>
      <c r="E41" s="190"/>
      <c r="F41" s="161"/>
      <c r="G41" s="162" t="str">
        <f>VLOOKUP($C41,'Calculation engine'!$AD$8:$AI$78,6,FALSE)</f>
        <v>-</v>
      </c>
      <c r="H41" s="174"/>
      <c r="I41" s="251"/>
      <c r="J41" s="251"/>
      <c r="K41" s="189"/>
      <c r="L41" s="251"/>
      <c r="M41" s="251"/>
      <c r="N41" s="300">
        <f>T41*E41</f>
        <v>0</v>
      </c>
      <c r="Q41" s="11"/>
      <c r="R41" s="11"/>
      <c r="S41" s="11"/>
      <c r="T41" s="11">
        <f>VLOOKUP($C41,'Calculation engine'!$AD$8:$AI$78,5,FALSE)</f>
        <v>0</v>
      </c>
    </row>
    <row r="42" spans="2:20" ht="15" customHeight="1" x14ac:dyDescent="0.25">
      <c r="B42" s="182"/>
      <c r="C42" s="157" t="s">
        <v>112</v>
      </c>
      <c r="D42" s="160"/>
      <c r="E42" s="187"/>
      <c r="F42" s="161"/>
      <c r="G42" s="162" t="str">
        <f>VLOOKUP($C42,'Calculation engine'!$AD$8:$AI$78,6,FALSE)</f>
        <v>-</v>
      </c>
      <c r="H42" s="174"/>
      <c r="I42" s="251"/>
      <c r="J42" s="349"/>
      <c r="K42" s="349"/>
      <c r="L42" s="251"/>
      <c r="M42" s="251">
        <f>E42*I42/1000</f>
        <v>0</v>
      </c>
      <c r="N42" s="300">
        <f>T42*E42</f>
        <v>0</v>
      </c>
      <c r="Q42" s="11"/>
      <c r="R42" s="11"/>
      <c r="S42" s="11"/>
      <c r="T42" s="11">
        <f>VLOOKUP($C42,'Calculation engine'!$AD$8:$AI$78,5,FALSE)</f>
        <v>0</v>
      </c>
    </row>
    <row r="43" spans="2:20" ht="15" customHeight="1" x14ac:dyDescent="0.25">
      <c r="B43" s="185"/>
      <c r="C43" s="165"/>
      <c r="D43" s="165"/>
      <c r="E43" s="166"/>
      <c r="F43" s="166"/>
      <c r="G43" s="350" t="s">
        <v>173</v>
      </c>
      <c r="H43" s="350"/>
      <c r="I43" s="350"/>
      <c r="J43" s="350"/>
      <c r="K43" s="350"/>
      <c r="L43" s="350"/>
      <c r="M43" s="191"/>
      <c r="N43" s="302">
        <f>SUM(N40:N42)</f>
        <v>0</v>
      </c>
    </row>
    <row r="44" spans="2:20" ht="15" customHeight="1" x14ac:dyDescent="0.25">
      <c r="B44" s="8"/>
      <c r="C44" s="8"/>
      <c r="D44" s="8"/>
      <c r="E44" s="23"/>
      <c r="F44" s="23"/>
      <c r="G44" s="188"/>
      <c r="H44" s="188"/>
      <c r="I44" s="188"/>
      <c r="J44" s="188"/>
      <c r="K44" s="188"/>
      <c r="L44" s="188"/>
      <c r="M44" s="27"/>
      <c r="N44" s="27"/>
    </row>
    <row r="45" spans="2:20" ht="15" customHeight="1" x14ac:dyDescent="0.25">
      <c r="B45" s="178"/>
      <c r="C45" s="353" t="s">
        <v>202</v>
      </c>
      <c r="D45" s="238"/>
      <c r="E45" s="354" t="s">
        <v>0</v>
      </c>
      <c r="F45" s="238"/>
      <c r="G45" s="354" t="s">
        <v>1</v>
      </c>
      <c r="H45" s="179"/>
      <c r="I45" s="355"/>
      <c r="J45" s="355"/>
      <c r="K45" s="355"/>
      <c r="L45" s="179"/>
      <c r="M45" s="238"/>
      <c r="N45" s="69" t="s">
        <v>5</v>
      </c>
    </row>
    <row r="46" spans="2:20" ht="15" customHeight="1" x14ac:dyDescent="0.25">
      <c r="B46" s="180"/>
      <c r="C46" s="334"/>
      <c r="D46" s="237"/>
      <c r="E46" s="352"/>
      <c r="F46" s="237"/>
      <c r="G46" s="352"/>
      <c r="H46" s="74"/>
      <c r="I46" s="1"/>
      <c r="J46" s="1"/>
      <c r="K46" s="74"/>
      <c r="L46" s="237"/>
      <c r="M46" s="1"/>
      <c r="N46" s="181" t="s">
        <v>8</v>
      </c>
    </row>
    <row r="47" spans="2:20" ht="15" customHeight="1" x14ac:dyDescent="0.25">
      <c r="B47" s="182"/>
      <c r="C47" s="161" t="s">
        <v>197</v>
      </c>
      <c r="D47" s="161"/>
      <c r="E47" s="161" t="s">
        <v>120</v>
      </c>
      <c r="F47" s="161"/>
      <c r="G47" s="161"/>
      <c r="H47" s="160"/>
      <c r="I47" s="160"/>
      <c r="J47" s="160"/>
      <c r="K47" s="160"/>
      <c r="L47" s="160"/>
      <c r="M47" s="160"/>
      <c r="N47" s="184"/>
      <c r="Q47" s="11" t="s">
        <v>2</v>
      </c>
      <c r="R47" s="11" t="s">
        <v>3</v>
      </c>
      <c r="S47" s="11" t="s">
        <v>4</v>
      </c>
      <c r="T47" s="11" t="s">
        <v>21</v>
      </c>
    </row>
    <row r="48" spans="2:20" ht="15" customHeight="1" x14ac:dyDescent="0.25">
      <c r="B48" s="182"/>
      <c r="C48" s="157" t="s">
        <v>112</v>
      </c>
      <c r="D48" s="160"/>
      <c r="E48" s="158"/>
      <c r="F48" s="161"/>
      <c r="G48" s="162" t="str">
        <f>VLOOKUP($C48,'Calculation engine'!$W$8:$AB$72,6,FALSE)</f>
        <v>-</v>
      </c>
      <c r="H48" s="174"/>
      <c r="I48" s="251"/>
      <c r="J48" s="251"/>
      <c r="K48" s="189"/>
      <c r="L48" s="251"/>
      <c r="M48" s="251">
        <f>E48*I48/1000</f>
        <v>0</v>
      </c>
      <c r="N48" s="300">
        <f>T48*E48</f>
        <v>0</v>
      </c>
      <c r="Q48" s="11"/>
      <c r="R48" s="11"/>
      <c r="S48" s="11"/>
      <c r="T48" s="11">
        <f>VLOOKUP($C48,'Calculation engine'!$W$8:$AB$72,5,FALSE)</f>
        <v>0</v>
      </c>
    </row>
    <row r="49" spans="2:20" ht="15" customHeight="1" x14ac:dyDescent="0.25">
      <c r="B49" s="182"/>
      <c r="C49" s="157" t="s">
        <v>112</v>
      </c>
      <c r="D49" s="160"/>
      <c r="E49" s="190"/>
      <c r="F49" s="161"/>
      <c r="G49" s="162" t="str">
        <f>VLOOKUP($C49,'Calculation engine'!$W$8:$AB$72,6,FALSE)</f>
        <v>-</v>
      </c>
      <c r="H49" s="174"/>
      <c r="I49" s="251"/>
      <c r="J49" s="251"/>
      <c r="K49" s="189"/>
      <c r="L49" s="251"/>
      <c r="M49" s="251"/>
      <c r="N49" s="300">
        <f>T49*E49</f>
        <v>0</v>
      </c>
      <c r="Q49" s="11"/>
      <c r="R49" s="11"/>
      <c r="S49" s="11"/>
      <c r="T49" s="11">
        <f>VLOOKUP($C49,'Calculation engine'!$W$8:$AB$72,5,FALSE)</f>
        <v>0</v>
      </c>
    </row>
    <row r="50" spans="2:20" ht="15" customHeight="1" x14ac:dyDescent="0.25">
      <c r="B50" s="182"/>
      <c r="C50" s="157" t="s">
        <v>112</v>
      </c>
      <c r="D50" s="160"/>
      <c r="E50" s="187"/>
      <c r="F50" s="161"/>
      <c r="G50" s="162" t="str">
        <f>VLOOKUP($C50,'Calculation engine'!$W$8:$AB$72,6,FALSE)</f>
        <v>-</v>
      </c>
      <c r="H50" s="174"/>
      <c r="I50" s="251"/>
      <c r="J50" s="349"/>
      <c r="K50" s="349"/>
      <c r="L50" s="251"/>
      <c r="M50" s="251">
        <f>E50*I50/1000</f>
        <v>0</v>
      </c>
      <c r="N50" s="300">
        <f>T50*E50</f>
        <v>0</v>
      </c>
      <c r="Q50" s="11"/>
      <c r="R50" s="11"/>
      <c r="S50" s="11"/>
      <c r="T50" s="11">
        <f>VLOOKUP($C50,'Calculation engine'!$W$8:$AB$72,5,FALSE)</f>
        <v>0</v>
      </c>
    </row>
    <row r="51" spans="2:20" ht="15" customHeight="1" x14ac:dyDescent="0.25">
      <c r="B51" s="185"/>
      <c r="C51" s="165"/>
      <c r="D51" s="165"/>
      <c r="E51" s="166"/>
      <c r="F51" s="166"/>
      <c r="G51" s="350" t="s">
        <v>174</v>
      </c>
      <c r="H51" s="350"/>
      <c r="I51" s="350"/>
      <c r="J51" s="350"/>
      <c r="K51" s="350"/>
      <c r="L51" s="350"/>
      <c r="M51" s="191"/>
      <c r="N51" s="302">
        <f>SUM(N48:N50)</f>
        <v>0</v>
      </c>
    </row>
    <row r="52" spans="2:20" ht="15" customHeight="1" x14ac:dyDescent="0.25">
      <c r="B52" s="174"/>
      <c r="C52" s="174"/>
      <c r="D52" s="174"/>
      <c r="E52" s="162"/>
      <c r="F52" s="162"/>
      <c r="G52" s="188"/>
      <c r="H52" s="188"/>
      <c r="I52" s="188"/>
      <c r="J52" s="188"/>
      <c r="K52" s="188"/>
      <c r="L52" s="188"/>
      <c r="M52" s="27"/>
      <c r="N52" s="232"/>
    </row>
    <row r="53" spans="2:20" ht="15" customHeight="1" x14ac:dyDescent="0.35">
      <c r="B53" s="178"/>
      <c r="C53" s="353" t="s">
        <v>337</v>
      </c>
      <c r="D53" s="238"/>
      <c r="E53" s="354"/>
      <c r="F53" s="238"/>
      <c r="G53" s="354"/>
      <c r="H53" s="179"/>
      <c r="I53" s="355" t="s">
        <v>338</v>
      </c>
      <c r="J53" s="355"/>
      <c r="K53" s="355"/>
      <c r="L53" s="179"/>
      <c r="M53" s="238" t="s">
        <v>7</v>
      </c>
      <c r="N53" s="69"/>
    </row>
    <row r="54" spans="2:20" ht="15" customHeight="1" x14ac:dyDescent="0.25">
      <c r="B54" s="180"/>
      <c r="C54" s="334"/>
      <c r="D54" s="237"/>
      <c r="E54" s="352"/>
      <c r="F54" s="237"/>
      <c r="G54" s="352"/>
      <c r="H54" s="74"/>
      <c r="I54" s="1" t="s">
        <v>329</v>
      </c>
      <c r="J54" s="1" t="s">
        <v>330</v>
      </c>
      <c r="K54" s="1" t="s">
        <v>331</v>
      </c>
      <c r="L54" s="237"/>
      <c r="M54" s="1" t="s">
        <v>332</v>
      </c>
      <c r="N54" s="181"/>
    </row>
    <row r="55" spans="2:20" ht="15" customHeight="1" x14ac:dyDescent="0.25">
      <c r="B55" s="182"/>
      <c r="C55" s="161" t="s">
        <v>339</v>
      </c>
      <c r="D55" s="161"/>
      <c r="E55" s="161"/>
      <c r="F55" s="161"/>
      <c r="G55" s="161"/>
      <c r="H55" s="160"/>
      <c r="I55" s="233"/>
      <c r="J55" s="233"/>
      <c r="K55" s="233"/>
      <c r="L55" s="160"/>
      <c r="M55" s="234"/>
      <c r="N55" s="184"/>
      <c r="Q55" s="2">
        <v>0</v>
      </c>
    </row>
    <row r="56" spans="2:20" s="12" customFormat="1" ht="15" customHeight="1" x14ac:dyDescent="0.25">
      <c r="B56" s="182"/>
      <c r="C56" s="186"/>
      <c r="D56" s="160"/>
      <c r="E56" s="261"/>
      <c r="F56" s="161"/>
      <c r="G56" s="161"/>
      <c r="H56" s="183"/>
      <c r="I56" s="235">
        <v>0</v>
      </c>
      <c r="J56" s="235">
        <v>0</v>
      </c>
      <c r="K56" s="235">
        <v>0</v>
      </c>
      <c r="L56" s="241"/>
      <c r="M56" s="299">
        <f>SUM(I56:K56)</f>
        <v>0</v>
      </c>
      <c r="N56" s="164"/>
      <c r="Q56" s="12">
        <v>25000</v>
      </c>
    </row>
    <row r="57" spans="2:20" s="12" customFormat="1" ht="15" customHeight="1" x14ac:dyDescent="0.25">
      <c r="B57" s="182"/>
      <c r="C57" s="186"/>
      <c r="D57" s="160"/>
      <c r="E57" s="261"/>
      <c r="F57" s="161"/>
      <c r="G57" s="161"/>
      <c r="H57" s="183"/>
      <c r="I57" s="235">
        <v>0</v>
      </c>
      <c r="J57" s="235">
        <v>0</v>
      </c>
      <c r="K57" s="235">
        <v>0</v>
      </c>
      <c r="L57" s="241"/>
      <c r="M57" s="299">
        <f>SUM(I57:K57)</f>
        <v>0</v>
      </c>
      <c r="N57" s="164">
        <f t="shared" ref="N57" si="9">T57*E57</f>
        <v>0</v>
      </c>
    </row>
    <row r="58" spans="2:20" s="12" customFormat="1" ht="15" customHeight="1" x14ac:dyDescent="0.25">
      <c r="B58" s="185"/>
      <c r="C58" s="165"/>
      <c r="D58" s="165"/>
      <c r="E58" s="166"/>
      <c r="F58" s="166"/>
      <c r="G58" s="350" t="s">
        <v>340</v>
      </c>
      <c r="H58" s="350"/>
      <c r="I58" s="350"/>
      <c r="J58" s="350"/>
      <c r="K58" s="350"/>
      <c r="L58" s="350"/>
      <c r="M58" s="301">
        <f>SUM(M56:M57)</f>
        <v>0</v>
      </c>
      <c r="N58" s="167"/>
    </row>
    <row r="59" spans="2:20" s="12" customFormat="1" ht="15" customHeight="1" x14ac:dyDescent="0.25">
      <c r="B59" s="8"/>
      <c r="C59" s="8"/>
      <c r="D59" s="8"/>
      <c r="E59" s="8"/>
      <c r="F59" s="8"/>
      <c r="G59" s="8"/>
      <c r="H59" s="8"/>
      <c r="I59" s="8"/>
      <c r="J59" s="8"/>
      <c r="K59" s="8"/>
      <c r="L59" s="8"/>
      <c r="M59" s="8"/>
      <c r="N59" s="8"/>
    </row>
    <row r="60" spans="2:20" s="12" customFormat="1" ht="15" customHeight="1" x14ac:dyDescent="0.25">
      <c r="B60" s="192"/>
      <c r="C60" s="332" t="s">
        <v>194</v>
      </c>
      <c r="D60" s="351" t="s">
        <v>318</v>
      </c>
      <c r="E60" s="351"/>
      <c r="F60" s="351"/>
      <c r="G60" s="351"/>
      <c r="H60" s="193"/>
      <c r="I60" s="194"/>
      <c r="J60" s="195"/>
      <c r="K60" s="195"/>
      <c r="L60" s="351" t="s">
        <v>319</v>
      </c>
      <c r="M60" s="351"/>
      <c r="N60" s="196"/>
    </row>
    <row r="61" spans="2:20" s="12" customFormat="1" ht="15" customHeight="1" x14ac:dyDescent="0.25">
      <c r="B61" s="168"/>
      <c r="C61" s="334"/>
      <c r="D61" s="352"/>
      <c r="E61" s="352"/>
      <c r="F61" s="352"/>
      <c r="G61" s="352"/>
      <c r="H61" s="74"/>
      <c r="I61" s="1"/>
      <c r="J61" s="197"/>
      <c r="K61" s="197"/>
      <c r="L61" s="352"/>
      <c r="M61" s="352"/>
      <c r="N61" s="198"/>
    </row>
    <row r="62" spans="2:20" s="12" customFormat="1" ht="15" customHeight="1" x14ac:dyDescent="0.25">
      <c r="B62" s="168"/>
      <c r="C62" s="72" t="s">
        <v>204</v>
      </c>
      <c r="D62" s="336">
        <f>M16+M28+M58</f>
        <v>0</v>
      </c>
      <c r="E62" s="336"/>
      <c r="F62" s="162"/>
      <c r="G62" s="39" t="s">
        <v>335</v>
      </c>
      <c r="H62" s="39"/>
      <c r="I62" s="39"/>
      <c r="J62" s="39"/>
      <c r="K62" s="39"/>
      <c r="L62" s="298">
        <f>IFERROR((D62/'Facility 1'!$N$4)*Output!$N$2,0)</f>
        <v>0</v>
      </c>
      <c r="M62" s="225" t="s">
        <v>335</v>
      </c>
      <c r="N62" s="169"/>
    </row>
    <row r="63" spans="2:20" s="12" customFormat="1" ht="15" customHeight="1" x14ac:dyDescent="0.25">
      <c r="B63" s="170"/>
      <c r="C63" s="72" t="s">
        <v>205</v>
      </c>
      <c r="D63" s="336">
        <f>M35</f>
        <v>0</v>
      </c>
      <c r="E63" s="336"/>
      <c r="F63" s="162"/>
      <c r="G63" s="39" t="s">
        <v>335</v>
      </c>
      <c r="H63" s="39"/>
      <c r="I63" s="39"/>
      <c r="J63" s="39"/>
      <c r="K63" s="39"/>
      <c r="L63" s="298">
        <f>IFERROR((D63/'Facility 1'!$N$4)*Output!$N$2,0)</f>
        <v>0</v>
      </c>
      <c r="M63" s="225" t="s">
        <v>335</v>
      </c>
      <c r="N63" s="55"/>
    </row>
    <row r="64" spans="2:20" ht="15" customHeight="1" x14ac:dyDescent="0.25">
      <c r="B64" s="170"/>
      <c r="C64" s="17" t="s">
        <v>122</v>
      </c>
      <c r="D64" s="342">
        <f>D62+D63</f>
        <v>0</v>
      </c>
      <c r="E64" s="343"/>
      <c r="F64" s="162"/>
      <c r="G64" s="226" t="s">
        <v>336</v>
      </c>
      <c r="H64" s="226"/>
      <c r="I64" s="39"/>
      <c r="J64" s="39"/>
      <c r="K64" s="39"/>
      <c r="L64" s="303">
        <f>IFERROR((D64/'Facility 1'!$N$4)*Output!$N$2,0)</f>
        <v>0</v>
      </c>
      <c r="M64" s="227" t="s">
        <v>336</v>
      </c>
      <c r="N64" s="250"/>
    </row>
    <row r="65" spans="2:14" ht="15" customHeight="1" x14ac:dyDescent="0.25">
      <c r="B65" s="170"/>
      <c r="C65" s="18" t="s">
        <v>123</v>
      </c>
      <c r="D65" s="344">
        <f>N16+N28+N35+N43</f>
        <v>0</v>
      </c>
      <c r="E65" s="345"/>
      <c r="F65" s="228"/>
      <c r="G65" s="57" t="s">
        <v>125</v>
      </c>
      <c r="H65" s="57"/>
      <c r="I65" s="229"/>
      <c r="J65" s="229"/>
      <c r="K65" s="229"/>
      <c r="L65" s="303">
        <f>IFERROR((D65/'Facility 1'!$N$4)*Output!$N$2,0)</f>
        <v>0</v>
      </c>
      <c r="M65" s="96" t="s">
        <v>125</v>
      </c>
      <c r="N65" s="61"/>
    </row>
    <row r="66" spans="2:14" ht="15" customHeight="1" x14ac:dyDescent="0.25">
      <c r="B66" s="171"/>
      <c r="C66" s="20" t="s">
        <v>195</v>
      </c>
      <c r="D66" s="346">
        <f>N51</f>
        <v>0</v>
      </c>
      <c r="E66" s="347"/>
      <c r="F66" s="230"/>
      <c r="G66" s="63" t="s">
        <v>125</v>
      </c>
      <c r="H66" s="63"/>
      <c r="I66" s="231"/>
      <c r="J66" s="231"/>
      <c r="K66" s="231"/>
      <c r="L66" s="304">
        <f>IFERROR((D66/'Facility 1'!$N$4)*Output!$N$2,0)</f>
        <v>0</v>
      </c>
      <c r="M66" s="97" t="s">
        <v>125</v>
      </c>
      <c r="N66" s="67"/>
    </row>
    <row r="67" spans="2:14" ht="15" customHeight="1" x14ac:dyDescent="0.25">
      <c r="B67" s="172"/>
      <c r="C67" s="19"/>
      <c r="D67" s="16"/>
      <c r="E67" s="16"/>
      <c r="F67" s="15"/>
      <c r="G67" s="15"/>
      <c r="H67" s="15"/>
      <c r="I67" s="13"/>
      <c r="J67" s="13"/>
      <c r="K67" s="13"/>
      <c r="L67" s="13"/>
      <c r="M67" s="14"/>
      <c r="N67" s="14"/>
    </row>
    <row r="68" spans="2:14" ht="15" customHeight="1" x14ac:dyDescent="0.25">
      <c r="B68" s="173"/>
      <c r="C68" s="332" t="s">
        <v>320</v>
      </c>
      <c r="D68" s="332"/>
      <c r="E68" s="332"/>
      <c r="F68" s="332"/>
      <c r="G68" s="332"/>
      <c r="H68" s="332"/>
      <c r="I68" s="332"/>
      <c r="J68" s="332"/>
      <c r="K68" s="332"/>
      <c r="L68" s="332"/>
      <c r="M68" s="332"/>
      <c r="N68" s="333"/>
    </row>
    <row r="69" spans="2:14" ht="15" customHeight="1" x14ac:dyDescent="0.25">
      <c r="B69" s="21"/>
      <c r="C69" s="334"/>
      <c r="D69" s="334"/>
      <c r="E69" s="334"/>
      <c r="F69" s="334"/>
      <c r="G69" s="334"/>
      <c r="H69" s="334"/>
      <c r="I69" s="334"/>
      <c r="J69" s="334"/>
      <c r="K69" s="334"/>
      <c r="L69" s="334"/>
      <c r="M69" s="334"/>
      <c r="N69" s="335"/>
    </row>
    <row r="70" spans="2:14" ht="15" customHeight="1" x14ac:dyDescent="0.25">
      <c r="B70" s="22"/>
      <c r="C70" s="330" t="s">
        <v>207</v>
      </c>
      <c r="D70" s="33"/>
      <c r="E70" s="34" t="s">
        <v>241</v>
      </c>
      <c r="F70" s="341" t="str">
        <f>IF(L64&gt;=25000,"You may have triggered the emissions reporting threshold for this facility. Please contact the Clean Energy Regulator",IF(L64&gt;21000, "You are close to the emissions reporting threshold for this facility. Please contact the Clean Energy Regulator",""))</f>
        <v/>
      </c>
      <c r="G70" s="341"/>
      <c r="H70" s="341"/>
      <c r="I70" s="341"/>
      <c r="J70" s="341"/>
      <c r="K70" s="341"/>
      <c r="L70" s="341"/>
      <c r="M70" s="341"/>
      <c r="N70" s="35" t="s">
        <v>242</v>
      </c>
    </row>
    <row r="71" spans="2:14" ht="15" customHeight="1" x14ac:dyDescent="0.3">
      <c r="B71" s="168"/>
      <c r="C71" s="330"/>
      <c r="D71" s="36"/>
      <c r="E71" s="337">
        <f>L64</f>
        <v>0</v>
      </c>
      <c r="F71" s="337"/>
      <c r="G71" s="337"/>
      <c r="H71" s="337"/>
      <c r="I71" s="337"/>
      <c r="J71" s="337"/>
      <c r="K71" s="337"/>
      <c r="L71" s="337"/>
      <c r="M71" s="337"/>
      <c r="N71" s="338"/>
    </row>
    <row r="72" spans="2:14" ht="15" customHeight="1" x14ac:dyDescent="0.3">
      <c r="B72" s="168"/>
      <c r="C72" s="330" t="s">
        <v>206</v>
      </c>
      <c r="D72" s="36"/>
      <c r="E72" s="37" t="s">
        <v>203</v>
      </c>
      <c r="F72" s="348" t="str">
        <f>IF(L65&gt;=100000,"You may have triggered the energy reporting threshold for this facility. Please contact the Clean Energy Regulator",IF(L65&gt;90000, "You are close to the energy reporting threshold for this facility. Please contact the Clean Energy Regulator",""))</f>
        <v/>
      </c>
      <c r="G72" s="348"/>
      <c r="H72" s="348"/>
      <c r="I72" s="348"/>
      <c r="J72" s="348"/>
      <c r="K72" s="348"/>
      <c r="L72" s="348"/>
      <c r="M72" s="348"/>
      <c r="N72" s="38" t="s">
        <v>218</v>
      </c>
    </row>
    <row r="73" spans="2:14" ht="17.45" customHeight="1" x14ac:dyDescent="0.25">
      <c r="B73" s="168"/>
      <c r="C73" s="330"/>
      <c r="D73" s="174"/>
      <c r="E73" s="337">
        <f>L65</f>
        <v>0</v>
      </c>
      <c r="F73" s="337"/>
      <c r="G73" s="337"/>
      <c r="H73" s="337"/>
      <c r="I73" s="337"/>
      <c r="J73" s="337"/>
      <c r="K73" s="337"/>
      <c r="L73" s="337"/>
      <c r="M73" s="337"/>
      <c r="N73" s="338"/>
    </row>
    <row r="74" spans="2:14" ht="17.45" customHeight="1" x14ac:dyDescent="0.25">
      <c r="B74" s="168"/>
      <c r="C74" s="330" t="s">
        <v>208</v>
      </c>
      <c r="D74" s="174"/>
      <c r="E74" s="37" t="s">
        <v>203</v>
      </c>
      <c r="F74" s="348" t="str">
        <f>IF(L66&gt;=100000,"You may have triggered the energy reporting threshold for this facility. Please contact the Clean Energy Regulator",IF(L66&gt;90000, "You are close to the energy reporting threshold for this facility. Please contact the Clean Energy Regulator",""))</f>
        <v/>
      </c>
      <c r="G74" s="348"/>
      <c r="H74" s="348"/>
      <c r="I74" s="348"/>
      <c r="J74" s="348"/>
      <c r="K74" s="348"/>
      <c r="L74" s="348"/>
      <c r="M74" s="348"/>
      <c r="N74" s="38" t="s">
        <v>218</v>
      </c>
    </row>
    <row r="75" spans="2:14" ht="17.45" customHeight="1" x14ac:dyDescent="0.25">
      <c r="B75" s="175"/>
      <c r="C75" s="331"/>
      <c r="D75" s="176"/>
      <c r="E75" s="339">
        <f>L66</f>
        <v>0</v>
      </c>
      <c r="F75" s="339"/>
      <c r="G75" s="339"/>
      <c r="H75" s="339"/>
      <c r="I75" s="339"/>
      <c r="J75" s="339"/>
      <c r="K75" s="339"/>
      <c r="L75" s="339"/>
      <c r="M75" s="339"/>
      <c r="N75" s="340"/>
    </row>
    <row r="76" spans="2:14" ht="17.45" customHeight="1" x14ac:dyDescent="0.25">
      <c r="B76" s="6"/>
      <c r="C76" s="6"/>
      <c r="D76" s="6"/>
      <c r="E76" s="6"/>
      <c r="F76" s="6"/>
      <c r="G76" s="6"/>
      <c r="H76" s="6"/>
      <c r="I76" s="6"/>
      <c r="J76" s="6"/>
      <c r="K76" s="6"/>
      <c r="L76" s="6"/>
      <c r="M76" s="6"/>
      <c r="N76" s="6"/>
    </row>
    <row r="77" spans="2:14" ht="17.45" hidden="1" customHeight="1" x14ac:dyDescent="0.25"/>
    <row r="78" spans="2:14" ht="17.45" hidden="1" customHeight="1" x14ac:dyDescent="0.25"/>
    <row r="79" spans="2:14" ht="17.45" hidden="1" customHeight="1" x14ac:dyDescent="0.25"/>
    <row r="80" spans="2:14" ht="17.45" hidden="1" customHeight="1" x14ac:dyDescent="0.25"/>
    <row r="81" ht="17.45" hidden="1" customHeight="1" x14ac:dyDescent="0.25"/>
    <row r="82" ht="17.45" hidden="1" customHeight="1" x14ac:dyDescent="0.25"/>
    <row r="83" ht="17.45" hidden="1" customHeight="1" x14ac:dyDescent="0.25"/>
    <row r="84" ht="17.45" hidden="1" customHeight="1" x14ac:dyDescent="0.25"/>
    <row r="85" ht="17.45" hidden="1" customHeight="1" x14ac:dyDescent="0.25"/>
    <row r="86" ht="17.45" hidden="1" customHeight="1" x14ac:dyDescent="0.25"/>
    <row r="87" ht="17.45" hidden="1" customHeight="1" x14ac:dyDescent="0.25"/>
    <row r="88" ht="17.45" hidden="1" customHeight="1" x14ac:dyDescent="0.25"/>
    <row r="89" ht="17.45" hidden="1" customHeight="1" x14ac:dyDescent="0.25"/>
    <row r="90" ht="17.45" hidden="1" customHeight="1" x14ac:dyDescent="0.25"/>
    <row r="91" ht="17.45" hidden="1" customHeight="1" x14ac:dyDescent="0.25"/>
    <row r="92" ht="17.45" hidden="1" customHeight="1" x14ac:dyDescent="0.25"/>
    <row r="93" ht="17.45" hidden="1" customHeight="1" x14ac:dyDescent="0.25"/>
    <row r="94" ht="17.45" hidden="1" customHeight="1" x14ac:dyDescent="0.25"/>
    <row r="95" ht="17.45" hidden="1" customHeight="1" x14ac:dyDescent="0.25"/>
    <row r="96" ht="17.45" hidden="1" customHeight="1" x14ac:dyDescent="0.25"/>
    <row r="97" ht="17.45" hidden="1" customHeight="1" x14ac:dyDescent="0.25"/>
    <row r="98" ht="17.45" hidden="1" customHeight="1" x14ac:dyDescent="0.25"/>
  </sheetData>
  <sheetProtection algorithmName="SHA-256" hashValue="EhhfNLyO0eZXXDcyrZnUtwPM0K9f6MMnJRRQN2zwHx8=" saltValue="AwQ5dTWFpXbqpFEqw2KxMA==" spinCount="100000" sheet="1" objects="1" scenarios="1" selectLockedCells="1"/>
  <mergeCells count="55">
    <mergeCell ref="C2:N2"/>
    <mergeCell ref="G16:L16"/>
    <mergeCell ref="C30:C31"/>
    <mergeCell ref="E30:E31"/>
    <mergeCell ref="G30:G31"/>
    <mergeCell ref="I30:K30"/>
    <mergeCell ref="C18:C19"/>
    <mergeCell ref="E18:E19"/>
    <mergeCell ref="G18:G19"/>
    <mergeCell ref="I18:K18"/>
    <mergeCell ref="G28:L28"/>
    <mergeCell ref="I6:K6"/>
    <mergeCell ref="C6:C7"/>
    <mergeCell ref="E6:E7"/>
    <mergeCell ref="G6:G7"/>
    <mergeCell ref="E4:H4"/>
    <mergeCell ref="J4:L4"/>
    <mergeCell ref="J42:K42"/>
    <mergeCell ref="C45:C46"/>
    <mergeCell ref="E45:E46"/>
    <mergeCell ref="G45:G46"/>
    <mergeCell ref="I45:K45"/>
    <mergeCell ref="G43:L43"/>
    <mergeCell ref="G35:L35"/>
    <mergeCell ref="C37:C38"/>
    <mergeCell ref="E37:E38"/>
    <mergeCell ref="G37:G38"/>
    <mergeCell ref="I37:K37"/>
    <mergeCell ref="J34:L34"/>
    <mergeCell ref="J33:L33"/>
    <mergeCell ref="C60:C61"/>
    <mergeCell ref="J50:K50"/>
    <mergeCell ref="G51:L51"/>
    <mergeCell ref="C70:C71"/>
    <mergeCell ref="C72:C73"/>
    <mergeCell ref="D60:G61"/>
    <mergeCell ref="L60:M61"/>
    <mergeCell ref="C53:C54"/>
    <mergeCell ref="E53:E54"/>
    <mergeCell ref="G53:G54"/>
    <mergeCell ref="I53:K53"/>
    <mergeCell ref="G58:L58"/>
    <mergeCell ref="C74:C75"/>
    <mergeCell ref="C68:N69"/>
    <mergeCell ref="D62:E62"/>
    <mergeCell ref="D63:E63"/>
    <mergeCell ref="E73:N73"/>
    <mergeCell ref="E75:N75"/>
    <mergeCell ref="F70:M70"/>
    <mergeCell ref="E71:N71"/>
    <mergeCell ref="D64:E64"/>
    <mergeCell ref="D65:E65"/>
    <mergeCell ref="D66:E66"/>
    <mergeCell ref="F72:M72"/>
    <mergeCell ref="F74:M74"/>
  </mergeCells>
  <phoneticPr fontId="4" type="noConversion"/>
  <conditionalFormatting sqref="I41 I33:I34">
    <cfRule type="cellIs" dxfId="90" priority="39" operator="equal">
      <formula>0.64</formula>
    </cfRule>
  </conditionalFormatting>
  <conditionalFormatting sqref="I41:M41 C65 M33:N34 I33:J34">
    <cfRule type="cellIs" dxfId="89" priority="35" operator="equal">
      <formula>0</formula>
    </cfRule>
  </conditionalFormatting>
  <conditionalFormatting sqref="I40:N40 J42 L42:M42 N41:N42">
    <cfRule type="cellIs" dxfId="88" priority="26" operator="equal">
      <formula>0</formula>
    </cfRule>
  </conditionalFormatting>
  <conditionalFormatting sqref="I49:M49">
    <cfRule type="aboveAverage" dxfId="87" priority="23"/>
  </conditionalFormatting>
  <conditionalFormatting sqref="I48:N48 J50 L50:M50 N49:N50">
    <cfRule type="cellIs" dxfId="86" priority="21" operator="equal">
      <formula>0</formula>
    </cfRule>
  </conditionalFormatting>
  <conditionalFormatting sqref="G64:I64 G62:G63">
    <cfRule type="dataBar" priority="14">
      <dataBar>
        <cfvo type="min"/>
        <cfvo type="max"/>
        <color rgb="FF638EC6"/>
      </dataBar>
      <extLst>
        <ext xmlns:x14="http://schemas.microsoft.com/office/spreadsheetml/2009/9/main" uri="{B025F937-C7B1-47D3-B67F-A62EFF666E3E}">
          <x14:id>{A10BA0FD-00F1-42A8-B57F-0B84190D514F}</x14:id>
        </ext>
      </extLst>
    </cfRule>
  </conditionalFormatting>
  <conditionalFormatting sqref="I9:N15">
    <cfRule type="cellIs" dxfId="85" priority="12" operator="equal">
      <formula>0</formula>
    </cfRule>
  </conditionalFormatting>
  <conditionalFormatting sqref="E71:N71">
    <cfRule type="dataBar" priority="11">
      <dataBar>
        <cfvo type="num" val="0"/>
        <cfvo type="num" val="25000"/>
        <color rgb="FF638EC6"/>
      </dataBar>
      <extLst>
        <ext xmlns:x14="http://schemas.microsoft.com/office/spreadsheetml/2009/9/main" uri="{B025F937-C7B1-47D3-B67F-A62EFF666E3E}">
          <x14:id>{A1501B2E-7C96-45C1-AB64-6CD6CA7275A7}</x14:id>
        </ext>
      </extLst>
    </cfRule>
  </conditionalFormatting>
  <conditionalFormatting sqref="E73:N73">
    <cfRule type="dataBar" priority="10">
      <dataBar>
        <cfvo type="num" val="0"/>
        <cfvo type="num" val="100000"/>
        <color rgb="FF638EC6"/>
      </dataBar>
      <extLst>
        <ext xmlns:x14="http://schemas.microsoft.com/office/spreadsheetml/2009/9/main" uri="{B025F937-C7B1-47D3-B67F-A62EFF666E3E}">
          <x14:id>{C04A862B-9DC8-45F8-B120-8179F234EBBE}</x14:id>
        </ext>
      </extLst>
    </cfRule>
  </conditionalFormatting>
  <conditionalFormatting sqref="E75:N75">
    <cfRule type="dataBar" priority="9">
      <dataBar>
        <cfvo type="num" val="0"/>
        <cfvo type="num" val="100000"/>
        <color rgb="FF638EC6"/>
      </dataBar>
      <extLst>
        <ext xmlns:x14="http://schemas.microsoft.com/office/spreadsheetml/2009/9/main" uri="{B025F937-C7B1-47D3-B67F-A62EFF666E3E}">
          <x14:id>{D9641068-54A6-4359-8F74-CEFA185A2AC8}</x14:id>
        </ext>
      </extLst>
    </cfRule>
  </conditionalFormatting>
  <conditionalFormatting sqref="G21:N27">
    <cfRule type="cellIs" dxfId="84" priority="8" operator="equal">
      <formula>0</formula>
    </cfRule>
  </conditionalFormatting>
  <conditionalFormatting sqref="H40:N42">
    <cfRule type="cellIs" dxfId="83" priority="7" operator="equal">
      <formula>0</formula>
    </cfRule>
  </conditionalFormatting>
  <conditionalFormatting sqref="H48:N50">
    <cfRule type="cellIs" dxfId="82" priority="6" operator="equal">
      <formula>0</formula>
    </cfRule>
  </conditionalFormatting>
  <conditionalFormatting sqref="N4">
    <cfRule type="expression" dxfId="81" priority="4">
      <formula>M4="No specific period"</formula>
    </cfRule>
    <cfRule type="cellIs" dxfId="80" priority="5" operator="equal">
      <formula>"# of days?"</formula>
    </cfRule>
  </conditionalFormatting>
  <conditionalFormatting sqref="M62:M64">
    <cfRule type="dataBar" priority="2">
      <dataBar>
        <cfvo type="min"/>
        <cfvo type="max"/>
        <color rgb="FF638EC6"/>
      </dataBar>
      <extLst>
        <ext xmlns:x14="http://schemas.microsoft.com/office/spreadsheetml/2009/9/main" uri="{B025F937-C7B1-47D3-B67F-A62EFF666E3E}">
          <x14:id>{A5C47AD5-09AE-45FB-8444-191445B01034}</x14:id>
        </ext>
      </extLst>
    </cfRule>
  </conditionalFormatting>
  <conditionalFormatting sqref="L57 N57">
    <cfRule type="cellIs" dxfId="79" priority="1" operator="equal">
      <formula>0</formula>
    </cfRule>
  </conditionalFormatting>
  <dataValidations count="1">
    <dataValidation type="list" allowBlank="1" showInputMessage="1" showErrorMessage="1" sqref="M4" xr:uid="{00000000-0002-0000-0100-000000000000}">
      <formula1>$Q$3:$Q$4</formula1>
    </dataValidation>
  </dataValidations>
  <pageMargins left="0.7" right="0.7" top="0.75" bottom="0.75" header="0.3" footer="0.3"/>
  <pageSetup paperSize="9" scale="66" orientation="landscape" r:id="rId1"/>
  <drawing r:id="rId2"/>
  <extLst>
    <ext xmlns:x14="http://schemas.microsoft.com/office/spreadsheetml/2009/9/main" uri="{78C0D931-6437-407d-A8EE-F0AAD7539E65}">
      <x14:conditionalFormattings>
        <x14:conditionalFormatting xmlns:xm="http://schemas.microsoft.com/office/excel/2006/main">
          <x14:cfRule type="dataBar" id="{A10BA0FD-00F1-42A8-B57F-0B84190D514F}">
            <x14:dataBar minLength="0" maxLength="100" border="1" negativeBarBorderColorSameAsPositive="0">
              <x14:cfvo type="autoMin"/>
              <x14:cfvo type="autoMax"/>
              <x14:borderColor rgb="FF638EC6"/>
              <x14:negativeFillColor rgb="FFFF0000"/>
              <x14:negativeBorderColor rgb="FFFF0000"/>
              <x14:axisColor rgb="FF000000"/>
            </x14:dataBar>
          </x14:cfRule>
          <xm:sqref>G64:I64 G62:G63</xm:sqref>
        </x14:conditionalFormatting>
        <x14:conditionalFormatting xmlns:xm="http://schemas.microsoft.com/office/excel/2006/main">
          <x14:cfRule type="dataBar" id="{A1501B2E-7C96-45C1-AB64-6CD6CA7275A7}">
            <x14:dataBar minLength="0" maxLength="100" gradient="0">
              <x14:cfvo type="num">
                <xm:f>0</xm:f>
              </x14:cfvo>
              <x14:cfvo type="num">
                <xm:f>25000</xm:f>
              </x14:cfvo>
              <x14:negativeFillColor rgb="FFFF0000"/>
              <x14:axisColor rgb="FF000000"/>
            </x14:dataBar>
          </x14:cfRule>
          <xm:sqref>E71:N71</xm:sqref>
        </x14:conditionalFormatting>
        <x14:conditionalFormatting xmlns:xm="http://schemas.microsoft.com/office/excel/2006/main">
          <x14:cfRule type="dataBar" id="{C04A862B-9DC8-45F8-B120-8179F234EBBE}">
            <x14:dataBar minLength="0" maxLength="100" gradient="0">
              <x14:cfvo type="num">
                <xm:f>0</xm:f>
              </x14:cfvo>
              <x14:cfvo type="num">
                <xm:f>100000</xm:f>
              </x14:cfvo>
              <x14:negativeFillColor rgb="FFFF0000"/>
              <x14:axisColor rgb="FF000000"/>
            </x14:dataBar>
          </x14:cfRule>
          <xm:sqref>E73:N73</xm:sqref>
        </x14:conditionalFormatting>
        <x14:conditionalFormatting xmlns:xm="http://schemas.microsoft.com/office/excel/2006/main">
          <x14:cfRule type="dataBar" id="{D9641068-54A6-4359-8F74-CEFA185A2AC8}">
            <x14:dataBar minLength="0" maxLength="100" gradient="0">
              <x14:cfvo type="num">
                <xm:f>0</xm:f>
              </x14:cfvo>
              <x14:cfvo type="num">
                <xm:f>100000</xm:f>
              </x14:cfvo>
              <x14:negativeFillColor rgb="FFFF0000"/>
              <x14:axisColor rgb="FF000000"/>
            </x14:dataBar>
          </x14:cfRule>
          <xm:sqref>E75:N75</xm:sqref>
        </x14:conditionalFormatting>
        <x14:conditionalFormatting xmlns:xm="http://schemas.microsoft.com/office/excel/2006/main">
          <x14:cfRule type="dataBar" id="{A5C47AD5-09AE-45FB-8444-191445B01034}">
            <x14:dataBar minLength="0" maxLength="100" border="1" negativeBarBorderColorSameAsPositive="0">
              <x14:cfvo type="autoMin"/>
              <x14:cfvo type="autoMax"/>
              <x14:borderColor rgb="FF638EC6"/>
              <x14:negativeFillColor rgb="FFFF0000"/>
              <x14:negativeBorderColor rgb="FFFF0000"/>
              <x14:axisColor rgb="FF000000"/>
            </x14:dataBar>
          </x14:cfRule>
          <xm:sqref>M62:M64</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1000000}">
          <x14:formula1>
            <xm:f>'Calculation engine'!$B$8:$B$28</xm:f>
          </x14:formula1>
          <xm:sqref>C9:C15</xm:sqref>
        </x14:dataValidation>
        <x14:dataValidation type="list" allowBlank="1" showInputMessage="1" showErrorMessage="1" xr:uid="{00000000-0002-0000-0100-000002000000}">
          <x14:formula1>
            <xm:f>'Calculation engine'!$I$8:$I$62</xm:f>
          </x14:formula1>
          <xm:sqref>C21:C27</xm:sqref>
        </x14:dataValidation>
        <x14:dataValidation type="list" allowBlank="1" showInputMessage="1" showErrorMessage="1" xr:uid="{00000000-0002-0000-0100-000003000000}">
          <x14:formula1>
            <xm:f>'Calculation engine'!$Q$10:$Q$19</xm:f>
          </x14:formula1>
          <xm:sqref>C33:C34</xm:sqref>
        </x14:dataValidation>
        <x14:dataValidation type="list" allowBlank="1" showInputMessage="1" showErrorMessage="1" xr:uid="{00000000-0002-0000-0100-000004000000}">
          <x14:formula1>
            <xm:f>'Calculation engine'!$AD$8:$AD$78</xm:f>
          </x14:formula1>
          <xm:sqref>C40:C42</xm:sqref>
        </x14:dataValidation>
        <x14:dataValidation type="list" allowBlank="1" showInputMessage="1" showErrorMessage="1" xr:uid="{00000000-0002-0000-0100-000005000000}">
          <x14:formula1>
            <xm:f>'Calculation engine'!$W$8:$W$72</xm:f>
          </x14:formula1>
          <xm:sqref>C48:C50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T98"/>
  <sheetViews>
    <sheetView showRowColHeaders="0" zoomScaleNormal="100" workbookViewId="0"/>
  </sheetViews>
  <sheetFormatPr defaultColWidth="0" defaultRowHeight="15" customHeight="1" zeroHeight="1" x14ac:dyDescent="0.25"/>
  <cols>
    <col min="1" max="2" width="4" style="2" customWidth="1"/>
    <col min="3" max="3" width="67.5703125" style="2" customWidth="1"/>
    <col min="4" max="4" width="3.42578125" style="2" customWidth="1"/>
    <col min="5" max="5" width="19.7109375" style="2" customWidth="1"/>
    <col min="6" max="6" width="3.7109375" style="2" customWidth="1"/>
    <col min="7" max="8" width="9.140625" style="2" customWidth="1"/>
    <col min="9" max="9" width="13.5703125" style="2" customWidth="1"/>
    <col min="10" max="10" width="12.140625" style="2" customWidth="1"/>
    <col min="11" max="11" width="11.85546875" style="2" customWidth="1"/>
    <col min="12" max="12" width="22.5703125" style="2" customWidth="1"/>
    <col min="13" max="13" width="23.85546875" style="2" customWidth="1"/>
    <col min="14" max="14" width="23.28515625" style="2" customWidth="1"/>
    <col min="15" max="15" width="4.5703125" style="2" customWidth="1"/>
    <col min="16" max="16384" width="9.140625" style="2" hidden="1"/>
  </cols>
  <sheetData>
    <row r="1" spans="2:20" ht="203.25" customHeight="1" x14ac:dyDescent="0.25"/>
    <row r="2" spans="2:20" ht="33" customHeight="1" x14ac:dyDescent="0.25">
      <c r="B2" s="311"/>
      <c r="C2" s="360" t="s">
        <v>236</v>
      </c>
      <c r="D2" s="360"/>
      <c r="E2" s="360"/>
      <c r="F2" s="360"/>
      <c r="G2" s="360"/>
      <c r="H2" s="360"/>
      <c r="I2" s="360"/>
      <c r="J2" s="360"/>
      <c r="K2" s="360"/>
      <c r="L2" s="360"/>
      <c r="M2" s="360"/>
      <c r="N2" s="360"/>
    </row>
    <row r="3" spans="2:20" ht="15" customHeight="1" x14ac:dyDescent="0.25">
      <c r="B3" s="177"/>
      <c r="C3" s="177"/>
      <c r="D3" s="177"/>
      <c r="E3" s="177"/>
      <c r="F3" s="177"/>
      <c r="G3" s="177"/>
      <c r="H3" s="177"/>
      <c r="I3" s="177"/>
      <c r="J3" s="177"/>
      <c r="K3" s="177"/>
      <c r="L3" s="177"/>
      <c r="M3" s="177"/>
      <c r="N3" s="23" t="str">
        <f>IF(M4="Part year","Enter days below","")</f>
        <v/>
      </c>
      <c r="Q3" s="2" t="s">
        <v>226</v>
      </c>
    </row>
    <row r="4" spans="2:20" ht="15" customHeight="1" x14ac:dyDescent="0.25">
      <c r="B4" s="311"/>
      <c r="C4" s="310" t="s">
        <v>224</v>
      </c>
      <c r="D4" s="177"/>
      <c r="E4" s="361"/>
      <c r="F4" s="362"/>
      <c r="G4" s="362"/>
      <c r="H4" s="363"/>
      <c r="I4" s="177"/>
      <c r="J4" s="356" t="s">
        <v>225</v>
      </c>
      <c r="K4" s="357"/>
      <c r="L4" s="357"/>
      <c r="M4" s="73" t="s">
        <v>226</v>
      </c>
      <c r="N4" s="73">
        <f>IF(M4="Full year",365,"")</f>
        <v>365</v>
      </c>
      <c r="Q4" s="2" t="s">
        <v>227</v>
      </c>
    </row>
    <row r="5" spans="2:20" x14ac:dyDescent="0.25">
      <c r="B5" s="8"/>
      <c r="C5" s="8"/>
      <c r="D5" s="8"/>
      <c r="E5" s="8"/>
      <c r="F5" s="8"/>
      <c r="G5" s="8"/>
      <c r="H5" s="8"/>
      <c r="I5" s="8"/>
      <c r="J5" s="8"/>
      <c r="K5" s="8"/>
      <c r="L5" s="8"/>
      <c r="M5" s="8"/>
      <c r="N5" s="8"/>
    </row>
    <row r="6" spans="2:20" x14ac:dyDescent="0.25">
      <c r="B6" s="178"/>
      <c r="C6" s="353" t="s">
        <v>199</v>
      </c>
      <c r="D6" s="308"/>
      <c r="E6" s="354" t="s">
        <v>0</v>
      </c>
      <c r="F6" s="308"/>
      <c r="G6" s="354" t="s">
        <v>1</v>
      </c>
      <c r="H6" s="179"/>
      <c r="I6" s="355" t="s">
        <v>6</v>
      </c>
      <c r="J6" s="355"/>
      <c r="K6" s="355"/>
      <c r="L6" s="179"/>
      <c r="M6" s="308" t="s">
        <v>7</v>
      </c>
      <c r="N6" s="69" t="s">
        <v>5</v>
      </c>
      <c r="Q6" s="2" t="s">
        <v>190</v>
      </c>
    </row>
    <row r="7" spans="2:20" ht="14.25" customHeight="1" x14ac:dyDescent="0.25">
      <c r="B7" s="180"/>
      <c r="C7" s="334"/>
      <c r="D7" s="309"/>
      <c r="E7" s="352"/>
      <c r="F7" s="309"/>
      <c r="G7" s="352"/>
      <c r="H7" s="74"/>
      <c r="I7" s="1" t="s">
        <v>329</v>
      </c>
      <c r="J7" s="1" t="s">
        <v>330</v>
      </c>
      <c r="K7" s="1" t="s">
        <v>331</v>
      </c>
      <c r="L7" s="309"/>
      <c r="M7" s="1" t="s">
        <v>332</v>
      </c>
      <c r="N7" s="181" t="s">
        <v>8</v>
      </c>
    </row>
    <row r="8" spans="2:20" x14ac:dyDescent="0.25">
      <c r="B8" s="182"/>
      <c r="C8" s="161" t="s">
        <v>119</v>
      </c>
      <c r="D8" s="161"/>
      <c r="E8" s="161" t="s">
        <v>120</v>
      </c>
      <c r="F8" s="161"/>
      <c r="G8" s="161"/>
      <c r="H8" s="160"/>
      <c r="I8" s="160"/>
      <c r="J8" s="160"/>
      <c r="K8" s="160"/>
      <c r="L8" s="160"/>
      <c r="M8" s="160"/>
      <c r="N8" s="184"/>
      <c r="Q8" s="11" t="s">
        <v>2</v>
      </c>
      <c r="R8" s="11" t="s">
        <v>3</v>
      </c>
      <c r="S8" s="11" t="s">
        <v>4</v>
      </c>
      <c r="T8" s="11" t="s">
        <v>21</v>
      </c>
    </row>
    <row r="9" spans="2:20" ht="15" customHeight="1" x14ac:dyDescent="0.25">
      <c r="B9" s="182"/>
      <c r="C9" s="157" t="s">
        <v>112</v>
      </c>
      <c r="D9" s="160"/>
      <c r="E9" s="158"/>
      <c r="F9" s="161"/>
      <c r="G9" s="162" t="str">
        <f>VLOOKUP($C9,'Calculation engine'!$B$8:$G$28,6,FALSE)</f>
        <v>-</v>
      </c>
      <c r="H9" s="163"/>
      <c r="I9" s="299">
        <f>Q9*$N9/1000</f>
        <v>0</v>
      </c>
      <c r="J9" s="299">
        <f>R9*$N9/1000</f>
        <v>0</v>
      </c>
      <c r="K9" s="299">
        <f>S9*$N9/1000</f>
        <v>0</v>
      </c>
      <c r="L9" s="312"/>
      <c r="M9" s="299">
        <f>SUM(I9:K9)</f>
        <v>0</v>
      </c>
      <c r="N9" s="300">
        <f>T9*E9</f>
        <v>0</v>
      </c>
      <c r="Q9" s="11">
        <f>VLOOKUP($C9,'Calculation engine'!$B$8:$G$28,3,FALSE)</f>
        <v>0</v>
      </c>
      <c r="R9" s="11">
        <f>VLOOKUP($C9,'Calculation engine'!$B$8:$G$28,4,FALSE)</f>
        <v>0</v>
      </c>
      <c r="S9" s="11">
        <f>VLOOKUP($C9,'Calculation engine'!$B$8:$G$28,5,FALSE)</f>
        <v>0</v>
      </c>
      <c r="T9" s="11">
        <f>VLOOKUP($C9,'Calculation engine'!$B$8:$G$28,2,FALSE)</f>
        <v>0</v>
      </c>
    </row>
    <row r="10" spans="2:20" ht="15" customHeight="1" x14ac:dyDescent="0.25">
      <c r="B10" s="182"/>
      <c r="C10" s="157" t="s">
        <v>112</v>
      </c>
      <c r="D10" s="160"/>
      <c r="E10" s="159"/>
      <c r="F10" s="161"/>
      <c r="G10" s="162" t="str">
        <f>VLOOKUP($C10,'Calculation engine'!$B$8:$G$28,6,FALSE)</f>
        <v>-</v>
      </c>
      <c r="H10" s="163"/>
      <c r="I10" s="299">
        <f t="shared" ref="I10:K15" si="0">Q10*$N10/1000</f>
        <v>0</v>
      </c>
      <c r="J10" s="299">
        <f t="shared" si="0"/>
        <v>0</v>
      </c>
      <c r="K10" s="299">
        <f t="shared" si="0"/>
        <v>0</v>
      </c>
      <c r="L10" s="312"/>
      <c r="M10" s="299">
        <f t="shared" ref="M10:M15" si="1">SUM(I10:K10)</f>
        <v>0</v>
      </c>
      <c r="N10" s="300">
        <f t="shared" ref="N10:N15" si="2">T10*E10</f>
        <v>0</v>
      </c>
      <c r="Q10" s="11">
        <f>VLOOKUP($C10,'Calculation engine'!$B$8:$G$28,3,FALSE)</f>
        <v>0</v>
      </c>
      <c r="R10" s="11">
        <f>VLOOKUP($C10,'Calculation engine'!$B$8:$G$28,4,FALSE)</f>
        <v>0</v>
      </c>
      <c r="S10" s="11">
        <f>VLOOKUP($C10,'Calculation engine'!$B$8:$G$28,5,FALSE)</f>
        <v>0</v>
      </c>
      <c r="T10" s="11">
        <f>VLOOKUP($C10,'Calculation engine'!$B$8:$G$28,2,FALSE)</f>
        <v>0</v>
      </c>
    </row>
    <row r="11" spans="2:20" ht="15" customHeight="1" x14ac:dyDescent="0.25">
      <c r="B11" s="182"/>
      <c r="C11" s="157" t="s">
        <v>112</v>
      </c>
      <c r="D11" s="160"/>
      <c r="E11" s="159"/>
      <c r="F11" s="161"/>
      <c r="G11" s="162" t="str">
        <f>VLOOKUP($C11,'Calculation engine'!$B$8:$G$28,6,FALSE)</f>
        <v>-</v>
      </c>
      <c r="H11" s="163"/>
      <c r="I11" s="299">
        <f t="shared" si="0"/>
        <v>0</v>
      </c>
      <c r="J11" s="299">
        <f t="shared" si="0"/>
        <v>0</v>
      </c>
      <c r="K11" s="299">
        <f t="shared" si="0"/>
        <v>0</v>
      </c>
      <c r="L11" s="312"/>
      <c r="M11" s="299">
        <f>SUM(I11:K11)</f>
        <v>0</v>
      </c>
      <c r="N11" s="300">
        <f>T11*E11</f>
        <v>0</v>
      </c>
      <c r="Q11" s="11">
        <f>VLOOKUP($C11,'Calculation engine'!$B$8:$G$28,3,FALSE)</f>
        <v>0</v>
      </c>
      <c r="R11" s="11">
        <f>VLOOKUP($C11,'Calculation engine'!$B$8:$G$28,4,FALSE)</f>
        <v>0</v>
      </c>
      <c r="S11" s="11">
        <f>VLOOKUP($C11,'Calculation engine'!$B$8:$G$28,5,FALSE)</f>
        <v>0</v>
      </c>
      <c r="T11" s="11">
        <f>VLOOKUP($C11,'Calculation engine'!$B$8:$G$28,2,FALSE)</f>
        <v>0</v>
      </c>
    </row>
    <row r="12" spans="2:20" ht="15" customHeight="1" x14ac:dyDescent="0.25">
      <c r="B12" s="182"/>
      <c r="C12" s="157" t="s">
        <v>112</v>
      </c>
      <c r="D12" s="160"/>
      <c r="E12" s="159"/>
      <c r="F12" s="161"/>
      <c r="G12" s="162" t="str">
        <f>VLOOKUP($C12,'Calculation engine'!$B$8:$G$28,6,FALSE)</f>
        <v>-</v>
      </c>
      <c r="H12" s="163"/>
      <c r="I12" s="299">
        <f t="shared" si="0"/>
        <v>0</v>
      </c>
      <c r="J12" s="299">
        <f t="shared" si="0"/>
        <v>0</v>
      </c>
      <c r="K12" s="299">
        <f t="shared" si="0"/>
        <v>0</v>
      </c>
      <c r="L12" s="312"/>
      <c r="M12" s="299">
        <f>SUM(I12:K12)</f>
        <v>0</v>
      </c>
      <c r="N12" s="300">
        <f>T12*E12</f>
        <v>0</v>
      </c>
      <c r="Q12" s="11">
        <f>VLOOKUP($C12,'Calculation engine'!$B$8:$G$28,3,FALSE)</f>
        <v>0</v>
      </c>
      <c r="R12" s="11">
        <f>VLOOKUP($C12,'Calculation engine'!$B$8:$G$28,4,FALSE)</f>
        <v>0</v>
      </c>
      <c r="S12" s="11">
        <f>VLOOKUP($C12,'Calculation engine'!$B$8:$G$28,5,FALSE)</f>
        <v>0</v>
      </c>
      <c r="T12" s="11">
        <f>VLOOKUP($C12,'Calculation engine'!$B$8:$G$28,2,FALSE)</f>
        <v>0</v>
      </c>
    </row>
    <row r="13" spans="2:20" ht="15" customHeight="1" x14ac:dyDescent="0.25">
      <c r="B13" s="182"/>
      <c r="C13" s="157" t="s">
        <v>112</v>
      </c>
      <c r="D13" s="160"/>
      <c r="E13" s="159"/>
      <c r="F13" s="161"/>
      <c r="G13" s="162" t="str">
        <f>VLOOKUP($C13,'Calculation engine'!$B$8:$G$28,6,FALSE)</f>
        <v>-</v>
      </c>
      <c r="H13" s="163"/>
      <c r="I13" s="299">
        <f t="shared" si="0"/>
        <v>0</v>
      </c>
      <c r="J13" s="299">
        <f t="shared" si="0"/>
        <v>0</v>
      </c>
      <c r="K13" s="299">
        <f t="shared" si="0"/>
        <v>0</v>
      </c>
      <c r="L13" s="312"/>
      <c r="M13" s="299">
        <f>SUM(I13:K13)</f>
        <v>0</v>
      </c>
      <c r="N13" s="300">
        <f>T13*E13</f>
        <v>0</v>
      </c>
      <c r="Q13" s="11">
        <f>VLOOKUP($C13,'Calculation engine'!$B$8:$G$28,3,FALSE)</f>
        <v>0</v>
      </c>
      <c r="R13" s="11">
        <f>VLOOKUP($C13,'Calculation engine'!$B$8:$G$28,4,FALSE)</f>
        <v>0</v>
      </c>
      <c r="S13" s="11">
        <f>VLOOKUP($C13,'Calculation engine'!$B$8:$G$28,5,FALSE)</f>
        <v>0</v>
      </c>
      <c r="T13" s="11">
        <f>VLOOKUP($C13,'Calculation engine'!$B$8:$G$28,2,FALSE)</f>
        <v>0</v>
      </c>
    </row>
    <row r="14" spans="2:20" ht="15" customHeight="1" x14ac:dyDescent="0.25">
      <c r="B14" s="182"/>
      <c r="C14" s="157" t="s">
        <v>112</v>
      </c>
      <c r="D14" s="160"/>
      <c r="E14" s="159"/>
      <c r="F14" s="161"/>
      <c r="G14" s="162" t="str">
        <f>VLOOKUP($C14,'Calculation engine'!$B$8:$G$28,6,FALSE)</f>
        <v>-</v>
      </c>
      <c r="H14" s="163"/>
      <c r="I14" s="299">
        <f t="shared" si="0"/>
        <v>0</v>
      </c>
      <c r="J14" s="299">
        <f t="shared" si="0"/>
        <v>0</v>
      </c>
      <c r="K14" s="299">
        <f t="shared" si="0"/>
        <v>0</v>
      </c>
      <c r="L14" s="312"/>
      <c r="M14" s="299">
        <f t="shared" si="1"/>
        <v>0</v>
      </c>
      <c r="N14" s="300">
        <f t="shared" si="2"/>
        <v>0</v>
      </c>
      <c r="Q14" s="11">
        <f>VLOOKUP($C14,'Calculation engine'!$B$8:$G$28,3,FALSE)</f>
        <v>0</v>
      </c>
      <c r="R14" s="11">
        <f>VLOOKUP($C14,'Calculation engine'!$B$8:$G$28,4,FALSE)</f>
        <v>0</v>
      </c>
      <c r="S14" s="11">
        <f>VLOOKUP($C14,'Calculation engine'!$B$8:$G$28,5,FALSE)</f>
        <v>0</v>
      </c>
      <c r="T14" s="11">
        <f>VLOOKUP($C14,'Calculation engine'!$B$8:$G$28,2,FALSE)</f>
        <v>0</v>
      </c>
    </row>
    <row r="15" spans="2:20" ht="15" customHeight="1" x14ac:dyDescent="0.25">
      <c r="B15" s="182"/>
      <c r="C15" s="157" t="s">
        <v>112</v>
      </c>
      <c r="D15" s="160"/>
      <c r="E15" s="159"/>
      <c r="F15" s="161"/>
      <c r="G15" s="162" t="str">
        <f>VLOOKUP($C15,'Calculation engine'!$B$8:$G$28,6,FALSE)</f>
        <v>-</v>
      </c>
      <c r="H15" s="163"/>
      <c r="I15" s="299">
        <f t="shared" si="0"/>
        <v>0</v>
      </c>
      <c r="J15" s="299">
        <f t="shared" si="0"/>
        <v>0</v>
      </c>
      <c r="K15" s="299">
        <f t="shared" si="0"/>
        <v>0</v>
      </c>
      <c r="L15" s="312"/>
      <c r="M15" s="299">
        <f t="shared" si="1"/>
        <v>0</v>
      </c>
      <c r="N15" s="300">
        <f t="shared" si="2"/>
        <v>0</v>
      </c>
      <c r="Q15" s="11">
        <f>VLOOKUP($C15,'Calculation engine'!$B$8:$G$28,3,FALSE)</f>
        <v>0</v>
      </c>
      <c r="R15" s="11">
        <f>VLOOKUP($C15,'Calculation engine'!$B$8:$G$28,4,FALSE)</f>
        <v>0</v>
      </c>
      <c r="S15" s="11">
        <f>VLOOKUP($C15,'Calculation engine'!$B$8:$G$28,5,FALSE)</f>
        <v>0</v>
      </c>
      <c r="T15" s="11">
        <f>VLOOKUP($C15,'Calculation engine'!$B$8:$G$28,2,FALSE)</f>
        <v>0</v>
      </c>
    </row>
    <row r="16" spans="2:20" ht="15" customHeight="1" x14ac:dyDescent="0.25">
      <c r="B16" s="185"/>
      <c r="C16" s="165"/>
      <c r="D16" s="165"/>
      <c r="E16" s="166"/>
      <c r="F16" s="166"/>
      <c r="G16" s="350" t="s">
        <v>327</v>
      </c>
      <c r="H16" s="350"/>
      <c r="I16" s="350"/>
      <c r="J16" s="350"/>
      <c r="K16" s="350"/>
      <c r="L16" s="350"/>
      <c r="M16" s="301">
        <f>SUM(M9:M15)</f>
        <v>0</v>
      </c>
      <c r="N16" s="302">
        <f>SUM(N9:N15)</f>
        <v>0</v>
      </c>
    </row>
    <row r="17" spans="2:20" ht="15" customHeight="1" x14ac:dyDescent="0.25">
      <c r="B17" s="8"/>
      <c r="C17" s="8"/>
      <c r="D17" s="8"/>
      <c r="E17" s="23"/>
      <c r="F17" s="23"/>
      <c r="G17" s="23"/>
      <c r="H17" s="8"/>
      <c r="I17" s="8"/>
      <c r="J17" s="8"/>
      <c r="K17" s="8"/>
      <c r="L17" s="8"/>
      <c r="M17" s="8"/>
      <c r="N17" s="8"/>
    </row>
    <row r="18" spans="2:20" ht="15" customHeight="1" x14ac:dyDescent="0.25">
      <c r="B18" s="178"/>
      <c r="C18" s="353" t="s">
        <v>200</v>
      </c>
      <c r="D18" s="308"/>
      <c r="E18" s="354" t="s">
        <v>0</v>
      </c>
      <c r="F18" s="308"/>
      <c r="G18" s="354" t="s">
        <v>1</v>
      </c>
      <c r="H18" s="179"/>
      <c r="I18" s="355" t="s">
        <v>6</v>
      </c>
      <c r="J18" s="355"/>
      <c r="K18" s="355"/>
      <c r="L18" s="179"/>
      <c r="M18" s="308" t="s">
        <v>7</v>
      </c>
      <c r="N18" s="69" t="s">
        <v>5</v>
      </c>
    </row>
    <row r="19" spans="2:20" ht="15.75" customHeight="1" x14ac:dyDescent="0.25">
      <c r="B19" s="180"/>
      <c r="C19" s="334"/>
      <c r="D19" s="309"/>
      <c r="E19" s="352"/>
      <c r="F19" s="309"/>
      <c r="G19" s="352"/>
      <c r="H19" s="74"/>
      <c r="I19" s="1" t="s">
        <v>329</v>
      </c>
      <c r="J19" s="1" t="s">
        <v>330</v>
      </c>
      <c r="K19" s="1" t="s">
        <v>331</v>
      </c>
      <c r="L19" s="309"/>
      <c r="M19" s="1" t="s">
        <v>332</v>
      </c>
      <c r="N19" s="181" t="s">
        <v>8</v>
      </c>
    </row>
    <row r="20" spans="2:20" ht="15" customHeight="1" x14ac:dyDescent="0.25">
      <c r="B20" s="182"/>
      <c r="C20" s="161" t="s">
        <v>119</v>
      </c>
      <c r="D20" s="161"/>
      <c r="E20" s="161" t="s">
        <v>120</v>
      </c>
      <c r="F20" s="161"/>
      <c r="G20" s="161"/>
      <c r="H20" s="160"/>
      <c r="I20" s="160"/>
      <c r="J20" s="160"/>
      <c r="K20" s="160"/>
      <c r="L20" s="160"/>
      <c r="M20" s="160"/>
      <c r="N20" s="184"/>
      <c r="Q20" s="11" t="s">
        <v>2</v>
      </c>
      <c r="R20" s="11" t="s">
        <v>3</v>
      </c>
      <c r="S20" s="11" t="s">
        <v>4</v>
      </c>
      <c r="T20" s="11" t="s">
        <v>21</v>
      </c>
    </row>
    <row r="21" spans="2:20" ht="15" customHeight="1" x14ac:dyDescent="0.25">
      <c r="B21" s="182"/>
      <c r="C21" s="157" t="s">
        <v>112</v>
      </c>
      <c r="D21" s="160"/>
      <c r="E21" s="158"/>
      <c r="F21" s="161"/>
      <c r="G21" s="162" t="str">
        <f>VLOOKUP($C21,'Calculation engine'!$I$8:$N$62,6,FALSE)</f>
        <v>-</v>
      </c>
      <c r="H21" s="163"/>
      <c r="I21" s="299">
        <f t="shared" ref="I21:K27" si="3">Q21*$N21/1000</f>
        <v>0</v>
      </c>
      <c r="J21" s="299">
        <f t="shared" si="3"/>
        <v>0</v>
      </c>
      <c r="K21" s="299">
        <f t="shared" si="3"/>
        <v>0</v>
      </c>
      <c r="L21" s="312"/>
      <c r="M21" s="299">
        <f t="shared" ref="M21:M27" si="4">SUM(I21:K21)</f>
        <v>0</v>
      </c>
      <c r="N21" s="300">
        <f t="shared" ref="N21:N27" si="5">T21*E21</f>
        <v>0</v>
      </c>
      <c r="Q21" s="11">
        <f>VLOOKUP($C21,'Calculation engine'!$I$8:$N$62,3,FALSE)</f>
        <v>0</v>
      </c>
      <c r="R21" s="11">
        <f>VLOOKUP($C21,'Calculation engine'!$I$8:$N$62,4,FALSE)</f>
        <v>0</v>
      </c>
      <c r="S21" s="11">
        <f>VLOOKUP($C21,'Calculation engine'!$I$8:$N$62,5,FALSE)</f>
        <v>0</v>
      </c>
      <c r="T21" s="11">
        <f>VLOOKUP($C21,'Calculation engine'!$I$8:$N$62,2,FALSE)</f>
        <v>0</v>
      </c>
    </row>
    <row r="22" spans="2:20" ht="14.25" customHeight="1" x14ac:dyDescent="0.25">
      <c r="B22" s="182"/>
      <c r="C22" s="157" t="s">
        <v>112</v>
      </c>
      <c r="D22" s="160"/>
      <c r="E22" s="159"/>
      <c r="F22" s="161"/>
      <c r="G22" s="162" t="str">
        <f>VLOOKUP($C22,'Calculation engine'!$I$8:$N$62,6,FALSE)</f>
        <v>-</v>
      </c>
      <c r="H22" s="163"/>
      <c r="I22" s="299">
        <f t="shared" si="3"/>
        <v>0</v>
      </c>
      <c r="J22" s="299">
        <f t="shared" si="3"/>
        <v>0</v>
      </c>
      <c r="K22" s="299">
        <f t="shared" si="3"/>
        <v>0</v>
      </c>
      <c r="L22" s="312"/>
      <c r="M22" s="299">
        <f t="shared" si="4"/>
        <v>0</v>
      </c>
      <c r="N22" s="300">
        <f t="shared" si="5"/>
        <v>0</v>
      </c>
      <c r="Q22" s="11">
        <f>VLOOKUP($C22,'Calculation engine'!$I$8:$N$62,3,FALSE)</f>
        <v>0</v>
      </c>
      <c r="R22" s="11">
        <f>VLOOKUP($C22,'Calculation engine'!$I$8:$N$62,4,FALSE)</f>
        <v>0</v>
      </c>
      <c r="S22" s="11">
        <f>VLOOKUP($C22,'Calculation engine'!$I$8:$N$62,5,FALSE)</f>
        <v>0</v>
      </c>
      <c r="T22" s="11">
        <f>VLOOKUP($C22,'Calculation engine'!$I$8:$N$62,2,FALSE)</f>
        <v>0</v>
      </c>
    </row>
    <row r="23" spans="2:20" ht="15" customHeight="1" x14ac:dyDescent="0.25">
      <c r="B23" s="182"/>
      <c r="C23" s="157" t="s">
        <v>112</v>
      </c>
      <c r="D23" s="160"/>
      <c r="E23" s="159"/>
      <c r="F23" s="161"/>
      <c r="G23" s="162" t="str">
        <f>VLOOKUP($C23,'Calculation engine'!$I$8:$N$62,6,FALSE)</f>
        <v>-</v>
      </c>
      <c r="H23" s="163"/>
      <c r="I23" s="299">
        <f t="shared" si="3"/>
        <v>0</v>
      </c>
      <c r="J23" s="299">
        <f t="shared" si="3"/>
        <v>0</v>
      </c>
      <c r="K23" s="299">
        <f t="shared" si="3"/>
        <v>0</v>
      </c>
      <c r="L23" s="312"/>
      <c r="M23" s="299">
        <f t="shared" si="4"/>
        <v>0</v>
      </c>
      <c r="N23" s="300">
        <f t="shared" si="5"/>
        <v>0</v>
      </c>
      <c r="Q23" s="11">
        <f>VLOOKUP($C23,'Calculation engine'!$I$8:$N$62,3,FALSE)</f>
        <v>0</v>
      </c>
      <c r="R23" s="11">
        <f>VLOOKUP($C23,'Calculation engine'!$I$8:$N$62,4,FALSE)</f>
        <v>0</v>
      </c>
      <c r="S23" s="11">
        <f>VLOOKUP($C23,'Calculation engine'!$I$8:$N$62,5,FALSE)</f>
        <v>0</v>
      </c>
      <c r="T23" s="11">
        <f>VLOOKUP($C23,'Calculation engine'!$I$8:$N$62,2,FALSE)</f>
        <v>0</v>
      </c>
    </row>
    <row r="24" spans="2:20" ht="15" customHeight="1" x14ac:dyDescent="0.25">
      <c r="B24" s="182"/>
      <c r="C24" s="157" t="s">
        <v>112</v>
      </c>
      <c r="D24" s="160"/>
      <c r="E24" s="159"/>
      <c r="F24" s="161"/>
      <c r="G24" s="162" t="str">
        <f>VLOOKUP($C24,'Calculation engine'!$I$8:$N$62,6,FALSE)</f>
        <v>-</v>
      </c>
      <c r="H24" s="163"/>
      <c r="I24" s="299">
        <f t="shared" si="3"/>
        <v>0</v>
      </c>
      <c r="J24" s="299">
        <f t="shared" si="3"/>
        <v>0</v>
      </c>
      <c r="K24" s="299">
        <f t="shared" si="3"/>
        <v>0</v>
      </c>
      <c r="L24" s="312"/>
      <c r="M24" s="299">
        <f t="shared" si="4"/>
        <v>0</v>
      </c>
      <c r="N24" s="300">
        <f t="shared" si="5"/>
        <v>0</v>
      </c>
      <c r="Q24" s="11">
        <f>VLOOKUP($C24,'Calculation engine'!$I$8:$N$62,3,FALSE)</f>
        <v>0</v>
      </c>
      <c r="R24" s="11">
        <f>VLOOKUP($C24,'Calculation engine'!$I$8:$N$62,4,FALSE)</f>
        <v>0</v>
      </c>
      <c r="S24" s="11">
        <f>VLOOKUP($C24,'Calculation engine'!$I$8:$N$62,5,FALSE)</f>
        <v>0</v>
      </c>
      <c r="T24" s="11">
        <f>VLOOKUP($C24,'Calculation engine'!$I$8:$N$62,2,FALSE)</f>
        <v>0</v>
      </c>
    </row>
    <row r="25" spans="2:20" ht="15" customHeight="1" x14ac:dyDescent="0.25">
      <c r="B25" s="182"/>
      <c r="C25" s="157" t="s">
        <v>112</v>
      </c>
      <c r="D25" s="160"/>
      <c r="E25" s="159"/>
      <c r="F25" s="161"/>
      <c r="G25" s="162" t="str">
        <f>VLOOKUP($C25,'Calculation engine'!$I$8:$N$62,6,FALSE)</f>
        <v>-</v>
      </c>
      <c r="H25" s="163"/>
      <c r="I25" s="299">
        <f t="shared" si="3"/>
        <v>0</v>
      </c>
      <c r="J25" s="299">
        <f t="shared" si="3"/>
        <v>0</v>
      </c>
      <c r="K25" s="299">
        <f t="shared" si="3"/>
        <v>0</v>
      </c>
      <c r="L25" s="312"/>
      <c r="M25" s="299">
        <f t="shared" si="4"/>
        <v>0</v>
      </c>
      <c r="N25" s="300">
        <f t="shared" si="5"/>
        <v>0</v>
      </c>
      <c r="Q25" s="11">
        <f>VLOOKUP($C25,'Calculation engine'!$I$8:$N$62,3,FALSE)</f>
        <v>0</v>
      </c>
      <c r="R25" s="11">
        <f>VLOOKUP($C25,'Calculation engine'!$I$8:$N$62,4,FALSE)</f>
        <v>0</v>
      </c>
      <c r="S25" s="11">
        <f>VLOOKUP($C25,'Calculation engine'!$I$8:$N$62,5,FALSE)</f>
        <v>0</v>
      </c>
      <c r="T25" s="11">
        <f>VLOOKUP($C25,'Calculation engine'!$I$8:$N$62,2,FALSE)</f>
        <v>0</v>
      </c>
    </row>
    <row r="26" spans="2:20" ht="15" customHeight="1" x14ac:dyDescent="0.25">
      <c r="B26" s="182"/>
      <c r="C26" s="157" t="s">
        <v>112</v>
      </c>
      <c r="D26" s="160"/>
      <c r="E26" s="159"/>
      <c r="F26" s="161"/>
      <c r="G26" s="162" t="str">
        <f>VLOOKUP($C26,'Calculation engine'!$I$8:$N$62,6,FALSE)</f>
        <v>-</v>
      </c>
      <c r="H26" s="163"/>
      <c r="I26" s="299">
        <f t="shared" si="3"/>
        <v>0</v>
      </c>
      <c r="J26" s="299">
        <f t="shared" si="3"/>
        <v>0</v>
      </c>
      <c r="K26" s="299">
        <f t="shared" si="3"/>
        <v>0</v>
      </c>
      <c r="L26" s="312"/>
      <c r="M26" s="299">
        <f t="shared" si="4"/>
        <v>0</v>
      </c>
      <c r="N26" s="300">
        <f t="shared" si="5"/>
        <v>0</v>
      </c>
      <c r="Q26" s="11">
        <f>VLOOKUP($C26,'Calculation engine'!$I$8:$N$62,3,FALSE)</f>
        <v>0</v>
      </c>
      <c r="R26" s="11">
        <f>VLOOKUP($C26,'Calculation engine'!$I$8:$N$62,4,FALSE)</f>
        <v>0</v>
      </c>
      <c r="S26" s="11">
        <f>VLOOKUP($C26,'Calculation engine'!$I$8:$N$62,5,FALSE)</f>
        <v>0</v>
      </c>
      <c r="T26" s="11">
        <f>VLOOKUP($C26,'Calculation engine'!$I$8:$N$62,2,FALSE)</f>
        <v>0</v>
      </c>
    </row>
    <row r="27" spans="2:20" ht="15" customHeight="1" x14ac:dyDescent="0.25">
      <c r="B27" s="182"/>
      <c r="C27" s="157" t="s">
        <v>112</v>
      </c>
      <c r="D27" s="160"/>
      <c r="E27" s="159"/>
      <c r="F27" s="161"/>
      <c r="G27" s="162" t="str">
        <f>VLOOKUP($C27,'Calculation engine'!$I$8:$N$62,6,FALSE)</f>
        <v>-</v>
      </c>
      <c r="H27" s="163"/>
      <c r="I27" s="299">
        <f t="shared" si="3"/>
        <v>0</v>
      </c>
      <c r="J27" s="299">
        <f t="shared" si="3"/>
        <v>0</v>
      </c>
      <c r="K27" s="299">
        <f t="shared" si="3"/>
        <v>0</v>
      </c>
      <c r="L27" s="312"/>
      <c r="M27" s="299">
        <f t="shared" si="4"/>
        <v>0</v>
      </c>
      <c r="N27" s="300">
        <f t="shared" si="5"/>
        <v>0</v>
      </c>
      <c r="Q27" s="11">
        <f>VLOOKUP($C27,'Calculation engine'!$I$8:$N$62,3,FALSE)</f>
        <v>0</v>
      </c>
      <c r="R27" s="11">
        <f>VLOOKUP($C27,'Calculation engine'!$I$8:$N$62,4,FALSE)</f>
        <v>0</v>
      </c>
      <c r="S27" s="11">
        <f>VLOOKUP($C27,'Calculation engine'!$I$8:$N$62,5,FALSE)</f>
        <v>0</v>
      </c>
      <c r="T27" s="11">
        <f>VLOOKUP($C27,'Calculation engine'!$I$8:$N$62,2,FALSE)</f>
        <v>0</v>
      </c>
    </row>
    <row r="28" spans="2:20" ht="15" customHeight="1" x14ac:dyDescent="0.25">
      <c r="B28" s="185"/>
      <c r="C28" s="165"/>
      <c r="D28" s="165"/>
      <c r="E28" s="166"/>
      <c r="F28" s="166"/>
      <c r="G28" s="350" t="s">
        <v>328</v>
      </c>
      <c r="H28" s="350"/>
      <c r="I28" s="350"/>
      <c r="J28" s="350"/>
      <c r="K28" s="350"/>
      <c r="L28" s="350"/>
      <c r="M28" s="301">
        <f>SUM(M21:M27)</f>
        <v>0</v>
      </c>
      <c r="N28" s="302">
        <f>SUM(N21:N27)</f>
        <v>0</v>
      </c>
    </row>
    <row r="29" spans="2:20" ht="15" customHeight="1" x14ac:dyDescent="0.25">
      <c r="B29" s="8"/>
      <c r="C29" s="8"/>
      <c r="D29" s="8"/>
      <c r="E29" s="23"/>
      <c r="F29" s="23"/>
      <c r="G29" s="23"/>
      <c r="H29" s="8"/>
      <c r="I29" s="8"/>
      <c r="J29" s="8"/>
      <c r="K29" s="8"/>
      <c r="L29" s="8"/>
      <c r="M29" s="8"/>
      <c r="N29" s="8"/>
    </row>
    <row r="30" spans="2:20" ht="15" customHeight="1" x14ac:dyDescent="0.25">
      <c r="B30" s="178"/>
      <c r="C30" s="353" t="s">
        <v>201</v>
      </c>
      <c r="D30" s="308"/>
      <c r="E30" s="354" t="s">
        <v>0</v>
      </c>
      <c r="F30" s="308"/>
      <c r="G30" s="354" t="s">
        <v>1</v>
      </c>
      <c r="H30" s="179"/>
      <c r="I30" s="355" t="s">
        <v>121</v>
      </c>
      <c r="J30" s="355"/>
      <c r="K30" s="355"/>
      <c r="L30" s="179"/>
      <c r="M30" s="308" t="s">
        <v>9</v>
      </c>
      <c r="N30" s="69" t="s">
        <v>5</v>
      </c>
    </row>
    <row r="31" spans="2:20" ht="15" customHeight="1" x14ac:dyDescent="0.25">
      <c r="B31" s="180"/>
      <c r="C31" s="334"/>
      <c r="D31" s="309"/>
      <c r="E31" s="352"/>
      <c r="F31" s="309"/>
      <c r="G31" s="352"/>
      <c r="H31" s="74"/>
      <c r="I31" s="1" t="s">
        <v>20</v>
      </c>
      <c r="J31" s="1"/>
      <c r="K31" s="74"/>
      <c r="L31" s="309"/>
      <c r="M31" s="1" t="s">
        <v>332</v>
      </c>
      <c r="N31" s="181" t="s">
        <v>8</v>
      </c>
      <c r="Q31" s="2" t="s">
        <v>193</v>
      </c>
    </row>
    <row r="32" spans="2:20" ht="15" customHeight="1" x14ac:dyDescent="0.25">
      <c r="B32" s="182"/>
      <c r="C32" s="161" t="s">
        <v>118</v>
      </c>
      <c r="D32" s="161"/>
      <c r="E32" s="161" t="s">
        <v>120</v>
      </c>
      <c r="F32" s="161"/>
      <c r="G32" s="161"/>
      <c r="H32" s="160"/>
      <c r="I32" s="160"/>
      <c r="J32" s="160"/>
      <c r="K32" s="160"/>
      <c r="L32" s="160"/>
      <c r="M32" s="160"/>
      <c r="N32" s="184"/>
      <c r="Q32" s="1" t="s">
        <v>21</v>
      </c>
    </row>
    <row r="33" spans="2:20" ht="15" customHeight="1" x14ac:dyDescent="0.25">
      <c r="B33" s="182"/>
      <c r="C33" s="157" t="s">
        <v>112</v>
      </c>
      <c r="D33" s="160"/>
      <c r="E33" s="158"/>
      <c r="F33" s="161"/>
      <c r="G33" s="162" t="s">
        <v>23</v>
      </c>
      <c r="H33" s="174"/>
      <c r="I33" s="275">
        <f>VLOOKUP($C33,'Calculation engine'!$Q$10:$T$19,2,FALSE)</f>
        <v>0</v>
      </c>
      <c r="J33" s="359" t="str">
        <f>IF(C33="Not purchased from the main grid","You can enter a custom factor for EF","")</f>
        <v/>
      </c>
      <c r="K33" s="359"/>
      <c r="L33" s="359"/>
      <c r="M33" s="299">
        <f>E33*I33/1000</f>
        <v>0</v>
      </c>
      <c r="N33" s="300">
        <f>E33*Q34</f>
        <v>0</v>
      </c>
      <c r="Q33" s="3"/>
    </row>
    <row r="34" spans="2:20" ht="15.75" customHeight="1" x14ac:dyDescent="0.25">
      <c r="B34" s="182"/>
      <c r="C34" s="157" t="s">
        <v>112</v>
      </c>
      <c r="D34" s="160"/>
      <c r="E34" s="187"/>
      <c r="F34" s="161"/>
      <c r="G34" s="162" t="s">
        <v>23</v>
      </c>
      <c r="H34" s="174"/>
      <c r="I34" s="275">
        <f>VLOOKUP($C34,'Calculation engine'!$Q$10:$T$19,2,FALSE)</f>
        <v>0</v>
      </c>
      <c r="J34" s="358" t="str">
        <f>IF(C34="Not purchased from the main grid","You can enter a custom factor for EF","")</f>
        <v/>
      </c>
      <c r="K34" s="358"/>
      <c r="L34" s="358"/>
      <c r="M34" s="299">
        <f>E34*I34/1000</f>
        <v>0</v>
      </c>
      <c r="N34" s="300">
        <f>E34*Q35</f>
        <v>0</v>
      </c>
      <c r="Q34" s="4">
        <f>VLOOKUP($C33,'Calculation engine'!$Q$10:$T$19,3,FALSE)</f>
        <v>0</v>
      </c>
    </row>
    <row r="35" spans="2:20" ht="16.5" customHeight="1" x14ac:dyDescent="0.25">
      <c r="B35" s="185"/>
      <c r="C35" s="165"/>
      <c r="D35" s="165"/>
      <c r="E35" s="166"/>
      <c r="F35" s="166"/>
      <c r="G35" s="350" t="s">
        <v>333</v>
      </c>
      <c r="H35" s="350"/>
      <c r="I35" s="350"/>
      <c r="J35" s="350"/>
      <c r="K35" s="350"/>
      <c r="L35" s="350"/>
      <c r="M35" s="301">
        <f>SUM(M33:M34)</f>
        <v>0</v>
      </c>
      <c r="N35" s="302">
        <f>SUM(N33:N34)</f>
        <v>0</v>
      </c>
      <c r="Q35" s="4">
        <f>VLOOKUP($C34,'Calculation engine'!$Q$10:$T$19,3,FALSE)</f>
        <v>0</v>
      </c>
    </row>
    <row r="36" spans="2:20" ht="15" customHeight="1" x14ac:dyDescent="0.25">
      <c r="B36" s="8"/>
      <c r="C36" s="8"/>
      <c r="D36" s="8"/>
      <c r="E36" s="23"/>
      <c r="F36" s="23"/>
      <c r="G36" s="188"/>
      <c r="H36" s="188"/>
      <c r="I36" s="188"/>
      <c r="J36" s="188"/>
      <c r="K36" s="188"/>
      <c r="L36" s="188"/>
      <c r="M36" s="27"/>
      <c r="N36" s="27"/>
    </row>
    <row r="37" spans="2:20" ht="15" customHeight="1" x14ac:dyDescent="0.25">
      <c r="B37" s="178"/>
      <c r="C37" s="353" t="s">
        <v>158</v>
      </c>
      <c r="D37" s="308"/>
      <c r="E37" s="354" t="s">
        <v>0</v>
      </c>
      <c r="F37" s="308"/>
      <c r="G37" s="354" t="s">
        <v>1</v>
      </c>
      <c r="H37" s="179"/>
      <c r="I37" s="355"/>
      <c r="J37" s="355"/>
      <c r="K37" s="355"/>
      <c r="L37" s="179"/>
      <c r="M37" s="308"/>
      <c r="N37" s="69" t="s">
        <v>5</v>
      </c>
    </row>
    <row r="38" spans="2:20" ht="15" customHeight="1" x14ac:dyDescent="0.25">
      <c r="B38" s="180"/>
      <c r="C38" s="334"/>
      <c r="D38" s="309"/>
      <c r="E38" s="352"/>
      <c r="F38" s="309"/>
      <c r="G38" s="352"/>
      <c r="H38" s="74"/>
      <c r="I38" s="1"/>
      <c r="J38" s="1"/>
      <c r="K38" s="74"/>
      <c r="L38" s="309"/>
      <c r="M38" s="1"/>
      <c r="N38" s="181" t="s">
        <v>8</v>
      </c>
    </row>
    <row r="39" spans="2:20" ht="15" customHeight="1" x14ac:dyDescent="0.25">
      <c r="B39" s="182"/>
      <c r="C39" s="161" t="s">
        <v>196</v>
      </c>
      <c r="D39" s="161"/>
      <c r="E39" s="161" t="s">
        <v>120</v>
      </c>
      <c r="F39" s="161"/>
      <c r="G39" s="161"/>
      <c r="H39" s="160"/>
      <c r="I39" s="160"/>
      <c r="J39" s="160"/>
      <c r="K39" s="160"/>
      <c r="L39" s="160"/>
      <c r="M39" s="160"/>
      <c r="N39" s="184"/>
      <c r="Q39" s="11" t="s">
        <v>2</v>
      </c>
      <c r="R39" s="11" t="s">
        <v>3</v>
      </c>
      <c r="S39" s="11" t="s">
        <v>4</v>
      </c>
      <c r="T39" s="11" t="s">
        <v>21</v>
      </c>
    </row>
    <row r="40" spans="2:20" ht="15" customHeight="1" x14ac:dyDescent="0.25">
      <c r="B40" s="182"/>
      <c r="C40" s="157" t="s">
        <v>112</v>
      </c>
      <c r="D40" s="160"/>
      <c r="E40" s="158"/>
      <c r="F40" s="161"/>
      <c r="G40" s="162" t="str">
        <f>VLOOKUP($C40,'Calculation engine'!$AD$8:$AI$78,6,FALSE)</f>
        <v>-</v>
      </c>
      <c r="H40" s="174"/>
      <c r="I40" s="315"/>
      <c r="J40" s="315"/>
      <c r="K40" s="189"/>
      <c r="L40" s="315"/>
      <c r="M40" s="315">
        <f>E40*I40/1000</f>
        <v>0</v>
      </c>
      <c r="N40" s="300">
        <f>T40*E40</f>
        <v>0</v>
      </c>
      <c r="Q40" s="11"/>
      <c r="R40" s="11"/>
      <c r="S40" s="11"/>
      <c r="T40" s="11">
        <f>VLOOKUP($C40,'Calculation engine'!$AD$8:$AI$78,5,FALSE)</f>
        <v>0</v>
      </c>
    </row>
    <row r="41" spans="2:20" ht="15" customHeight="1" x14ac:dyDescent="0.25">
      <c r="B41" s="182"/>
      <c r="C41" s="157" t="s">
        <v>112</v>
      </c>
      <c r="D41" s="160"/>
      <c r="E41" s="190"/>
      <c r="F41" s="161"/>
      <c r="G41" s="162" t="str">
        <f>VLOOKUP($C41,'Calculation engine'!$AD$8:$AI$78,6,FALSE)</f>
        <v>-</v>
      </c>
      <c r="H41" s="174"/>
      <c r="I41" s="315"/>
      <c r="J41" s="315"/>
      <c r="K41" s="189"/>
      <c r="L41" s="315"/>
      <c r="M41" s="315"/>
      <c r="N41" s="300">
        <f>T41*E41</f>
        <v>0</v>
      </c>
      <c r="Q41" s="11"/>
      <c r="R41" s="11"/>
      <c r="S41" s="11"/>
      <c r="T41" s="11">
        <f>VLOOKUP($C41,'Calculation engine'!$AD$8:$AI$78,5,FALSE)</f>
        <v>0</v>
      </c>
    </row>
    <row r="42" spans="2:20" ht="15" customHeight="1" x14ac:dyDescent="0.25">
      <c r="B42" s="182"/>
      <c r="C42" s="157" t="s">
        <v>112</v>
      </c>
      <c r="D42" s="160"/>
      <c r="E42" s="187"/>
      <c r="F42" s="161"/>
      <c r="G42" s="162" t="str">
        <f>VLOOKUP($C42,'Calculation engine'!$AD$8:$AI$78,6,FALSE)</f>
        <v>-</v>
      </c>
      <c r="H42" s="174"/>
      <c r="I42" s="315"/>
      <c r="J42" s="349"/>
      <c r="K42" s="349"/>
      <c r="L42" s="315"/>
      <c r="M42" s="315">
        <f>E42*I42/1000</f>
        <v>0</v>
      </c>
      <c r="N42" s="300">
        <f>T42*E42</f>
        <v>0</v>
      </c>
      <c r="Q42" s="11"/>
      <c r="R42" s="11"/>
      <c r="S42" s="11"/>
      <c r="T42" s="11">
        <f>VLOOKUP($C42,'Calculation engine'!$AD$8:$AI$78,5,FALSE)</f>
        <v>0</v>
      </c>
    </row>
    <row r="43" spans="2:20" ht="15" customHeight="1" x14ac:dyDescent="0.25">
      <c r="B43" s="185"/>
      <c r="C43" s="165"/>
      <c r="D43" s="165"/>
      <c r="E43" s="166"/>
      <c r="F43" s="166"/>
      <c r="G43" s="350" t="s">
        <v>173</v>
      </c>
      <c r="H43" s="350"/>
      <c r="I43" s="350"/>
      <c r="J43" s="350"/>
      <c r="K43" s="350"/>
      <c r="L43" s="350"/>
      <c r="M43" s="191"/>
      <c r="N43" s="302">
        <f>SUM(N40:N42)</f>
        <v>0</v>
      </c>
    </row>
    <row r="44" spans="2:20" ht="15" customHeight="1" x14ac:dyDescent="0.25">
      <c r="B44" s="8"/>
      <c r="C44" s="8"/>
      <c r="D44" s="8"/>
      <c r="E44" s="23"/>
      <c r="F44" s="23"/>
      <c r="G44" s="188"/>
      <c r="H44" s="188"/>
      <c r="I44" s="188"/>
      <c r="J44" s="188"/>
      <c r="K44" s="188"/>
      <c r="L44" s="188"/>
      <c r="M44" s="27"/>
      <c r="N44" s="27"/>
    </row>
    <row r="45" spans="2:20" ht="15" customHeight="1" x14ac:dyDescent="0.25">
      <c r="B45" s="178"/>
      <c r="C45" s="353" t="s">
        <v>202</v>
      </c>
      <c r="D45" s="308"/>
      <c r="E45" s="354" t="s">
        <v>0</v>
      </c>
      <c r="F45" s="308"/>
      <c r="G45" s="354" t="s">
        <v>1</v>
      </c>
      <c r="H45" s="179"/>
      <c r="I45" s="355"/>
      <c r="J45" s="355"/>
      <c r="K45" s="355"/>
      <c r="L45" s="179"/>
      <c r="M45" s="308"/>
      <c r="N45" s="69" t="s">
        <v>5</v>
      </c>
    </row>
    <row r="46" spans="2:20" ht="15" customHeight="1" x14ac:dyDescent="0.25">
      <c r="B46" s="180"/>
      <c r="C46" s="334"/>
      <c r="D46" s="309"/>
      <c r="E46" s="352"/>
      <c r="F46" s="309"/>
      <c r="G46" s="352"/>
      <c r="H46" s="74"/>
      <c r="I46" s="1"/>
      <c r="J46" s="1"/>
      <c r="K46" s="74"/>
      <c r="L46" s="309"/>
      <c r="M46" s="1"/>
      <c r="N46" s="181" t="s">
        <v>8</v>
      </c>
    </row>
    <row r="47" spans="2:20" ht="15" customHeight="1" x14ac:dyDescent="0.25">
      <c r="B47" s="182"/>
      <c r="C47" s="161" t="s">
        <v>197</v>
      </c>
      <c r="D47" s="161"/>
      <c r="E47" s="161" t="s">
        <v>120</v>
      </c>
      <c r="F47" s="161"/>
      <c r="G47" s="161"/>
      <c r="H47" s="160"/>
      <c r="I47" s="160"/>
      <c r="J47" s="160"/>
      <c r="K47" s="160"/>
      <c r="L47" s="160"/>
      <c r="M47" s="160"/>
      <c r="N47" s="184"/>
      <c r="Q47" s="11" t="s">
        <v>2</v>
      </c>
      <c r="R47" s="11" t="s">
        <v>3</v>
      </c>
      <c r="S47" s="11" t="s">
        <v>4</v>
      </c>
      <c r="T47" s="11" t="s">
        <v>21</v>
      </c>
    </row>
    <row r="48" spans="2:20" ht="15" customHeight="1" x14ac:dyDescent="0.25">
      <c r="B48" s="182"/>
      <c r="C48" s="157" t="s">
        <v>112</v>
      </c>
      <c r="D48" s="160"/>
      <c r="E48" s="158"/>
      <c r="F48" s="161"/>
      <c r="G48" s="162" t="str">
        <f>VLOOKUP($C48,'Calculation engine'!$W$8:$AB$72,6,FALSE)</f>
        <v>-</v>
      </c>
      <c r="H48" s="174"/>
      <c r="I48" s="315"/>
      <c r="J48" s="315"/>
      <c r="K48" s="189"/>
      <c r="L48" s="315"/>
      <c r="M48" s="315">
        <f>E48*I48/1000</f>
        <v>0</v>
      </c>
      <c r="N48" s="300">
        <f>T48*E48</f>
        <v>0</v>
      </c>
      <c r="Q48" s="11"/>
      <c r="R48" s="11"/>
      <c r="S48" s="11"/>
      <c r="T48" s="11">
        <f>VLOOKUP($C48,'Calculation engine'!$W$8:$AB$72,5,FALSE)</f>
        <v>0</v>
      </c>
    </row>
    <row r="49" spans="2:20" ht="15" customHeight="1" x14ac:dyDescent="0.25">
      <c r="B49" s="182"/>
      <c r="C49" s="157" t="s">
        <v>112</v>
      </c>
      <c r="D49" s="160"/>
      <c r="E49" s="190"/>
      <c r="F49" s="161"/>
      <c r="G49" s="162" t="str">
        <f>VLOOKUP($C49,'Calculation engine'!$W$8:$AB$72,6,FALSE)</f>
        <v>-</v>
      </c>
      <c r="H49" s="174"/>
      <c r="I49" s="315"/>
      <c r="J49" s="315"/>
      <c r="K49" s="189"/>
      <c r="L49" s="315"/>
      <c r="M49" s="315"/>
      <c r="N49" s="300">
        <f>T49*E49</f>
        <v>0</v>
      </c>
      <c r="Q49" s="11"/>
      <c r="R49" s="11"/>
      <c r="S49" s="11"/>
      <c r="T49" s="11">
        <f>VLOOKUP($C49,'Calculation engine'!$W$8:$AB$72,5,FALSE)</f>
        <v>0</v>
      </c>
    </row>
    <row r="50" spans="2:20" ht="15" customHeight="1" x14ac:dyDescent="0.25">
      <c r="B50" s="182"/>
      <c r="C50" s="157" t="s">
        <v>112</v>
      </c>
      <c r="D50" s="160"/>
      <c r="E50" s="187"/>
      <c r="F50" s="161"/>
      <c r="G50" s="162" t="str">
        <f>VLOOKUP($C50,'Calculation engine'!$W$8:$AB$72,6,FALSE)</f>
        <v>-</v>
      </c>
      <c r="H50" s="174"/>
      <c r="I50" s="315"/>
      <c r="J50" s="349"/>
      <c r="K50" s="349"/>
      <c r="L50" s="315"/>
      <c r="M50" s="315">
        <f>E50*I50/1000</f>
        <v>0</v>
      </c>
      <c r="N50" s="300">
        <f>T50*E50</f>
        <v>0</v>
      </c>
      <c r="Q50" s="11"/>
      <c r="R50" s="11"/>
      <c r="S50" s="11"/>
      <c r="T50" s="11">
        <f>VLOOKUP($C50,'Calculation engine'!$W$8:$AB$72,5,FALSE)</f>
        <v>0</v>
      </c>
    </row>
    <row r="51" spans="2:20" ht="15" customHeight="1" x14ac:dyDescent="0.25">
      <c r="B51" s="185"/>
      <c r="C51" s="165"/>
      <c r="D51" s="165"/>
      <c r="E51" s="166"/>
      <c r="F51" s="166"/>
      <c r="G51" s="350" t="s">
        <v>174</v>
      </c>
      <c r="H51" s="350"/>
      <c r="I51" s="350"/>
      <c r="J51" s="350"/>
      <c r="K51" s="350"/>
      <c r="L51" s="350"/>
      <c r="M51" s="191"/>
      <c r="N51" s="302">
        <f>SUM(N48:N50)</f>
        <v>0</v>
      </c>
    </row>
    <row r="52" spans="2:20" ht="15" customHeight="1" x14ac:dyDescent="0.25">
      <c r="B52" s="174"/>
      <c r="C52" s="174"/>
      <c r="D52" s="174"/>
      <c r="E52" s="162"/>
      <c r="F52" s="162"/>
      <c r="G52" s="188"/>
      <c r="H52" s="188"/>
      <c r="I52" s="188"/>
      <c r="J52" s="188"/>
      <c r="K52" s="188"/>
      <c r="L52" s="188"/>
      <c r="M52" s="27"/>
      <c r="N52" s="232"/>
    </row>
    <row r="53" spans="2:20" ht="15" customHeight="1" x14ac:dyDescent="0.35">
      <c r="B53" s="178"/>
      <c r="C53" s="353" t="s">
        <v>337</v>
      </c>
      <c r="D53" s="308"/>
      <c r="E53" s="354"/>
      <c r="F53" s="308"/>
      <c r="G53" s="354"/>
      <c r="H53" s="179"/>
      <c r="I53" s="355" t="s">
        <v>338</v>
      </c>
      <c r="J53" s="355"/>
      <c r="K53" s="355"/>
      <c r="L53" s="179"/>
      <c r="M53" s="308" t="s">
        <v>7</v>
      </c>
      <c r="N53" s="69"/>
    </row>
    <row r="54" spans="2:20" ht="15" customHeight="1" x14ac:dyDescent="0.25">
      <c r="B54" s="180"/>
      <c r="C54" s="334"/>
      <c r="D54" s="309"/>
      <c r="E54" s="352"/>
      <c r="F54" s="309"/>
      <c r="G54" s="352"/>
      <c r="H54" s="74"/>
      <c r="I54" s="1" t="s">
        <v>329</v>
      </c>
      <c r="J54" s="1" t="s">
        <v>330</v>
      </c>
      <c r="K54" s="1" t="s">
        <v>331</v>
      </c>
      <c r="L54" s="309"/>
      <c r="M54" s="1" t="s">
        <v>332</v>
      </c>
      <c r="N54" s="181"/>
    </row>
    <row r="55" spans="2:20" ht="15" customHeight="1" x14ac:dyDescent="0.25">
      <c r="B55" s="182"/>
      <c r="C55" s="161" t="s">
        <v>339</v>
      </c>
      <c r="D55" s="161"/>
      <c r="E55" s="161"/>
      <c r="F55" s="161"/>
      <c r="G55" s="161"/>
      <c r="H55" s="160"/>
      <c r="I55" s="233"/>
      <c r="J55" s="233"/>
      <c r="K55" s="233"/>
      <c r="L55" s="160"/>
      <c r="M55" s="234"/>
      <c r="N55" s="184"/>
      <c r="Q55" s="2">
        <v>0</v>
      </c>
    </row>
    <row r="56" spans="2:20" s="12" customFormat="1" ht="15" customHeight="1" x14ac:dyDescent="0.25">
      <c r="B56" s="182"/>
      <c r="C56" s="186"/>
      <c r="D56" s="160"/>
      <c r="E56" s="261"/>
      <c r="F56" s="161"/>
      <c r="G56" s="161"/>
      <c r="H56" s="183"/>
      <c r="I56" s="235">
        <v>0</v>
      </c>
      <c r="J56" s="235">
        <v>0</v>
      </c>
      <c r="K56" s="235">
        <v>0</v>
      </c>
      <c r="L56" s="312"/>
      <c r="M56" s="299">
        <f>SUM(I56:K56)</f>
        <v>0</v>
      </c>
      <c r="N56" s="164"/>
      <c r="Q56" s="12">
        <v>25000</v>
      </c>
    </row>
    <row r="57" spans="2:20" s="12" customFormat="1" ht="15" customHeight="1" x14ac:dyDescent="0.25">
      <c r="B57" s="182"/>
      <c r="C57" s="186"/>
      <c r="D57" s="160"/>
      <c r="E57" s="261"/>
      <c r="F57" s="161"/>
      <c r="G57" s="161"/>
      <c r="H57" s="183"/>
      <c r="I57" s="235">
        <v>0</v>
      </c>
      <c r="J57" s="235">
        <v>0</v>
      </c>
      <c r="K57" s="235">
        <v>0</v>
      </c>
      <c r="L57" s="312"/>
      <c r="M57" s="299">
        <f>SUM(I57:K57)</f>
        <v>0</v>
      </c>
      <c r="N57" s="164">
        <f t="shared" ref="N57" si="6">T57*E57</f>
        <v>0</v>
      </c>
    </row>
    <row r="58" spans="2:20" s="12" customFormat="1" ht="15" customHeight="1" x14ac:dyDescent="0.25">
      <c r="B58" s="185"/>
      <c r="C58" s="165"/>
      <c r="D58" s="165"/>
      <c r="E58" s="166"/>
      <c r="F58" s="166"/>
      <c r="G58" s="350" t="s">
        <v>340</v>
      </c>
      <c r="H58" s="350"/>
      <c r="I58" s="350"/>
      <c r="J58" s="350"/>
      <c r="K58" s="350"/>
      <c r="L58" s="350"/>
      <c r="M58" s="301">
        <f>SUM(M56:M57)</f>
        <v>0</v>
      </c>
      <c r="N58" s="167"/>
    </row>
    <row r="59" spans="2:20" s="12" customFormat="1" ht="15" customHeight="1" x14ac:dyDescent="0.25">
      <c r="B59" s="8"/>
      <c r="C59" s="8"/>
      <c r="D59" s="8"/>
      <c r="E59" s="8"/>
      <c r="F59" s="8"/>
      <c r="G59" s="8"/>
      <c r="H59" s="8"/>
      <c r="I59" s="8"/>
      <c r="J59" s="8"/>
      <c r="K59" s="8"/>
      <c r="L59" s="8"/>
      <c r="M59" s="8"/>
      <c r="N59" s="8"/>
    </row>
    <row r="60" spans="2:20" s="12" customFormat="1" ht="15" customHeight="1" x14ac:dyDescent="0.25">
      <c r="B60" s="192"/>
      <c r="C60" s="332" t="s">
        <v>194</v>
      </c>
      <c r="D60" s="351" t="s">
        <v>318</v>
      </c>
      <c r="E60" s="351"/>
      <c r="F60" s="351"/>
      <c r="G60" s="351"/>
      <c r="H60" s="193"/>
      <c r="I60" s="194"/>
      <c r="J60" s="195"/>
      <c r="K60" s="195"/>
      <c r="L60" s="351" t="s">
        <v>319</v>
      </c>
      <c r="M60" s="351"/>
      <c r="N60" s="196"/>
    </row>
    <row r="61" spans="2:20" s="12" customFormat="1" ht="15" customHeight="1" x14ac:dyDescent="0.25">
      <c r="B61" s="168"/>
      <c r="C61" s="334"/>
      <c r="D61" s="352"/>
      <c r="E61" s="352"/>
      <c r="F61" s="352"/>
      <c r="G61" s="352"/>
      <c r="H61" s="74"/>
      <c r="I61" s="1"/>
      <c r="J61" s="197"/>
      <c r="K61" s="197"/>
      <c r="L61" s="352"/>
      <c r="M61" s="352"/>
      <c r="N61" s="198"/>
    </row>
    <row r="62" spans="2:20" s="12" customFormat="1" ht="15" customHeight="1" x14ac:dyDescent="0.25">
      <c r="B62" s="168"/>
      <c r="C62" s="72" t="s">
        <v>204</v>
      </c>
      <c r="D62" s="336">
        <f>M16+M28+M58</f>
        <v>0</v>
      </c>
      <c r="E62" s="336"/>
      <c r="F62" s="162"/>
      <c r="G62" s="39" t="s">
        <v>335</v>
      </c>
      <c r="H62" s="39"/>
      <c r="I62" s="39"/>
      <c r="J62" s="39"/>
      <c r="K62" s="39"/>
      <c r="L62" s="313">
        <f>IFERROR((D62/'Facility 2'!$N$4)*Output!$N$2,0)</f>
        <v>0</v>
      </c>
      <c r="M62" s="225" t="s">
        <v>335</v>
      </c>
      <c r="N62" s="169"/>
    </row>
    <row r="63" spans="2:20" s="12" customFormat="1" ht="15" customHeight="1" x14ac:dyDescent="0.25">
      <c r="B63" s="170"/>
      <c r="C63" s="72" t="s">
        <v>205</v>
      </c>
      <c r="D63" s="336">
        <f>M35</f>
        <v>0</v>
      </c>
      <c r="E63" s="336"/>
      <c r="F63" s="162"/>
      <c r="G63" s="39" t="s">
        <v>335</v>
      </c>
      <c r="H63" s="39"/>
      <c r="I63" s="39"/>
      <c r="J63" s="39"/>
      <c r="K63" s="39"/>
      <c r="L63" s="313">
        <f>IFERROR((D63/'Facility 2'!$N$4)*Output!$N$2,0)</f>
        <v>0</v>
      </c>
      <c r="M63" s="225" t="s">
        <v>335</v>
      </c>
      <c r="N63" s="55"/>
    </row>
    <row r="64" spans="2:20" ht="15" customHeight="1" x14ac:dyDescent="0.25">
      <c r="B64" s="170"/>
      <c r="C64" s="17" t="s">
        <v>122</v>
      </c>
      <c r="D64" s="342">
        <f>D62+D63</f>
        <v>0</v>
      </c>
      <c r="E64" s="343"/>
      <c r="F64" s="162"/>
      <c r="G64" s="226" t="s">
        <v>336</v>
      </c>
      <c r="H64" s="226"/>
      <c r="I64" s="39"/>
      <c r="J64" s="39"/>
      <c r="K64" s="39"/>
      <c r="L64" s="303">
        <f>IFERROR((D64/'Facility 2'!$N$4)*Output!$N$2,0)</f>
        <v>0</v>
      </c>
      <c r="M64" s="227" t="s">
        <v>336</v>
      </c>
      <c r="N64" s="316"/>
    </row>
    <row r="65" spans="2:14" ht="15" customHeight="1" x14ac:dyDescent="0.25">
      <c r="B65" s="170"/>
      <c r="C65" s="18" t="s">
        <v>123</v>
      </c>
      <c r="D65" s="344">
        <f>N16+N28+N35+N43</f>
        <v>0</v>
      </c>
      <c r="E65" s="345"/>
      <c r="F65" s="228"/>
      <c r="G65" s="57" t="s">
        <v>125</v>
      </c>
      <c r="H65" s="57"/>
      <c r="I65" s="229"/>
      <c r="J65" s="229"/>
      <c r="K65" s="229"/>
      <c r="L65" s="303">
        <f>IFERROR((D65/'Facility 2'!$N$4)*Output!$N$2,0)</f>
        <v>0</v>
      </c>
      <c r="M65" s="96" t="s">
        <v>125</v>
      </c>
      <c r="N65" s="61"/>
    </row>
    <row r="66" spans="2:14" ht="15" customHeight="1" x14ac:dyDescent="0.25">
      <c r="B66" s="171"/>
      <c r="C66" s="20" t="s">
        <v>195</v>
      </c>
      <c r="D66" s="346">
        <f>N51</f>
        <v>0</v>
      </c>
      <c r="E66" s="347"/>
      <c r="F66" s="230"/>
      <c r="G66" s="63" t="s">
        <v>125</v>
      </c>
      <c r="H66" s="63"/>
      <c r="I66" s="231"/>
      <c r="J66" s="231"/>
      <c r="K66" s="231"/>
      <c r="L66" s="304">
        <f>IFERROR((D66/'Facility 2'!$N$4)*Output!$N$2,0)</f>
        <v>0</v>
      </c>
      <c r="M66" s="97" t="s">
        <v>125</v>
      </c>
      <c r="N66" s="67"/>
    </row>
    <row r="67" spans="2:14" ht="15" customHeight="1" x14ac:dyDescent="0.25">
      <c r="B67" s="172"/>
      <c r="C67" s="19"/>
      <c r="D67" s="16"/>
      <c r="E67" s="16"/>
      <c r="F67" s="15"/>
      <c r="G67" s="15"/>
      <c r="H67" s="15"/>
      <c r="I67" s="13"/>
      <c r="J67" s="13"/>
      <c r="K67" s="13"/>
      <c r="L67" s="13"/>
      <c r="M67" s="14"/>
      <c r="N67" s="14"/>
    </row>
    <row r="68" spans="2:14" ht="15" customHeight="1" x14ac:dyDescent="0.25">
      <c r="B68" s="173"/>
      <c r="C68" s="332" t="s">
        <v>320</v>
      </c>
      <c r="D68" s="332"/>
      <c r="E68" s="332"/>
      <c r="F68" s="332"/>
      <c r="G68" s="332"/>
      <c r="H68" s="332"/>
      <c r="I68" s="332"/>
      <c r="J68" s="332"/>
      <c r="K68" s="332"/>
      <c r="L68" s="332"/>
      <c r="M68" s="332"/>
      <c r="N68" s="333"/>
    </row>
    <row r="69" spans="2:14" ht="15" customHeight="1" x14ac:dyDescent="0.25">
      <c r="B69" s="21"/>
      <c r="C69" s="334"/>
      <c r="D69" s="334"/>
      <c r="E69" s="334"/>
      <c r="F69" s="334"/>
      <c r="G69" s="334"/>
      <c r="H69" s="334"/>
      <c r="I69" s="334"/>
      <c r="J69" s="334"/>
      <c r="K69" s="334"/>
      <c r="L69" s="334"/>
      <c r="M69" s="334"/>
      <c r="N69" s="335"/>
    </row>
    <row r="70" spans="2:14" ht="15" customHeight="1" x14ac:dyDescent="0.25">
      <c r="B70" s="22"/>
      <c r="C70" s="330" t="s">
        <v>207</v>
      </c>
      <c r="D70" s="33"/>
      <c r="E70" s="34" t="s">
        <v>241</v>
      </c>
      <c r="F70" s="341" t="str">
        <f>IF(L64&gt;=25000,"You may have triggered the emissions reporting threshold for this facility. Please contact the Clean Energy Regulator",IF(L64&gt;21000, "You are close to the emissions reporting threshold for this facility. Please contact the Clean Energy Regulator",""))</f>
        <v/>
      </c>
      <c r="G70" s="341"/>
      <c r="H70" s="341"/>
      <c r="I70" s="341"/>
      <c r="J70" s="341"/>
      <c r="K70" s="341"/>
      <c r="L70" s="341"/>
      <c r="M70" s="341"/>
      <c r="N70" s="35" t="s">
        <v>242</v>
      </c>
    </row>
    <row r="71" spans="2:14" ht="15" customHeight="1" x14ac:dyDescent="0.3">
      <c r="B71" s="168"/>
      <c r="C71" s="330"/>
      <c r="D71" s="36"/>
      <c r="E71" s="337">
        <f>L64</f>
        <v>0</v>
      </c>
      <c r="F71" s="337"/>
      <c r="G71" s="337"/>
      <c r="H71" s="337"/>
      <c r="I71" s="337"/>
      <c r="J71" s="337"/>
      <c r="K71" s="337"/>
      <c r="L71" s="337"/>
      <c r="M71" s="337"/>
      <c r="N71" s="338"/>
    </row>
    <row r="72" spans="2:14" ht="15" customHeight="1" x14ac:dyDescent="0.3">
      <c r="B72" s="168"/>
      <c r="C72" s="330" t="s">
        <v>206</v>
      </c>
      <c r="D72" s="36"/>
      <c r="E72" s="37" t="s">
        <v>203</v>
      </c>
      <c r="F72" s="348" t="str">
        <f>IF(L65&gt;=100000,"You may have triggered the energy reporting threshold for this facility. Please contact the Clean Energy Regulator",IF(L65&gt;90000, "You are close to the energy reporting threshold for this facility. Please contact the Clean Energy Regulator",""))</f>
        <v/>
      </c>
      <c r="G72" s="348"/>
      <c r="H72" s="348"/>
      <c r="I72" s="348"/>
      <c r="J72" s="348"/>
      <c r="K72" s="348"/>
      <c r="L72" s="348"/>
      <c r="M72" s="348"/>
      <c r="N72" s="38" t="s">
        <v>218</v>
      </c>
    </row>
    <row r="73" spans="2:14" ht="17.45" customHeight="1" x14ac:dyDescent="0.25">
      <c r="B73" s="168"/>
      <c r="C73" s="330"/>
      <c r="D73" s="174"/>
      <c r="E73" s="337">
        <f>L65</f>
        <v>0</v>
      </c>
      <c r="F73" s="337"/>
      <c r="G73" s="337"/>
      <c r="H73" s="337"/>
      <c r="I73" s="337"/>
      <c r="J73" s="337"/>
      <c r="K73" s="337"/>
      <c r="L73" s="337"/>
      <c r="M73" s="337"/>
      <c r="N73" s="338"/>
    </row>
    <row r="74" spans="2:14" ht="17.45" customHeight="1" x14ac:dyDescent="0.25">
      <c r="B74" s="168"/>
      <c r="C74" s="330" t="s">
        <v>208</v>
      </c>
      <c r="D74" s="174"/>
      <c r="E74" s="37" t="s">
        <v>203</v>
      </c>
      <c r="F74" s="348" t="str">
        <f>IF(L66&gt;=100000,"You may have triggered the energy reporting threshold for this facility. Please contact the Clean Energy Regulator",IF(L66&gt;90000, "You are close to the energy reporting threshold for this facility. Please contact the Clean Energy Regulator",""))</f>
        <v/>
      </c>
      <c r="G74" s="348"/>
      <c r="H74" s="348"/>
      <c r="I74" s="348"/>
      <c r="J74" s="348"/>
      <c r="K74" s="348"/>
      <c r="L74" s="348"/>
      <c r="M74" s="348"/>
      <c r="N74" s="38" t="s">
        <v>218</v>
      </c>
    </row>
    <row r="75" spans="2:14" ht="17.45" customHeight="1" x14ac:dyDescent="0.25">
      <c r="B75" s="175"/>
      <c r="C75" s="331"/>
      <c r="D75" s="176"/>
      <c r="E75" s="339">
        <f>L66</f>
        <v>0</v>
      </c>
      <c r="F75" s="339"/>
      <c r="G75" s="339"/>
      <c r="H75" s="339"/>
      <c r="I75" s="339"/>
      <c r="J75" s="339"/>
      <c r="K75" s="339"/>
      <c r="L75" s="339"/>
      <c r="M75" s="339"/>
      <c r="N75" s="340"/>
    </row>
    <row r="76" spans="2:14" ht="17.45" customHeight="1" x14ac:dyDescent="0.25">
      <c r="B76" s="6"/>
      <c r="C76" s="6"/>
      <c r="D76" s="6"/>
      <c r="E76" s="6"/>
      <c r="F76" s="6"/>
      <c r="G76" s="6"/>
      <c r="H76" s="6"/>
      <c r="I76" s="6"/>
      <c r="J76" s="6"/>
      <c r="K76" s="6"/>
      <c r="L76" s="6"/>
      <c r="M76" s="6"/>
      <c r="N76" s="6"/>
    </row>
    <row r="77" spans="2:14" ht="17.45" hidden="1" customHeight="1" x14ac:dyDescent="0.25"/>
    <row r="78" spans="2:14" ht="17.45" hidden="1" customHeight="1" x14ac:dyDescent="0.25"/>
    <row r="79" spans="2:14" ht="17.45" hidden="1" customHeight="1" x14ac:dyDescent="0.25"/>
    <row r="80" spans="2:14" ht="17.45" hidden="1" customHeight="1" x14ac:dyDescent="0.25"/>
    <row r="81" ht="17.45" hidden="1" customHeight="1" x14ac:dyDescent="0.25"/>
    <row r="82" ht="17.45" hidden="1" customHeight="1" x14ac:dyDescent="0.25"/>
    <row r="83" ht="17.45" hidden="1" customHeight="1" x14ac:dyDescent="0.25"/>
    <row r="84" ht="17.45" hidden="1" customHeight="1" x14ac:dyDescent="0.25"/>
    <row r="85" ht="17.45" hidden="1" customHeight="1" x14ac:dyDescent="0.25"/>
    <row r="86" ht="17.45" hidden="1" customHeight="1" x14ac:dyDescent="0.25"/>
    <row r="87" ht="17.45" hidden="1" customHeight="1" x14ac:dyDescent="0.25"/>
    <row r="88" ht="17.45" hidden="1" customHeight="1" x14ac:dyDescent="0.25"/>
    <row r="89" ht="17.45" hidden="1" customHeight="1" x14ac:dyDescent="0.25"/>
    <row r="90" ht="17.45" hidden="1" customHeight="1" x14ac:dyDescent="0.25"/>
    <row r="91" ht="17.45" hidden="1" customHeight="1" x14ac:dyDescent="0.25"/>
    <row r="92" ht="17.45" hidden="1" customHeight="1" x14ac:dyDescent="0.25"/>
    <row r="93" ht="17.45" hidden="1" customHeight="1" x14ac:dyDescent="0.25"/>
    <row r="94" ht="17.45" hidden="1" customHeight="1" x14ac:dyDescent="0.25"/>
    <row r="95" ht="17.45" hidden="1" customHeight="1" x14ac:dyDescent="0.25"/>
    <row r="96" ht="17.45" hidden="1" customHeight="1" x14ac:dyDescent="0.25"/>
    <row r="97" ht="17.45" hidden="1" customHeight="1" x14ac:dyDescent="0.25"/>
    <row r="98" ht="17.45" hidden="1" customHeight="1" x14ac:dyDescent="0.25"/>
  </sheetData>
  <sheetProtection algorithmName="SHA-256" hashValue="hAVfLK0Trr3xveLm5V9EzmNPVXGYmGbds4o7mS7ppyA=" saltValue="41v9kJ7ADkp8qrLwV04XyQ==" spinCount="100000" sheet="1" objects="1" scenarios="1" selectLockedCells="1"/>
  <mergeCells count="55">
    <mergeCell ref="C72:C73"/>
    <mergeCell ref="F72:M72"/>
    <mergeCell ref="E73:N73"/>
    <mergeCell ref="C74:C75"/>
    <mergeCell ref="F74:M74"/>
    <mergeCell ref="E75:N75"/>
    <mergeCell ref="D65:E65"/>
    <mergeCell ref="D66:E66"/>
    <mergeCell ref="C68:N69"/>
    <mergeCell ref="C70:C71"/>
    <mergeCell ref="F70:M70"/>
    <mergeCell ref="E71:N71"/>
    <mergeCell ref="D64:E64"/>
    <mergeCell ref="G51:L51"/>
    <mergeCell ref="C53:C54"/>
    <mergeCell ref="E53:E54"/>
    <mergeCell ref="G53:G54"/>
    <mergeCell ref="I53:K53"/>
    <mergeCell ref="G58:L58"/>
    <mergeCell ref="C60:C61"/>
    <mergeCell ref="D60:G61"/>
    <mergeCell ref="L60:M61"/>
    <mergeCell ref="D62:E62"/>
    <mergeCell ref="D63:E63"/>
    <mergeCell ref="J50:K50"/>
    <mergeCell ref="G35:L35"/>
    <mergeCell ref="C37:C38"/>
    <mergeCell ref="E37:E38"/>
    <mergeCell ref="G37:G38"/>
    <mergeCell ref="I37:K37"/>
    <mergeCell ref="J42:K42"/>
    <mergeCell ref="G43:L43"/>
    <mergeCell ref="C45:C46"/>
    <mergeCell ref="E45:E46"/>
    <mergeCell ref="G45:G46"/>
    <mergeCell ref="I45:K45"/>
    <mergeCell ref="J34:L34"/>
    <mergeCell ref="G16:L16"/>
    <mergeCell ref="C18:C19"/>
    <mergeCell ref="E18:E19"/>
    <mergeCell ref="G18:G19"/>
    <mergeCell ref="I18:K18"/>
    <mergeCell ref="G28:L28"/>
    <mergeCell ref="C30:C31"/>
    <mergeCell ref="E30:E31"/>
    <mergeCell ref="G30:G31"/>
    <mergeCell ref="I30:K30"/>
    <mergeCell ref="J33:L33"/>
    <mergeCell ref="C2:N2"/>
    <mergeCell ref="E4:H4"/>
    <mergeCell ref="J4:L4"/>
    <mergeCell ref="C6:C7"/>
    <mergeCell ref="E6:E7"/>
    <mergeCell ref="G6:G7"/>
    <mergeCell ref="I6:K6"/>
  </mergeCells>
  <conditionalFormatting sqref="I41 I33:I34">
    <cfRule type="cellIs" dxfId="78" priority="17" operator="equal">
      <formula>0.64</formula>
    </cfRule>
  </conditionalFormatting>
  <conditionalFormatting sqref="I41:M41 C65 M33:N34 I33:J34">
    <cfRule type="cellIs" dxfId="77" priority="16" operator="equal">
      <formula>0</formula>
    </cfRule>
  </conditionalFormatting>
  <conditionalFormatting sqref="I40:N40 J42 L42:M42 N41:N42">
    <cfRule type="cellIs" dxfId="76" priority="15" operator="equal">
      <formula>0</formula>
    </cfRule>
  </conditionalFormatting>
  <conditionalFormatting sqref="I49:M49">
    <cfRule type="aboveAverage" dxfId="75" priority="14"/>
  </conditionalFormatting>
  <conditionalFormatting sqref="I48:N48 J50 L50:M50 N49:N50">
    <cfRule type="cellIs" dxfId="74" priority="13" operator="equal">
      <formula>0</formula>
    </cfRule>
  </conditionalFormatting>
  <conditionalFormatting sqref="G64:I64 G62:G63">
    <cfRule type="dataBar" priority="12">
      <dataBar>
        <cfvo type="min"/>
        <cfvo type="max"/>
        <color rgb="FF638EC6"/>
      </dataBar>
      <extLst>
        <ext xmlns:x14="http://schemas.microsoft.com/office/spreadsheetml/2009/9/main" uri="{B025F937-C7B1-47D3-B67F-A62EFF666E3E}">
          <x14:id>{CCC9A493-1455-4F61-9A4B-FBA8BD5568F8}</x14:id>
        </ext>
      </extLst>
    </cfRule>
  </conditionalFormatting>
  <conditionalFormatting sqref="I9:N15">
    <cfRule type="cellIs" dxfId="73" priority="11" operator="equal">
      <formula>0</formula>
    </cfRule>
  </conditionalFormatting>
  <conditionalFormatting sqref="E71:N71">
    <cfRule type="dataBar" priority="10">
      <dataBar>
        <cfvo type="num" val="0"/>
        <cfvo type="num" val="25000"/>
        <color rgb="FF638EC6"/>
      </dataBar>
      <extLst>
        <ext xmlns:x14="http://schemas.microsoft.com/office/spreadsheetml/2009/9/main" uri="{B025F937-C7B1-47D3-B67F-A62EFF666E3E}">
          <x14:id>{D3E2BFBA-8B19-4DDF-AF83-4A2DB2DBD991}</x14:id>
        </ext>
      </extLst>
    </cfRule>
  </conditionalFormatting>
  <conditionalFormatting sqref="E73:N73">
    <cfRule type="dataBar" priority="9">
      <dataBar>
        <cfvo type="num" val="0"/>
        <cfvo type="num" val="100000"/>
        <color rgb="FF638EC6"/>
      </dataBar>
      <extLst>
        <ext xmlns:x14="http://schemas.microsoft.com/office/spreadsheetml/2009/9/main" uri="{B025F937-C7B1-47D3-B67F-A62EFF666E3E}">
          <x14:id>{1306B472-EB43-449F-BB99-FB2A100909D8}</x14:id>
        </ext>
      </extLst>
    </cfRule>
  </conditionalFormatting>
  <conditionalFormatting sqref="E75:N75">
    <cfRule type="dataBar" priority="8">
      <dataBar>
        <cfvo type="num" val="0"/>
        <cfvo type="num" val="100000"/>
        <color rgb="FF638EC6"/>
      </dataBar>
      <extLst>
        <ext xmlns:x14="http://schemas.microsoft.com/office/spreadsheetml/2009/9/main" uri="{B025F937-C7B1-47D3-B67F-A62EFF666E3E}">
          <x14:id>{6D36502F-B36B-49F4-A082-0BC00429DF01}</x14:id>
        </ext>
      </extLst>
    </cfRule>
  </conditionalFormatting>
  <conditionalFormatting sqref="G21:N27">
    <cfRule type="cellIs" dxfId="72" priority="7" operator="equal">
      <formula>0</formula>
    </cfRule>
  </conditionalFormatting>
  <conditionalFormatting sqref="H40:N42">
    <cfRule type="cellIs" dxfId="71" priority="6" operator="equal">
      <formula>0</formula>
    </cfRule>
  </conditionalFormatting>
  <conditionalFormatting sqref="H48:N50">
    <cfRule type="cellIs" dxfId="70" priority="5" operator="equal">
      <formula>0</formula>
    </cfRule>
  </conditionalFormatting>
  <conditionalFormatting sqref="N4">
    <cfRule type="expression" dxfId="69" priority="3">
      <formula>M4="No specific period"</formula>
    </cfRule>
    <cfRule type="cellIs" dxfId="68" priority="4" operator="equal">
      <formula>"# of days?"</formula>
    </cfRule>
  </conditionalFormatting>
  <conditionalFormatting sqref="M62:M64">
    <cfRule type="dataBar" priority="2">
      <dataBar>
        <cfvo type="min"/>
        <cfvo type="max"/>
        <color rgb="FF638EC6"/>
      </dataBar>
      <extLst>
        <ext xmlns:x14="http://schemas.microsoft.com/office/spreadsheetml/2009/9/main" uri="{B025F937-C7B1-47D3-B67F-A62EFF666E3E}">
          <x14:id>{78407EE3-563F-408B-99F0-DD61FC9CD00D}</x14:id>
        </ext>
      </extLst>
    </cfRule>
  </conditionalFormatting>
  <conditionalFormatting sqref="L57 N57">
    <cfRule type="cellIs" dxfId="67" priority="1" operator="equal">
      <formula>0</formula>
    </cfRule>
  </conditionalFormatting>
  <dataValidations count="1">
    <dataValidation type="list" allowBlank="1" showInputMessage="1" showErrorMessage="1" sqref="M4" xr:uid="{00000000-0002-0000-0200-000000000000}">
      <formula1>$Q$3:$Q$4</formula1>
    </dataValidation>
  </dataValidations>
  <pageMargins left="0.7" right="0.7" top="0.75" bottom="0.75" header="0.3" footer="0.3"/>
  <pageSetup paperSize="9" scale="66" orientation="landscape" r:id="rId1"/>
  <drawing r:id="rId2"/>
  <extLst>
    <ext xmlns:x14="http://schemas.microsoft.com/office/spreadsheetml/2009/9/main" uri="{78C0D931-6437-407d-A8EE-F0AAD7539E65}">
      <x14:conditionalFormattings>
        <x14:conditionalFormatting xmlns:xm="http://schemas.microsoft.com/office/excel/2006/main">
          <x14:cfRule type="dataBar" id="{CCC9A493-1455-4F61-9A4B-FBA8BD5568F8}">
            <x14:dataBar minLength="0" maxLength="100" border="1" negativeBarBorderColorSameAsPositive="0">
              <x14:cfvo type="autoMin"/>
              <x14:cfvo type="autoMax"/>
              <x14:borderColor rgb="FF638EC6"/>
              <x14:negativeFillColor rgb="FFFF0000"/>
              <x14:negativeBorderColor rgb="FFFF0000"/>
              <x14:axisColor rgb="FF000000"/>
            </x14:dataBar>
          </x14:cfRule>
          <xm:sqref>G64:I64 G62:G63</xm:sqref>
        </x14:conditionalFormatting>
        <x14:conditionalFormatting xmlns:xm="http://schemas.microsoft.com/office/excel/2006/main">
          <x14:cfRule type="dataBar" id="{D3E2BFBA-8B19-4DDF-AF83-4A2DB2DBD991}">
            <x14:dataBar minLength="0" maxLength="100" gradient="0">
              <x14:cfvo type="num">
                <xm:f>0</xm:f>
              </x14:cfvo>
              <x14:cfvo type="num">
                <xm:f>25000</xm:f>
              </x14:cfvo>
              <x14:negativeFillColor rgb="FFFF0000"/>
              <x14:axisColor rgb="FF000000"/>
            </x14:dataBar>
          </x14:cfRule>
          <xm:sqref>E71:N71</xm:sqref>
        </x14:conditionalFormatting>
        <x14:conditionalFormatting xmlns:xm="http://schemas.microsoft.com/office/excel/2006/main">
          <x14:cfRule type="dataBar" id="{1306B472-EB43-449F-BB99-FB2A100909D8}">
            <x14:dataBar minLength="0" maxLength="100" gradient="0">
              <x14:cfvo type="num">
                <xm:f>0</xm:f>
              </x14:cfvo>
              <x14:cfvo type="num">
                <xm:f>100000</xm:f>
              </x14:cfvo>
              <x14:negativeFillColor rgb="FFFF0000"/>
              <x14:axisColor rgb="FF000000"/>
            </x14:dataBar>
          </x14:cfRule>
          <xm:sqref>E73:N73</xm:sqref>
        </x14:conditionalFormatting>
        <x14:conditionalFormatting xmlns:xm="http://schemas.microsoft.com/office/excel/2006/main">
          <x14:cfRule type="dataBar" id="{6D36502F-B36B-49F4-A082-0BC00429DF01}">
            <x14:dataBar minLength="0" maxLength="100" gradient="0">
              <x14:cfvo type="num">
                <xm:f>0</xm:f>
              </x14:cfvo>
              <x14:cfvo type="num">
                <xm:f>100000</xm:f>
              </x14:cfvo>
              <x14:negativeFillColor rgb="FFFF0000"/>
              <x14:axisColor rgb="FF000000"/>
            </x14:dataBar>
          </x14:cfRule>
          <xm:sqref>E75:N75</xm:sqref>
        </x14:conditionalFormatting>
        <x14:conditionalFormatting xmlns:xm="http://schemas.microsoft.com/office/excel/2006/main">
          <x14:cfRule type="dataBar" id="{78407EE3-563F-408B-99F0-DD61FC9CD00D}">
            <x14:dataBar minLength="0" maxLength="100" border="1" negativeBarBorderColorSameAsPositive="0">
              <x14:cfvo type="autoMin"/>
              <x14:cfvo type="autoMax"/>
              <x14:borderColor rgb="FF638EC6"/>
              <x14:negativeFillColor rgb="FFFF0000"/>
              <x14:negativeBorderColor rgb="FFFF0000"/>
              <x14:axisColor rgb="FF000000"/>
            </x14:dataBar>
          </x14:cfRule>
          <xm:sqref>M62:M64</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1000000}">
          <x14:formula1>
            <xm:f>'Calculation engine'!$W$8:$W$72</xm:f>
          </x14:formula1>
          <xm:sqref>C48:C50</xm:sqref>
        </x14:dataValidation>
        <x14:dataValidation type="list" allowBlank="1" showInputMessage="1" showErrorMessage="1" xr:uid="{00000000-0002-0000-0200-000002000000}">
          <x14:formula1>
            <xm:f>'Calculation engine'!$AD$8:$AD$78</xm:f>
          </x14:formula1>
          <xm:sqref>C40:C42</xm:sqref>
        </x14:dataValidation>
        <x14:dataValidation type="list" allowBlank="1" showInputMessage="1" showErrorMessage="1" xr:uid="{00000000-0002-0000-0200-000003000000}">
          <x14:formula1>
            <xm:f>'Calculation engine'!$Q$10:$Q$19</xm:f>
          </x14:formula1>
          <xm:sqref>C33:C34</xm:sqref>
        </x14:dataValidation>
        <x14:dataValidation type="list" allowBlank="1" showInputMessage="1" showErrorMessage="1" xr:uid="{00000000-0002-0000-0200-000004000000}">
          <x14:formula1>
            <xm:f>'Calculation engine'!$I$8:$I$62</xm:f>
          </x14:formula1>
          <xm:sqref>C21:C27</xm:sqref>
        </x14:dataValidation>
        <x14:dataValidation type="list" allowBlank="1" showInputMessage="1" showErrorMessage="1" xr:uid="{00000000-0002-0000-0200-000005000000}">
          <x14:formula1>
            <xm:f>'Calculation engine'!$B$8:$B$28</xm:f>
          </x14:formula1>
          <xm:sqref>C9:C15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98"/>
  <sheetViews>
    <sheetView showRowColHeaders="0" zoomScaleNormal="100" workbookViewId="0"/>
  </sheetViews>
  <sheetFormatPr defaultColWidth="0" defaultRowHeight="15" customHeight="1" zeroHeight="1" x14ac:dyDescent="0.25"/>
  <cols>
    <col min="1" max="2" width="4" style="2" customWidth="1"/>
    <col min="3" max="3" width="67.5703125" style="2" customWidth="1"/>
    <col min="4" max="4" width="3.42578125" style="2" customWidth="1"/>
    <col min="5" max="5" width="19.7109375" style="2" customWidth="1"/>
    <col min="6" max="6" width="3.7109375" style="2" customWidth="1"/>
    <col min="7" max="8" width="9.140625" style="2" customWidth="1"/>
    <col min="9" max="9" width="13.5703125" style="2" customWidth="1"/>
    <col min="10" max="10" width="12.140625" style="2" customWidth="1"/>
    <col min="11" max="11" width="11.85546875" style="2" customWidth="1"/>
    <col min="12" max="12" width="22.5703125" style="2" customWidth="1"/>
    <col min="13" max="13" width="23.85546875" style="2" customWidth="1"/>
    <col min="14" max="14" width="23.28515625" style="2" customWidth="1"/>
    <col min="15" max="15" width="4.5703125" style="2" customWidth="1"/>
    <col min="16" max="16384" width="9.140625" style="2" hidden="1"/>
  </cols>
  <sheetData>
    <row r="1" spans="2:20" ht="203.25" customHeight="1" x14ac:dyDescent="0.25"/>
    <row r="2" spans="2:20" ht="33" customHeight="1" x14ac:dyDescent="0.25">
      <c r="B2" s="311"/>
      <c r="C2" s="360" t="s">
        <v>236</v>
      </c>
      <c r="D2" s="360"/>
      <c r="E2" s="360"/>
      <c r="F2" s="360"/>
      <c r="G2" s="360"/>
      <c r="H2" s="360"/>
      <c r="I2" s="360"/>
      <c r="J2" s="360"/>
      <c r="K2" s="360"/>
      <c r="L2" s="360"/>
      <c r="M2" s="360"/>
      <c r="N2" s="360"/>
    </row>
    <row r="3" spans="2:20" ht="15" customHeight="1" x14ac:dyDescent="0.25">
      <c r="B3" s="177"/>
      <c r="C3" s="177"/>
      <c r="D3" s="177"/>
      <c r="E3" s="177"/>
      <c r="F3" s="177"/>
      <c r="G3" s="177"/>
      <c r="H3" s="177"/>
      <c r="I3" s="177"/>
      <c r="J3" s="177"/>
      <c r="K3" s="177"/>
      <c r="L3" s="177"/>
      <c r="M3" s="177"/>
      <c r="N3" s="23" t="str">
        <f>IF(M4="Part year","Enter days below","")</f>
        <v/>
      </c>
      <c r="Q3" s="2" t="s">
        <v>226</v>
      </c>
    </row>
    <row r="4" spans="2:20" ht="15" customHeight="1" x14ac:dyDescent="0.25">
      <c r="B4" s="311"/>
      <c r="C4" s="310" t="s">
        <v>224</v>
      </c>
      <c r="D4" s="177"/>
      <c r="E4" s="361"/>
      <c r="F4" s="362"/>
      <c r="G4" s="362"/>
      <c r="H4" s="363"/>
      <c r="I4" s="177"/>
      <c r="J4" s="356" t="s">
        <v>225</v>
      </c>
      <c r="K4" s="357"/>
      <c r="L4" s="357"/>
      <c r="M4" s="73" t="s">
        <v>226</v>
      </c>
      <c r="N4" s="73">
        <f>IF(M4="Full year",365,"")</f>
        <v>365</v>
      </c>
      <c r="Q4" s="2" t="s">
        <v>227</v>
      </c>
    </row>
    <row r="5" spans="2:20" x14ac:dyDescent="0.25">
      <c r="B5" s="8"/>
      <c r="C5" s="8"/>
      <c r="D5" s="8"/>
      <c r="E5" s="8"/>
      <c r="F5" s="8"/>
      <c r="G5" s="8"/>
      <c r="H5" s="8"/>
      <c r="I5" s="8"/>
      <c r="J5" s="8"/>
      <c r="K5" s="8"/>
      <c r="L5" s="8"/>
      <c r="M5" s="8"/>
      <c r="N5" s="8"/>
    </row>
    <row r="6" spans="2:20" x14ac:dyDescent="0.25">
      <c r="B6" s="178"/>
      <c r="C6" s="353" t="s">
        <v>199</v>
      </c>
      <c r="D6" s="308"/>
      <c r="E6" s="354" t="s">
        <v>0</v>
      </c>
      <c r="F6" s="308"/>
      <c r="G6" s="354" t="s">
        <v>1</v>
      </c>
      <c r="H6" s="179"/>
      <c r="I6" s="355" t="s">
        <v>6</v>
      </c>
      <c r="J6" s="355"/>
      <c r="K6" s="355"/>
      <c r="L6" s="179"/>
      <c r="M6" s="308" t="s">
        <v>7</v>
      </c>
      <c r="N6" s="69" t="s">
        <v>5</v>
      </c>
      <c r="Q6" s="2" t="s">
        <v>190</v>
      </c>
    </row>
    <row r="7" spans="2:20" ht="14.25" customHeight="1" x14ac:dyDescent="0.25">
      <c r="B7" s="180"/>
      <c r="C7" s="334"/>
      <c r="D7" s="309"/>
      <c r="E7" s="352"/>
      <c r="F7" s="309"/>
      <c r="G7" s="352"/>
      <c r="H7" s="74"/>
      <c r="I7" s="1" t="s">
        <v>329</v>
      </c>
      <c r="J7" s="1" t="s">
        <v>330</v>
      </c>
      <c r="K7" s="1" t="s">
        <v>331</v>
      </c>
      <c r="L7" s="309"/>
      <c r="M7" s="1" t="s">
        <v>332</v>
      </c>
      <c r="N7" s="181" t="s">
        <v>8</v>
      </c>
    </row>
    <row r="8" spans="2:20" x14ac:dyDescent="0.25">
      <c r="B8" s="182"/>
      <c r="C8" s="161" t="s">
        <v>119</v>
      </c>
      <c r="D8" s="161"/>
      <c r="E8" s="161" t="s">
        <v>120</v>
      </c>
      <c r="F8" s="161"/>
      <c r="G8" s="161"/>
      <c r="H8" s="160"/>
      <c r="I8" s="160"/>
      <c r="J8" s="160"/>
      <c r="K8" s="160"/>
      <c r="L8" s="160"/>
      <c r="M8" s="160"/>
      <c r="N8" s="184"/>
      <c r="Q8" s="11" t="s">
        <v>2</v>
      </c>
      <c r="R8" s="11" t="s">
        <v>3</v>
      </c>
      <c r="S8" s="11" t="s">
        <v>4</v>
      </c>
      <c r="T8" s="11" t="s">
        <v>21</v>
      </c>
    </row>
    <row r="9" spans="2:20" ht="15" customHeight="1" x14ac:dyDescent="0.25">
      <c r="B9" s="182"/>
      <c r="C9" s="157" t="s">
        <v>112</v>
      </c>
      <c r="D9" s="160"/>
      <c r="E9" s="158"/>
      <c r="F9" s="161"/>
      <c r="G9" s="162" t="str">
        <f>VLOOKUP($C9,'Calculation engine'!$B$8:$G$28,6,FALSE)</f>
        <v>-</v>
      </c>
      <c r="H9" s="163"/>
      <c r="I9" s="299">
        <f>Q9*$N9/1000</f>
        <v>0</v>
      </c>
      <c r="J9" s="299">
        <f>R9*$N9/1000</f>
        <v>0</v>
      </c>
      <c r="K9" s="299">
        <f>S9*$N9/1000</f>
        <v>0</v>
      </c>
      <c r="L9" s="312"/>
      <c r="M9" s="299">
        <f>SUM(I9:K9)</f>
        <v>0</v>
      </c>
      <c r="N9" s="300">
        <f>T9*E9</f>
        <v>0</v>
      </c>
      <c r="Q9" s="11">
        <f>VLOOKUP($C9,'Calculation engine'!$B$8:$G$28,3,FALSE)</f>
        <v>0</v>
      </c>
      <c r="R9" s="11">
        <f>VLOOKUP($C9,'Calculation engine'!$B$8:$G$28,4,FALSE)</f>
        <v>0</v>
      </c>
      <c r="S9" s="11">
        <f>VLOOKUP($C9,'Calculation engine'!$B$8:$G$28,5,FALSE)</f>
        <v>0</v>
      </c>
      <c r="T9" s="11">
        <f>VLOOKUP($C9,'Calculation engine'!$B$8:$G$28,2,FALSE)</f>
        <v>0</v>
      </c>
    </row>
    <row r="10" spans="2:20" ht="15" customHeight="1" x14ac:dyDescent="0.25">
      <c r="B10" s="182"/>
      <c r="C10" s="157" t="s">
        <v>112</v>
      </c>
      <c r="D10" s="160"/>
      <c r="E10" s="159"/>
      <c r="F10" s="161"/>
      <c r="G10" s="162" t="str">
        <f>VLOOKUP($C10,'Calculation engine'!$B$8:$G$28,6,FALSE)</f>
        <v>-</v>
      </c>
      <c r="H10" s="163"/>
      <c r="I10" s="299">
        <f t="shared" ref="I10:K15" si="0">Q10*$N10/1000</f>
        <v>0</v>
      </c>
      <c r="J10" s="299">
        <f t="shared" si="0"/>
        <v>0</v>
      </c>
      <c r="K10" s="299">
        <f t="shared" si="0"/>
        <v>0</v>
      </c>
      <c r="L10" s="312"/>
      <c r="M10" s="299">
        <f t="shared" ref="M10:M15" si="1">SUM(I10:K10)</f>
        <v>0</v>
      </c>
      <c r="N10" s="300">
        <f t="shared" ref="N10:N15" si="2">T10*E10</f>
        <v>0</v>
      </c>
      <c r="Q10" s="11">
        <f>VLOOKUP($C10,'Calculation engine'!$B$8:$G$28,3,FALSE)</f>
        <v>0</v>
      </c>
      <c r="R10" s="11">
        <f>VLOOKUP($C10,'Calculation engine'!$B$8:$G$28,4,FALSE)</f>
        <v>0</v>
      </c>
      <c r="S10" s="11">
        <f>VLOOKUP($C10,'Calculation engine'!$B$8:$G$28,5,FALSE)</f>
        <v>0</v>
      </c>
      <c r="T10" s="11">
        <f>VLOOKUP($C10,'Calculation engine'!$B$8:$G$28,2,FALSE)</f>
        <v>0</v>
      </c>
    </row>
    <row r="11" spans="2:20" ht="15" customHeight="1" x14ac:dyDescent="0.25">
      <c r="B11" s="182"/>
      <c r="C11" s="157" t="s">
        <v>112</v>
      </c>
      <c r="D11" s="160"/>
      <c r="E11" s="159"/>
      <c r="F11" s="161"/>
      <c r="G11" s="162" t="str">
        <f>VLOOKUP($C11,'Calculation engine'!$B$8:$G$28,6,FALSE)</f>
        <v>-</v>
      </c>
      <c r="H11" s="163"/>
      <c r="I11" s="299">
        <f t="shared" si="0"/>
        <v>0</v>
      </c>
      <c r="J11" s="299">
        <f t="shared" si="0"/>
        <v>0</v>
      </c>
      <c r="K11" s="299">
        <f t="shared" si="0"/>
        <v>0</v>
      </c>
      <c r="L11" s="312"/>
      <c r="M11" s="299">
        <f>SUM(I11:K11)</f>
        <v>0</v>
      </c>
      <c r="N11" s="300">
        <f>T11*E11</f>
        <v>0</v>
      </c>
      <c r="Q11" s="11">
        <f>VLOOKUP($C11,'Calculation engine'!$B$8:$G$28,3,FALSE)</f>
        <v>0</v>
      </c>
      <c r="R11" s="11">
        <f>VLOOKUP($C11,'Calculation engine'!$B$8:$G$28,4,FALSE)</f>
        <v>0</v>
      </c>
      <c r="S11" s="11">
        <f>VLOOKUP($C11,'Calculation engine'!$B$8:$G$28,5,FALSE)</f>
        <v>0</v>
      </c>
      <c r="T11" s="11">
        <f>VLOOKUP($C11,'Calculation engine'!$B$8:$G$28,2,FALSE)</f>
        <v>0</v>
      </c>
    </row>
    <row r="12" spans="2:20" ht="15" customHeight="1" x14ac:dyDescent="0.25">
      <c r="B12" s="182"/>
      <c r="C12" s="157" t="s">
        <v>112</v>
      </c>
      <c r="D12" s="160"/>
      <c r="E12" s="159"/>
      <c r="F12" s="161"/>
      <c r="G12" s="162" t="str">
        <f>VLOOKUP($C12,'Calculation engine'!$B$8:$G$28,6,FALSE)</f>
        <v>-</v>
      </c>
      <c r="H12" s="163"/>
      <c r="I12" s="299">
        <f t="shared" si="0"/>
        <v>0</v>
      </c>
      <c r="J12" s="299">
        <f t="shared" si="0"/>
        <v>0</v>
      </c>
      <c r="K12" s="299">
        <f t="shared" si="0"/>
        <v>0</v>
      </c>
      <c r="L12" s="312"/>
      <c r="M12" s="299">
        <f>SUM(I12:K12)</f>
        <v>0</v>
      </c>
      <c r="N12" s="300">
        <f>T12*E12</f>
        <v>0</v>
      </c>
      <c r="Q12" s="11">
        <f>VLOOKUP($C12,'Calculation engine'!$B$8:$G$28,3,FALSE)</f>
        <v>0</v>
      </c>
      <c r="R12" s="11">
        <f>VLOOKUP($C12,'Calculation engine'!$B$8:$G$28,4,FALSE)</f>
        <v>0</v>
      </c>
      <c r="S12" s="11">
        <f>VLOOKUP($C12,'Calculation engine'!$B$8:$G$28,5,FALSE)</f>
        <v>0</v>
      </c>
      <c r="T12" s="11">
        <f>VLOOKUP($C12,'Calculation engine'!$B$8:$G$28,2,FALSE)</f>
        <v>0</v>
      </c>
    </row>
    <row r="13" spans="2:20" ht="15" customHeight="1" x14ac:dyDescent="0.25">
      <c r="B13" s="182"/>
      <c r="C13" s="157" t="s">
        <v>112</v>
      </c>
      <c r="D13" s="160"/>
      <c r="E13" s="159"/>
      <c r="F13" s="161"/>
      <c r="G13" s="162" t="str">
        <f>VLOOKUP($C13,'Calculation engine'!$B$8:$G$28,6,FALSE)</f>
        <v>-</v>
      </c>
      <c r="H13" s="163"/>
      <c r="I13" s="299">
        <f t="shared" si="0"/>
        <v>0</v>
      </c>
      <c r="J13" s="299">
        <f t="shared" si="0"/>
        <v>0</v>
      </c>
      <c r="K13" s="299">
        <f t="shared" si="0"/>
        <v>0</v>
      </c>
      <c r="L13" s="312"/>
      <c r="M13" s="299">
        <f>SUM(I13:K13)</f>
        <v>0</v>
      </c>
      <c r="N13" s="300">
        <f>T13*E13</f>
        <v>0</v>
      </c>
      <c r="Q13" s="11">
        <f>VLOOKUP($C13,'Calculation engine'!$B$8:$G$28,3,FALSE)</f>
        <v>0</v>
      </c>
      <c r="R13" s="11">
        <f>VLOOKUP($C13,'Calculation engine'!$B$8:$G$28,4,FALSE)</f>
        <v>0</v>
      </c>
      <c r="S13" s="11">
        <f>VLOOKUP($C13,'Calculation engine'!$B$8:$G$28,5,FALSE)</f>
        <v>0</v>
      </c>
      <c r="T13" s="11">
        <f>VLOOKUP($C13,'Calculation engine'!$B$8:$G$28,2,FALSE)</f>
        <v>0</v>
      </c>
    </row>
    <row r="14" spans="2:20" ht="15" customHeight="1" x14ac:dyDescent="0.25">
      <c r="B14" s="182"/>
      <c r="C14" s="157" t="s">
        <v>112</v>
      </c>
      <c r="D14" s="160"/>
      <c r="E14" s="159"/>
      <c r="F14" s="161"/>
      <c r="G14" s="162" t="str">
        <f>VLOOKUP($C14,'Calculation engine'!$B$8:$G$28,6,FALSE)</f>
        <v>-</v>
      </c>
      <c r="H14" s="163"/>
      <c r="I14" s="299">
        <f t="shared" si="0"/>
        <v>0</v>
      </c>
      <c r="J14" s="299">
        <f t="shared" si="0"/>
        <v>0</v>
      </c>
      <c r="K14" s="299">
        <f t="shared" si="0"/>
        <v>0</v>
      </c>
      <c r="L14" s="312"/>
      <c r="M14" s="299">
        <f t="shared" si="1"/>
        <v>0</v>
      </c>
      <c r="N14" s="300">
        <f t="shared" si="2"/>
        <v>0</v>
      </c>
      <c r="Q14" s="11">
        <f>VLOOKUP($C14,'Calculation engine'!$B$8:$G$28,3,FALSE)</f>
        <v>0</v>
      </c>
      <c r="R14" s="11">
        <f>VLOOKUP($C14,'Calculation engine'!$B$8:$G$28,4,FALSE)</f>
        <v>0</v>
      </c>
      <c r="S14" s="11">
        <f>VLOOKUP($C14,'Calculation engine'!$B$8:$G$28,5,FALSE)</f>
        <v>0</v>
      </c>
      <c r="T14" s="11">
        <f>VLOOKUP($C14,'Calculation engine'!$B$8:$G$28,2,FALSE)</f>
        <v>0</v>
      </c>
    </row>
    <row r="15" spans="2:20" ht="15" customHeight="1" x14ac:dyDescent="0.25">
      <c r="B15" s="182"/>
      <c r="C15" s="157" t="s">
        <v>112</v>
      </c>
      <c r="D15" s="160"/>
      <c r="E15" s="159"/>
      <c r="F15" s="161"/>
      <c r="G15" s="162" t="str">
        <f>VLOOKUP($C15,'Calculation engine'!$B$8:$G$28,6,FALSE)</f>
        <v>-</v>
      </c>
      <c r="H15" s="163"/>
      <c r="I15" s="299">
        <f t="shared" si="0"/>
        <v>0</v>
      </c>
      <c r="J15" s="299">
        <f t="shared" si="0"/>
        <v>0</v>
      </c>
      <c r="K15" s="299">
        <f t="shared" si="0"/>
        <v>0</v>
      </c>
      <c r="L15" s="312"/>
      <c r="M15" s="299">
        <f t="shared" si="1"/>
        <v>0</v>
      </c>
      <c r="N15" s="300">
        <f t="shared" si="2"/>
        <v>0</v>
      </c>
      <c r="Q15" s="11">
        <f>VLOOKUP($C15,'Calculation engine'!$B$8:$G$28,3,FALSE)</f>
        <v>0</v>
      </c>
      <c r="R15" s="11">
        <f>VLOOKUP($C15,'Calculation engine'!$B$8:$G$28,4,FALSE)</f>
        <v>0</v>
      </c>
      <c r="S15" s="11">
        <f>VLOOKUP($C15,'Calculation engine'!$B$8:$G$28,5,FALSE)</f>
        <v>0</v>
      </c>
      <c r="T15" s="11">
        <f>VLOOKUP($C15,'Calculation engine'!$B$8:$G$28,2,FALSE)</f>
        <v>0</v>
      </c>
    </row>
    <row r="16" spans="2:20" ht="15" customHeight="1" x14ac:dyDescent="0.25">
      <c r="B16" s="185"/>
      <c r="C16" s="165"/>
      <c r="D16" s="165"/>
      <c r="E16" s="166"/>
      <c r="F16" s="166"/>
      <c r="G16" s="350" t="s">
        <v>327</v>
      </c>
      <c r="H16" s="350"/>
      <c r="I16" s="350"/>
      <c r="J16" s="350"/>
      <c r="K16" s="350"/>
      <c r="L16" s="350"/>
      <c r="M16" s="301">
        <f>SUM(M9:M15)</f>
        <v>0</v>
      </c>
      <c r="N16" s="302">
        <f>SUM(N9:N15)</f>
        <v>0</v>
      </c>
    </row>
    <row r="17" spans="2:20" ht="15" customHeight="1" x14ac:dyDescent="0.25">
      <c r="B17" s="8"/>
      <c r="C17" s="8"/>
      <c r="D17" s="8"/>
      <c r="E17" s="23"/>
      <c r="F17" s="23"/>
      <c r="G17" s="23"/>
      <c r="H17" s="8"/>
      <c r="I17" s="8"/>
      <c r="J17" s="8"/>
      <c r="K17" s="8"/>
      <c r="L17" s="8"/>
      <c r="M17" s="8"/>
      <c r="N17" s="8"/>
    </row>
    <row r="18" spans="2:20" ht="15" customHeight="1" x14ac:dyDescent="0.25">
      <c r="B18" s="178"/>
      <c r="C18" s="353" t="s">
        <v>200</v>
      </c>
      <c r="D18" s="308"/>
      <c r="E18" s="354" t="s">
        <v>0</v>
      </c>
      <c r="F18" s="308"/>
      <c r="G18" s="354" t="s">
        <v>1</v>
      </c>
      <c r="H18" s="179"/>
      <c r="I18" s="355" t="s">
        <v>6</v>
      </c>
      <c r="J18" s="355"/>
      <c r="K18" s="355"/>
      <c r="L18" s="179"/>
      <c r="M18" s="308" t="s">
        <v>7</v>
      </c>
      <c r="N18" s="69" t="s">
        <v>5</v>
      </c>
    </row>
    <row r="19" spans="2:20" ht="15.75" customHeight="1" x14ac:dyDescent="0.25">
      <c r="B19" s="180"/>
      <c r="C19" s="334"/>
      <c r="D19" s="309"/>
      <c r="E19" s="352"/>
      <c r="F19" s="309"/>
      <c r="G19" s="352"/>
      <c r="H19" s="74"/>
      <c r="I19" s="1" t="s">
        <v>329</v>
      </c>
      <c r="J19" s="1" t="s">
        <v>330</v>
      </c>
      <c r="K19" s="1" t="s">
        <v>331</v>
      </c>
      <c r="L19" s="309"/>
      <c r="M19" s="1" t="s">
        <v>332</v>
      </c>
      <c r="N19" s="181" t="s">
        <v>8</v>
      </c>
    </row>
    <row r="20" spans="2:20" ht="15" customHeight="1" x14ac:dyDescent="0.25">
      <c r="B20" s="182"/>
      <c r="C20" s="161" t="s">
        <v>119</v>
      </c>
      <c r="D20" s="161"/>
      <c r="E20" s="161" t="s">
        <v>120</v>
      </c>
      <c r="F20" s="161"/>
      <c r="G20" s="161"/>
      <c r="H20" s="160"/>
      <c r="I20" s="160"/>
      <c r="J20" s="160"/>
      <c r="K20" s="160"/>
      <c r="L20" s="160"/>
      <c r="M20" s="160"/>
      <c r="N20" s="184"/>
      <c r="Q20" s="11" t="s">
        <v>2</v>
      </c>
      <c r="R20" s="11" t="s">
        <v>3</v>
      </c>
      <c r="S20" s="11" t="s">
        <v>4</v>
      </c>
      <c r="T20" s="11" t="s">
        <v>21</v>
      </c>
    </row>
    <row r="21" spans="2:20" ht="15" customHeight="1" x14ac:dyDescent="0.25">
      <c r="B21" s="182"/>
      <c r="C21" s="157" t="s">
        <v>112</v>
      </c>
      <c r="D21" s="160"/>
      <c r="E21" s="158"/>
      <c r="F21" s="161"/>
      <c r="G21" s="162" t="str">
        <f>VLOOKUP($C21,'Calculation engine'!$I$8:$N$62,6,FALSE)</f>
        <v>-</v>
      </c>
      <c r="H21" s="163"/>
      <c r="I21" s="299">
        <f t="shared" ref="I21:K27" si="3">Q21*$N21/1000</f>
        <v>0</v>
      </c>
      <c r="J21" s="299">
        <f t="shared" si="3"/>
        <v>0</v>
      </c>
      <c r="K21" s="299">
        <f t="shared" si="3"/>
        <v>0</v>
      </c>
      <c r="L21" s="312"/>
      <c r="M21" s="299">
        <f t="shared" ref="M21:M27" si="4">SUM(I21:K21)</f>
        <v>0</v>
      </c>
      <c r="N21" s="300">
        <f t="shared" ref="N21:N27" si="5">T21*E21</f>
        <v>0</v>
      </c>
      <c r="Q21" s="11">
        <f>VLOOKUP($C21,'Calculation engine'!$I$8:$N$62,3,FALSE)</f>
        <v>0</v>
      </c>
      <c r="R21" s="11">
        <f>VLOOKUP($C21,'Calculation engine'!$I$8:$N$62,4,FALSE)</f>
        <v>0</v>
      </c>
      <c r="S21" s="11">
        <f>VLOOKUP($C21,'Calculation engine'!$I$8:$N$62,5,FALSE)</f>
        <v>0</v>
      </c>
      <c r="T21" s="11">
        <f>VLOOKUP($C21,'Calculation engine'!$I$8:$N$62,2,FALSE)</f>
        <v>0</v>
      </c>
    </row>
    <row r="22" spans="2:20" ht="14.25" customHeight="1" x14ac:dyDescent="0.25">
      <c r="B22" s="182"/>
      <c r="C22" s="157" t="s">
        <v>112</v>
      </c>
      <c r="D22" s="160"/>
      <c r="E22" s="159"/>
      <c r="F22" s="161"/>
      <c r="G22" s="162" t="str">
        <f>VLOOKUP($C22,'Calculation engine'!$I$8:$N$62,6,FALSE)</f>
        <v>-</v>
      </c>
      <c r="H22" s="163"/>
      <c r="I22" s="299">
        <f t="shared" si="3"/>
        <v>0</v>
      </c>
      <c r="J22" s="299">
        <f t="shared" si="3"/>
        <v>0</v>
      </c>
      <c r="K22" s="299">
        <f t="shared" si="3"/>
        <v>0</v>
      </c>
      <c r="L22" s="312"/>
      <c r="M22" s="299">
        <f t="shared" si="4"/>
        <v>0</v>
      </c>
      <c r="N22" s="300">
        <f t="shared" si="5"/>
        <v>0</v>
      </c>
      <c r="Q22" s="11">
        <f>VLOOKUP($C22,'Calculation engine'!$I$8:$N$62,3,FALSE)</f>
        <v>0</v>
      </c>
      <c r="R22" s="11">
        <f>VLOOKUP($C22,'Calculation engine'!$I$8:$N$62,4,FALSE)</f>
        <v>0</v>
      </c>
      <c r="S22" s="11">
        <f>VLOOKUP($C22,'Calculation engine'!$I$8:$N$62,5,FALSE)</f>
        <v>0</v>
      </c>
      <c r="T22" s="11">
        <f>VLOOKUP($C22,'Calculation engine'!$I$8:$N$62,2,FALSE)</f>
        <v>0</v>
      </c>
    </row>
    <row r="23" spans="2:20" ht="15" customHeight="1" x14ac:dyDescent="0.25">
      <c r="B23" s="182"/>
      <c r="C23" s="157" t="s">
        <v>112</v>
      </c>
      <c r="D23" s="160"/>
      <c r="E23" s="159"/>
      <c r="F23" s="161"/>
      <c r="G23" s="162" t="str">
        <f>VLOOKUP($C23,'Calculation engine'!$I$8:$N$62,6,FALSE)</f>
        <v>-</v>
      </c>
      <c r="H23" s="163"/>
      <c r="I23" s="299">
        <f t="shared" si="3"/>
        <v>0</v>
      </c>
      <c r="J23" s="299">
        <f t="shared" si="3"/>
        <v>0</v>
      </c>
      <c r="K23" s="299">
        <f t="shared" si="3"/>
        <v>0</v>
      </c>
      <c r="L23" s="312"/>
      <c r="M23" s="299">
        <f t="shared" si="4"/>
        <v>0</v>
      </c>
      <c r="N23" s="300">
        <f t="shared" si="5"/>
        <v>0</v>
      </c>
      <c r="Q23" s="11">
        <f>VLOOKUP($C23,'Calculation engine'!$I$8:$N$62,3,FALSE)</f>
        <v>0</v>
      </c>
      <c r="R23" s="11">
        <f>VLOOKUP($C23,'Calculation engine'!$I$8:$N$62,4,FALSE)</f>
        <v>0</v>
      </c>
      <c r="S23" s="11">
        <f>VLOOKUP($C23,'Calculation engine'!$I$8:$N$62,5,FALSE)</f>
        <v>0</v>
      </c>
      <c r="T23" s="11">
        <f>VLOOKUP($C23,'Calculation engine'!$I$8:$N$62,2,FALSE)</f>
        <v>0</v>
      </c>
    </row>
    <row r="24" spans="2:20" ht="15" customHeight="1" x14ac:dyDescent="0.25">
      <c r="B24" s="182"/>
      <c r="C24" s="157" t="s">
        <v>112</v>
      </c>
      <c r="D24" s="160"/>
      <c r="E24" s="159"/>
      <c r="F24" s="161"/>
      <c r="G24" s="162" t="str">
        <f>VLOOKUP($C24,'Calculation engine'!$I$8:$N$62,6,FALSE)</f>
        <v>-</v>
      </c>
      <c r="H24" s="163"/>
      <c r="I24" s="299">
        <f t="shared" si="3"/>
        <v>0</v>
      </c>
      <c r="J24" s="299">
        <f t="shared" si="3"/>
        <v>0</v>
      </c>
      <c r="K24" s="299">
        <f t="shared" si="3"/>
        <v>0</v>
      </c>
      <c r="L24" s="312"/>
      <c r="M24" s="299">
        <f t="shared" si="4"/>
        <v>0</v>
      </c>
      <c r="N24" s="300">
        <f t="shared" si="5"/>
        <v>0</v>
      </c>
      <c r="Q24" s="11">
        <f>VLOOKUP($C24,'Calculation engine'!$I$8:$N$62,3,FALSE)</f>
        <v>0</v>
      </c>
      <c r="R24" s="11">
        <f>VLOOKUP($C24,'Calculation engine'!$I$8:$N$62,4,FALSE)</f>
        <v>0</v>
      </c>
      <c r="S24" s="11">
        <f>VLOOKUP($C24,'Calculation engine'!$I$8:$N$62,5,FALSE)</f>
        <v>0</v>
      </c>
      <c r="T24" s="11">
        <f>VLOOKUP($C24,'Calculation engine'!$I$8:$N$62,2,FALSE)</f>
        <v>0</v>
      </c>
    </row>
    <row r="25" spans="2:20" ht="15" customHeight="1" x14ac:dyDescent="0.25">
      <c r="B25" s="182"/>
      <c r="C25" s="157" t="s">
        <v>112</v>
      </c>
      <c r="D25" s="160"/>
      <c r="E25" s="159"/>
      <c r="F25" s="161"/>
      <c r="G25" s="162" t="str">
        <f>VLOOKUP($C25,'Calculation engine'!$I$8:$N$62,6,FALSE)</f>
        <v>-</v>
      </c>
      <c r="H25" s="163"/>
      <c r="I25" s="299">
        <f t="shared" si="3"/>
        <v>0</v>
      </c>
      <c r="J25" s="299">
        <f t="shared" si="3"/>
        <v>0</v>
      </c>
      <c r="K25" s="299">
        <f t="shared" si="3"/>
        <v>0</v>
      </c>
      <c r="L25" s="312"/>
      <c r="M25" s="299">
        <f t="shared" si="4"/>
        <v>0</v>
      </c>
      <c r="N25" s="300">
        <f t="shared" si="5"/>
        <v>0</v>
      </c>
      <c r="Q25" s="11">
        <f>VLOOKUP($C25,'Calculation engine'!$I$8:$N$62,3,FALSE)</f>
        <v>0</v>
      </c>
      <c r="R25" s="11">
        <f>VLOOKUP($C25,'Calculation engine'!$I$8:$N$62,4,FALSE)</f>
        <v>0</v>
      </c>
      <c r="S25" s="11">
        <f>VLOOKUP($C25,'Calculation engine'!$I$8:$N$62,5,FALSE)</f>
        <v>0</v>
      </c>
      <c r="T25" s="11">
        <f>VLOOKUP($C25,'Calculation engine'!$I$8:$N$62,2,FALSE)</f>
        <v>0</v>
      </c>
    </row>
    <row r="26" spans="2:20" ht="15" customHeight="1" x14ac:dyDescent="0.25">
      <c r="B26" s="182"/>
      <c r="C26" s="157" t="s">
        <v>112</v>
      </c>
      <c r="D26" s="160"/>
      <c r="E26" s="159"/>
      <c r="F26" s="161"/>
      <c r="G26" s="162" t="str">
        <f>VLOOKUP($C26,'Calculation engine'!$I$8:$N$62,6,FALSE)</f>
        <v>-</v>
      </c>
      <c r="H26" s="163"/>
      <c r="I26" s="299">
        <f t="shared" si="3"/>
        <v>0</v>
      </c>
      <c r="J26" s="299">
        <f t="shared" si="3"/>
        <v>0</v>
      </c>
      <c r="K26" s="299">
        <f t="shared" si="3"/>
        <v>0</v>
      </c>
      <c r="L26" s="312"/>
      <c r="M26" s="299">
        <f t="shared" si="4"/>
        <v>0</v>
      </c>
      <c r="N26" s="300">
        <f t="shared" si="5"/>
        <v>0</v>
      </c>
      <c r="Q26" s="11">
        <f>VLOOKUP($C26,'Calculation engine'!$I$8:$N$62,3,FALSE)</f>
        <v>0</v>
      </c>
      <c r="R26" s="11">
        <f>VLOOKUP($C26,'Calculation engine'!$I$8:$N$62,4,FALSE)</f>
        <v>0</v>
      </c>
      <c r="S26" s="11">
        <f>VLOOKUP($C26,'Calculation engine'!$I$8:$N$62,5,FALSE)</f>
        <v>0</v>
      </c>
      <c r="T26" s="11">
        <f>VLOOKUP($C26,'Calculation engine'!$I$8:$N$62,2,FALSE)</f>
        <v>0</v>
      </c>
    </row>
    <row r="27" spans="2:20" ht="15" customHeight="1" x14ac:dyDescent="0.25">
      <c r="B27" s="182"/>
      <c r="C27" s="157" t="s">
        <v>112</v>
      </c>
      <c r="D27" s="160"/>
      <c r="E27" s="159"/>
      <c r="F27" s="161"/>
      <c r="G27" s="162" t="str">
        <f>VLOOKUP($C27,'Calculation engine'!$I$8:$N$62,6,FALSE)</f>
        <v>-</v>
      </c>
      <c r="H27" s="163"/>
      <c r="I27" s="299">
        <f t="shared" si="3"/>
        <v>0</v>
      </c>
      <c r="J27" s="299">
        <f t="shared" si="3"/>
        <v>0</v>
      </c>
      <c r="K27" s="299">
        <f t="shared" si="3"/>
        <v>0</v>
      </c>
      <c r="L27" s="312"/>
      <c r="M27" s="299">
        <f t="shared" si="4"/>
        <v>0</v>
      </c>
      <c r="N27" s="300">
        <f t="shared" si="5"/>
        <v>0</v>
      </c>
      <c r="Q27" s="11">
        <f>VLOOKUP($C27,'Calculation engine'!$I$8:$N$62,3,FALSE)</f>
        <v>0</v>
      </c>
      <c r="R27" s="11">
        <f>VLOOKUP($C27,'Calculation engine'!$I$8:$N$62,4,FALSE)</f>
        <v>0</v>
      </c>
      <c r="S27" s="11">
        <f>VLOOKUP($C27,'Calculation engine'!$I$8:$N$62,5,FALSE)</f>
        <v>0</v>
      </c>
      <c r="T27" s="11">
        <f>VLOOKUP($C27,'Calculation engine'!$I$8:$N$62,2,FALSE)</f>
        <v>0</v>
      </c>
    </row>
    <row r="28" spans="2:20" ht="15" customHeight="1" x14ac:dyDescent="0.25">
      <c r="B28" s="185"/>
      <c r="C28" s="165"/>
      <c r="D28" s="165"/>
      <c r="E28" s="166"/>
      <c r="F28" s="166"/>
      <c r="G28" s="350" t="s">
        <v>328</v>
      </c>
      <c r="H28" s="350"/>
      <c r="I28" s="350"/>
      <c r="J28" s="350"/>
      <c r="K28" s="350"/>
      <c r="L28" s="350"/>
      <c r="M28" s="301">
        <f>SUM(M21:M27)</f>
        <v>0</v>
      </c>
      <c r="N28" s="302">
        <f>SUM(N21:N27)</f>
        <v>0</v>
      </c>
    </row>
    <row r="29" spans="2:20" ht="15" customHeight="1" x14ac:dyDescent="0.25">
      <c r="B29" s="8"/>
      <c r="C29" s="8"/>
      <c r="D29" s="8"/>
      <c r="E29" s="23"/>
      <c r="F29" s="23"/>
      <c r="G29" s="23"/>
      <c r="H29" s="8"/>
      <c r="I29" s="8"/>
      <c r="J29" s="8"/>
      <c r="K29" s="8"/>
      <c r="L29" s="8"/>
      <c r="M29" s="8"/>
      <c r="N29" s="8"/>
    </row>
    <row r="30" spans="2:20" ht="15" customHeight="1" x14ac:dyDescent="0.25">
      <c r="B30" s="178"/>
      <c r="C30" s="353" t="s">
        <v>201</v>
      </c>
      <c r="D30" s="308"/>
      <c r="E30" s="354" t="s">
        <v>0</v>
      </c>
      <c r="F30" s="308"/>
      <c r="G30" s="354" t="s">
        <v>1</v>
      </c>
      <c r="H30" s="179"/>
      <c r="I30" s="355" t="s">
        <v>121</v>
      </c>
      <c r="J30" s="355"/>
      <c r="K30" s="355"/>
      <c r="L30" s="179"/>
      <c r="M30" s="308" t="s">
        <v>9</v>
      </c>
      <c r="N30" s="69" t="s">
        <v>5</v>
      </c>
    </row>
    <row r="31" spans="2:20" ht="15" customHeight="1" x14ac:dyDescent="0.25">
      <c r="B31" s="180"/>
      <c r="C31" s="334"/>
      <c r="D31" s="309"/>
      <c r="E31" s="352"/>
      <c r="F31" s="309"/>
      <c r="G31" s="352"/>
      <c r="H31" s="74"/>
      <c r="I31" s="1" t="s">
        <v>20</v>
      </c>
      <c r="J31" s="1"/>
      <c r="K31" s="74"/>
      <c r="L31" s="309"/>
      <c r="M31" s="1" t="s">
        <v>332</v>
      </c>
      <c r="N31" s="181" t="s">
        <v>8</v>
      </c>
      <c r="Q31" s="2" t="s">
        <v>193</v>
      </c>
    </row>
    <row r="32" spans="2:20" ht="15" customHeight="1" x14ac:dyDescent="0.25">
      <c r="B32" s="182"/>
      <c r="C32" s="161" t="s">
        <v>118</v>
      </c>
      <c r="D32" s="161"/>
      <c r="E32" s="161" t="s">
        <v>120</v>
      </c>
      <c r="F32" s="161"/>
      <c r="G32" s="161"/>
      <c r="H32" s="160"/>
      <c r="I32" s="160"/>
      <c r="J32" s="160"/>
      <c r="K32" s="160"/>
      <c r="L32" s="160"/>
      <c r="M32" s="160"/>
      <c r="N32" s="184"/>
      <c r="Q32" s="1" t="s">
        <v>21</v>
      </c>
    </row>
    <row r="33" spans="2:20" ht="15" customHeight="1" x14ac:dyDescent="0.25">
      <c r="B33" s="182"/>
      <c r="C33" s="157" t="s">
        <v>112</v>
      </c>
      <c r="D33" s="160"/>
      <c r="E33" s="158"/>
      <c r="F33" s="161"/>
      <c r="G33" s="162" t="s">
        <v>23</v>
      </c>
      <c r="H33" s="174"/>
      <c r="I33" s="275">
        <f>VLOOKUP($C33,'Calculation engine'!$Q$10:$T$19,2,FALSE)</f>
        <v>0</v>
      </c>
      <c r="J33" s="359" t="str">
        <f>IF(C33="Not purchased from the main grid","You can enter a custom factor for EF","")</f>
        <v/>
      </c>
      <c r="K33" s="359"/>
      <c r="L33" s="359"/>
      <c r="M33" s="299">
        <f>E33*I33/1000</f>
        <v>0</v>
      </c>
      <c r="N33" s="300">
        <f>E33*Q34</f>
        <v>0</v>
      </c>
      <c r="Q33" s="3"/>
    </row>
    <row r="34" spans="2:20" ht="15.75" customHeight="1" x14ac:dyDescent="0.25">
      <c r="B34" s="182"/>
      <c r="C34" s="157" t="s">
        <v>112</v>
      </c>
      <c r="D34" s="160"/>
      <c r="E34" s="187"/>
      <c r="F34" s="161"/>
      <c r="G34" s="162" t="s">
        <v>23</v>
      </c>
      <c r="H34" s="174"/>
      <c r="I34" s="275">
        <f>VLOOKUP($C34,'Calculation engine'!$Q$10:$T$19,2,FALSE)</f>
        <v>0</v>
      </c>
      <c r="J34" s="358" t="str">
        <f>IF(C34="Not purchased from the main grid","You can enter a custom factor for EF","")</f>
        <v/>
      </c>
      <c r="K34" s="358"/>
      <c r="L34" s="358"/>
      <c r="M34" s="299">
        <f>E34*I34/1000</f>
        <v>0</v>
      </c>
      <c r="N34" s="300">
        <f>E34*Q35</f>
        <v>0</v>
      </c>
      <c r="Q34" s="4">
        <f>VLOOKUP($C33,'Calculation engine'!$Q$10:$T$19,3,FALSE)</f>
        <v>0</v>
      </c>
    </row>
    <row r="35" spans="2:20" ht="16.5" customHeight="1" x14ac:dyDescent="0.25">
      <c r="B35" s="185"/>
      <c r="C35" s="165"/>
      <c r="D35" s="165"/>
      <c r="E35" s="166"/>
      <c r="F35" s="166"/>
      <c r="G35" s="350" t="s">
        <v>333</v>
      </c>
      <c r="H35" s="350"/>
      <c r="I35" s="350"/>
      <c r="J35" s="350"/>
      <c r="K35" s="350"/>
      <c r="L35" s="350"/>
      <c r="M35" s="301">
        <f>SUM(M33:M34)</f>
        <v>0</v>
      </c>
      <c r="N35" s="302">
        <f>SUM(N33:N34)</f>
        <v>0</v>
      </c>
      <c r="Q35" s="4">
        <f>VLOOKUP($C34,'Calculation engine'!$Q$10:$T$19,3,FALSE)</f>
        <v>0</v>
      </c>
    </row>
    <row r="36" spans="2:20" ht="15" customHeight="1" x14ac:dyDescent="0.25">
      <c r="B36" s="8"/>
      <c r="C36" s="8"/>
      <c r="D36" s="8"/>
      <c r="E36" s="23"/>
      <c r="F36" s="23"/>
      <c r="G36" s="188"/>
      <c r="H36" s="188"/>
      <c r="I36" s="188"/>
      <c r="J36" s="188"/>
      <c r="K36" s="188"/>
      <c r="L36" s="188"/>
      <c r="M36" s="27"/>
      <c r="N36" s="27"/>
    </row>
    <row r="37" spans="2:20" ht="15" customHeight="1" x14ac:dyDescent="0.25">
      <c r="B37" s="178"/>
      <c r="C37" s="353" t="s">
        <v>158</v>
      </c>
      <c r="D37" s="308"/>
      <c r="E37" s="354" t="s">
        <v>0</v>
      </c>
      <c r="F37" s="308"/>
      <c r="G37" s="354" t="s">
        <v>1</v>
      </c>
      <c r="H37" s="179"/>
      <c r="I37" s="355"/>
      <c r="J37" s="355"/>
      <c r="K37" s="355"/>
      <c r="L37" s="179"/>
      <c r="M37" s="308"/>
      <c r="N37" s="69" t="s">
        <v>5</v>
      </c>
    </row>
    <row r="38" spans="2:20" ht="15" customHeight="1" x14ac:dyDescent="0.25">
      <c r="B38" s="180"/>
      <c r="C38" s="334"/>
      <c r="D38" s="309"/>
      <c r="E38" s="352"/>
      <c r="F38" s="309"/>
      <c r="G38" s="352"/>
      <c r="H38" s="74"/>
      <c r="I38" s="1"/>
      <c r="J38" s="1"/>
      <c r="K38" s="74"/>
      <c r="L38" s="309"/>
      <c r="M38" s="1"/>
      <c r="N38" s="181" t="s">
        <v>8</v>
      </c>
    </row>
    <row r="39" spans="2:20" ht="15" customHeight="1" x14ac:dyDescent="0.25">
      <c r="B39" s="182"/>
      <c r="C39" s="161" t="s">
        <v>196</v>
      </c>
      <c r="D39" s="161"/>
      <c r="E39" s="161" t="s">
        <v>120</v>
      </c>
      <c r="F39" s="161"/>
      <c r="G39" s="161"/>
      <c r="H39" s="160"/>
      <c r="I39" s="160"/>
      <c r="J39" s="160"/>
      <c r="K39" s="160"/>
      <c r="L39" s="160"/>
      <c r="M39" s="160"/>
      <c r="N39" s="184"/>
      <c r="Q39" s="11" t="s">
        <v>2</v>
      </c>
      <c r="R39" s="11" t="s">
        <v>3</v>
      </c>
      <c r="S39" s="11" t="s">
        <v>4</v>
      </c>
      <c r="T39" s="11" t="s">
        <v>21</v>
      </c>
    </row>
    <row r="40" spans="2:20" ht="15" customHeight="1" x14ac:dyDescent="0.25">
      <c r="B40" s="182"/>
      <c r="C40" s="157" t="s">
        <v>112</v>
      </c>
      <c r="D40" s="160"/>
      <c r="E40" s="158"/>
      <c r="F40" s="161"/>
      <c r="G40" s="162" t="str">
        <f>VLOOKUP($C40,'Calculation engine'!$AD$8:$AI$78,6,FALSE)</f>
        <v>-</v>
      </c>
      <c r="H40" s="174"/>
      <c r="I40" s="315"/>
      <c r="J40" s="315"/>
      <c r="K40" s="189"/>
      <c r="L40" s="315"/>
      <c r="M40" s="315">
        <f>E40*I40/1000</f>
        <v>0</v>
      </c>
      <c r="N40" s="300">
        <f>T40*E40</f>
        <v>0</v>
      </c>
      <c r="Q40" s="11"/>
      <c r="R40" s="11"/>
      <c r="S40" s="11"/>
      <c r="T40" s="11">
        <f>VLOOKUP($C40,'Calculation engine'!$AD$8:$AI$78,5,FALSE)</f>
        <v>0</v>
      </c>
    </row>
    <row r="41" spans="2:20" ht="15" customHeight="1" x14ac:dyDescent="0.25">
      <c r="B41" s="182"/>
      <c r="C41" s="157" t="s">
        <v>112</v>
      </c>
      <c r="D41" s="160"/>
      <c r="E41" s="190"/>
      <c r="F41" s="161"/>
      <c r="G41" s="162" t="str">
        <f>VLOOKUP($C41,'Calculation engine'!$AD$8:$AI$78,6,FALSE)</f>
        <v>-</v>
      </c>
      <c r="H41" s="174"/>
      <c r="I41" s="315"/>
      <c r="J41" s="315"/>
      <c r="K41" s="189"/>
      <c r="L41" s="315"/>
      <c r="M41" s="315"/>
      <c r="N41" s="300">
        <f>T41*E41</f>
        <v>0</v>
      </c>
      <c r="Q41" s="11"/>
      <c r="R41" s="11"/>
      <c r="S41" s="11"/>
      <c r="T41" s="11">
        <f>VLOOKUP($C41,'Calculation engine'!$AD$8:$AI$78,5,FALSE)</f>
        <v>0</v>
      </c>
    </row>
    <row r="42" spans="2:20" ht="15" customHeight="1" x14ac:dyDescent="0.25">
      <c r="B42" s="182"/>
      <c r="C42" s="157" t="s">
        <v>112</v>
      </c>
      <c r="D42" s="160"/>
      <c r="E42" s="187"/>
      <c r="F42" s="161"/>
      <c r="G42" s="162" t="str">
        <f>VLOOKUP($C42,'Calculation engine'!$AD$8:$AI$78,6,FALSE)</f>
        <v>-</v>
      </c>
      <c r="H42" s="174"/>
      <c r="I42" s="315"/>
      <c r="J42" s="349"/>
      <c r="K42" s="349"/>
      <c r="L42" s="315"/>
      <c r="M42" s="315">
        <f>E42*I42/1000</f>
        <v>0</v>
      </c>
      <c r="N42" s="300">
        <f>T42*E42</f>
        <v>0</v>
      </c>
      <c r="Q42" s="11"/>
      <c r="R42" s="11"/>
      <c r="S42" s="11"/>
      <c r="T42" s="11">
        <f>VLOOKUP($C42,'Calculation engine'!$AD$8:$AI$78,5,FALSE)</f>
        <v>0</v>
      </c>
    </row>
    <row r="43" spans="2:20" ht="15" customHeight="1" x14ac:dyDescent="0.25">
      <c r="B43" s="185"/>
      <c r="C43" s="165"/>
      <c r="D43" s="165"/>
      <c r="E43" s="166"/>
      <c r="F43" s="166"/>
      <c r="G43" s="350" t="s">
        <v>173</v>
      </c>
      <c r="H43" s="350"/>
      <c r="I43" s="350"/>
      <c r="J43" s="350"/>
      <c r="K43" s="350"/>
      <c r="L43" s="350"/>
      <c r="M43" s="191"/>
      <c r="N43" s="302">
        <f>SUM(N40:N42)</f>
        <v>0</v>
      </c>
    </row>
    <row r="44" spans="2:20" ht="15" customHeight="1" x14ac:dyDescent="0.25">
      <c r="B44" s="8"/>
      <c r="C44" s="8"/>
      <c r="D44" s="8"/>
      <c r="E44" s="23"/>
      <c r="F44" s="23"/>
      <c r="G44" s="188"/>
      <c r="H44" s="188"/>
      <c r="I44" s="188"/>
      <c r="J44" s="188"/>
      <c r="K44" s="188"/>
      <c r="L44" s="188"/>
      <c r="M44" s="27"/>
      <c r="N44" s="27"/>
    </row>
    <row r="45" spans="2:20" ht="15" customHeight="1" x14ac:dyDescent="0.25">
      <c r="B45" s="178"/>
      <c r="C45" s="353" t="s">
        <v>202</v>
      </c>
      <c r="D45" s="308"/>
      <c r="E45" s="354" t="s">
        <v>0</v>
      </c>
      <c r="F45" s="308"/>
      <c r="G45" s="354" t="s">
        <v>1</v>
      </c>
      <c r="H45" s="179"/>
      <c r="I45" s="355"/>
      <c r="J45" s="355"/>
      <c r="K45" s="355"/>
      <c r="L45" s="179"/>
      <c r="M45" s="308"/>
      <c r="N45" s="69" t="s">
        <v>5</v>
      </c>
    </row>
    <row r="46" spans="2:20" ht="15" customHeight="1" x14ac:dyDescent="0.25">
      <c r="B46" s="180"/>
      <c r="C46" s="334"/>
      <c r="D46" s="309"/>
      <c r="E46" s="352"/>
      <c r="F46" s="309"/>
      <c r="G46" s="352"/>
      <c r="H46" s="74"/>
      <c r="I46" s="1"/>
      <c r="J46" s="1"/>
      <c r="K46" s="74"/>
      <c r="L46" s="309"/>
      <c r="M46" s="1"/>
      <c r="N46" s="181" t="s">
        <v>8</v>
      </c>
    </row>
    <row r="47" spans="2:20" ht="15" customHeight="1" x14ac:dyDescent="0.25">
      <c r="B47" s="182"/>
      <c r="C47" s="161" t="s">
        <v>197</v>
      </c>
      <c r="D47" s="161"/>
      <c r="E47" s="161" t="s">
        <v>120</v>
      </c>
      <c r="F47" s="161"/>
      <c r="G47" s="161"/>
      <c r="H47" s="160"/>
      <c r="I47" s="160"/>
      <c r="J47" s="160"/>
      <c r="K47" s="160"/>
      <c r="L47" s="160"/>
      <c r="M47" s="160"/>
      <c r="N47" s="184"/>
      <c r="Q47" s="11" t="s">
        <v>2</v>
      </c>
      <c r="R47" s="11" t="s">
        <v>3</v>
      </c>
      <c r="S47" s="11" t="s">
        <v>4</v>
      </c>
      <c r="T47" s="11" t="s">
        <v>21</v>
      </c>
    </row>
    <row r="48" spans="2:20" ht="15" customHeight="1" x14ac:dyDescent="0.25">
      <c r="B48" s="182"/>
      <c r="C48" s="157" t="s">
        <v>112</v>
      </c>
      <c r="D48" s="160"/>
      <c r="E48" s="158"/>
      <c r="F48" s="161"/>
      <c r="G48" s="162" t="str">
        <f>VLOOKUP($C48,'Calculation engine'!$W$8:$AB$72,6,FALSE)</f>
        <v>-</v>
      </c>
      <c r="H48" s="174"/>
      <c r="I48" s="315"/>
      <c r="J48" s="315"/>
      <c r="K48" s="189"/>
      <c r="L48" s="315"/>
      <c r="M48" s="315">
        <f>E48*I48/1000</f>
        <v>0</v>
      </c>
      <c r="N48" s="300">
        <f>T48*E48</f>
        <v>0</v>
      </c>
      <c r="Q48" s="11"/>
      <c r="R48" s="11"/>
      <c r="S48" s="11"/>
      <c r="T48" s="11">
        <f>VLOOKUP($C48,'Calculation engine'!$W$8:$AB$72,5,FALSE)</f>
        <v>0</v>
      </c>
    </row>
    <row r="49" spans="2:20" ht="15" customHeight="1" x14ac:dyDescent="0.25">
      <c r="B49" s="182"/>
      <c r="C49" s="157" t="s">
        <v>112</v>
      </c>
      <c r="D49" s="160"/>
      <c r="E49" s="190"/>
      <c r="F49" s="161"/>
      <c r="G49" s="162" t="str">
        <f>VLOOKUP($C49,'Calculation engine'!$W$8:$AB$72,6,FALSE)</f>
        <v>-</v>
      </c>
      <c r="H49" s="174"/>
      <c r="I49" s="315"/>
      <c r="J49" s="315"/>
      <c r="K49" s="189"/>
      <c r="L49" s="315"/>
      <c r="M49" s="315"/>
      <c r="N49" s="300">
        <f>T49*E49</f>
        <v>0</v>
      </c>
      <c r="Q49" s="11"/>
      <c r="R49" s="11"/>
      <c r="S49" s="11"/>
      <c r="T49" s="11">
        <f>VLOOKUP($C49,'Calculation engine'!$W$8:$AB$72,5,FALSE)</f>
        <v>0</v>
      </c>
    </row>
    <row r="50" spans="2:20" ht="15" customHeight="1" x14ac:dyDescent="0.25">
      <c r="B50" s="182"/>
      <c r="C50" s="157" t="s">
        <v>112</v>
      </c>
      <c r="D50" s="160"/>
      <c r="E50" s="187"/>
      <c r="F50" s="161"/>
      <c r="G50" s="162" t="str">
        <f>VLOOKUP($C50,'Calculation engine'!$W$8:$AB$72,6,FALSE)</f>
        <v>-</v>
      </c>
      <c r="H50" s="174"/>
      <c r="I50" s="315"/>
      <c r="J50" s="349"/>
      <c r="K50" s="349"/>
      <c r="L50" s="315"/>
      <c r="M50" s="315">
        <f>E50*I50/1000</f>
        <v>0</v>
      </c>
      <c r="N50" s="300">
        <f>T50*E50</f>
        <v>0</v>
      </c>
      <c r="Q50" s="11"/>
      <c r="R50" s="11"/>
      <c r="S50" s="11"/>
      <c r="T50" s="11">
        <f>VLOOKUP($C50,'Calculation engine'!$W$8:$AB$72,5,FALSE)</f>
        <v>0</v>
      </c>
    </row>
    <row r="51" spans="2:20" ht="15" customHeight="1" x14ac:dyDescent="0.25">
      <c r="B51" s="185"/>
      <c r="C51" s="165"/>
      <c r="D51" s="165"/>
      <c r="E51" s="166"/>
      <c r="F51" s="166"/>
      <c r="G51" s="350" t="s">
        <v>174</v>
      </c>
      <c r="H51" s="350"/>
      <c r="I51" s="350"/>
      <c r="J51" s="350"/>
      <c r="K51" s="350"/>
      <c r="L51" s="350"/>
      <c r="M51" s="191"/>
      <c r="N51" s="302">
        <f>SUM(N48:N50)</f>
        <v>0</v>
      </c>
    </row>
    <row r="52" spans="2:20" ht="15" customHeight="1" x14ac:dyDescent="0.25">
      <c r="B52" s="174"/>
      <c r="C52" s="174"/>
      <c r="D52" s="174"/>
      <c r="E52" s="162"/>
      <c r="F52" s="162"/>
      <c r="G52" s="188"/>
      <c r="H52" s="188"/>
      <c r="I52" s="188"/>
      <c r="J52" s="188"/>
      <c r="K52" s="188"/>
      <c r="L52" s="188"/>
      <c r="M52" s="27"/>
      <c r="N52" s="232"/>
    </row>
    <row r="53" spans="2:20" ht="15" customHeight="1" x14ac:dyDescent="0.35">
      <c r="B53" s="178"/>
      <c r="C53" s="353" t="s">
        <v>337</v>
      </c>
      <c r="D53" s="308"/>
      <c r="E53" s="354"/>
      <c r="F53" s="308"/>
      <c r="G53" s="354"/>
      <c r="H53" s="179"/>
      <c r="I53" s="355" t="s">
        <v>338</v>
      </c>
      <c r="J53" s="355"/>
      <c r="K53" s="355"/>
      <c r="L53" s="179"/>
      <c r="M53" s="308" t="s">
        <v>7</v>
      </c>
      <c r="N53" s="69"/>
    </row>
    <row r="54" spans="2:20" ht="15" customHeight="1" x14ac:dyDescent="0.25">
      <c r="B54" s="180"/>
      <c r="C54" s="334"/>
      <c r="D54" s="309"/>
      <c r="E54" s="352"/>
      <c r="F54" s="309"/>
      <c r="G54" s="352"/>
      <c r="H54" s="74"/>
      <c r="I54" s="1" t="s">
        <v>329</v>
      </c>
      <c r="J54" s="1" t="s">
        <v>330</v>
      </c>
      <c r="K54" s="1" t="s">
        <v>331</v>
      </c>
      <c r="L54" s="309"/>
      <c r="M54" s="1" t="s">
        <v>332</v>
      </c>
      <c r="N54" s="181"/>
    </row>
    <row r="55" spans="2:20" ht="15" customHeight="1" x14ac:dyDescent="0.25">
      <c r="B55" s="182"/>
      <c r="C55" s="161" t="s">
        <v>339</v>
      </c>
      <c r="D55" s="161"/>
      <c r="E55" s="161"/>
      <c r="F55" s="161"/>
      <c r="G55" s="161"/>
      <c r="H55" s="160"/>
      <c r="I55" s="233"/>
      <c r="J55" s="233"/>
      <c r="K55" s="233"/>
      <c r="L55" s="160"/>
      <c r="M55" s="234"/>
      <c r="N55" s="184"/>
      <c r="Q55" s="2">
        <v>0</v>
      </c>
    </row>
    <row r="56" spans="2:20" s="12" customFormat="1" ht="15" customHeight="1" x14ac:dyDescent="0.25">
      <c r="B56" s="182"/>
      <c r="C56" s="186"/>
      <c r="D56" s="160"/>
      <c r="E56" s="261"/>
      <c r="F56" s="161"/>
      <c r="G56" s="161"/>
      <c r="H56" s="183"/>
      <c r="I56" s="235">
        <v>0</v>
      </c>
      <c r="J56" s="235">
        <v>0</v>
      </c>
      <c r="K56" s="235">
        <v>0</v>
      </c>
      <c r="L56" s="312"/>
      <c r="M56" s="299">
        <f>SUM(I56:K56)</f>
        <v>0</v>
      </c>
      <c r="N56" s="164"/>
      <c r="Q56" s="12">
        <v>25000</v>
      </c>
    </row>
    <row r="57" spans="2:20" s="12" customFormat="1" ht="15" customHeight="1" x14ac:dyDescent="0.25">
      <c r="B57" s="182"/>
      <c r="C57" s="186"/>
      <c r="D57" s="160"/>
      <c r="E57" s="261"/>
      <c r="F57" s="161"/>
      <c r="G57" s="161"/>
      <c r="H57" s="183"/>
      <c r="I57" s="235">
        <v>0</v>
      </c>
      <c r="J57" s="235">
        <v>0</v>
      </c>
      <c r="K57" s="235">
        <v>0</v>
      </c>
      <c r="L57" s="312"/>
      <c r="M57" s="299">
        <f>SUM(I57:K57)</f>
        <v>0</v>
      </c>
      <c r="N57" s="164">
        <f t="shared" ref="N57" si="6">T57*E57</f>
        <v>0</v>
      </c>
    </row>
    <row r="58" spans="2:20" s="12" customFormat="1" ht="15" customHeight="1" x14ac:dyDescent="0.25">
      <c r="B58" s="185"/>
      <c r="C58" s="165"/>
      <c r="D58" s="165"/>
      <c r="E58" s="166"/>
      <c r="F58" s="166"/>
      <c r="G58" s="350" t="s">
        <v>340</v>
      </c>
      <c r="H58" s="350"/>
      <c r="I58" s="350"/>
      <c r="J58" s="350"/>
      <c r="K58" s="350"/>
      <c r="L58" s="350"/>
      <c r="M58" s="301">
        <f>SUM(M56:M57)</f>
        <v>0</v>
      </c>
      <c r="N58" s="167"/>
    </row>
    <row r="59" spans="2:20" s="12" customFormat="1" ht="15" customHeight="1" x14ac:dyDescent="0.25">
      <c r="B59" s="8"/>
      <c r="C59" s="8"/>
      <c r="D59" s="8"/>
      <c r="E59" s="8"/>
      <c r="F59" s="8"/>
      <c r="G59" s="8"/>
      <c r="H59" s="8"/>
      <c r="I59" s="8"/>
      <c r="J59" s="8"/>
      <c r="K59" s="8"/>
      <c r="L59" s="8"/>
      <c r="M59" s="8"/>
      <c r="N59" s="8"/>
    </row>
    <row r="60" spans="2:20" s="12" customFormat="1" ht="15" customHeight="1" x14ac:dyDescent="0.25">
      <c r="B60" s="192"/>
      <c r="C60" s="332" t="s">
        <v>194</v>
      </c>
      <c r="D60" s="351" t="s">
        <v>318</v>
      </c>
      <c r="E60" s="351"/>
      <c r="F60" s="351"/>
      <c r="G60" s="351"/>
      <c r="H60" s="193"/>
      <c r="I60" s="194"/>
      <c r="J60" s="195"/>
      <c r="K60" s="195"/>
      <c r="L60" s="351" t="s">
        <v>319</v>
      </c>
      <c r="M60" s="351"/>
      <c r="N60" s="196"/>
    </row>
    <row r="61" spans="2:20" s="12" customFormat="1" ht="15" customHeight="1" x14ac:dyDescent="0.25">
      <c r="B61" s="168"/>
      <c r="C61" s="334"/>
      <c r="D61" s="352"/>
      <c r="E61" s="352"/>
      <c r="F61" s="352"/>
      <c r="G61" s="352"/>
      <c r="H61" s="74"/>
      <c r="I61" s="1"/>
      <c r="J61" s="197"/>
      <c r="K61" s="197"/>
      <c r="L61" s="352"/>
      <c r="M61" s="352"/>
      <c r="N61" s="198"/>
    </row>
    <row r="62" spans="2:20" s="12" customFormat="1" ht="15" customHeight="1" x14ac:dyDescent="0.25">
      <c r="B62" s="168"/>
      <c r="C62" s="72" t="s">
        <v>204</v>
      </c>
      <c r="D62" s="336">
        <f>M16+M28+M58</f>
        <v>0</v>
      </c>
      <c r="E62" s="336"/>
      <c r="F62" s="162"/>
      <c r="G62" s="39" t="s">
        <v>335</v>
      </c>
      <c r="H62" s="39"/>
      <c r="I62" s="39"/>
      <c r="J62" s="39"/>
      <c r="K62" s="39"/>
      <c r="L62" s="313">
        <f>IFERROR((D62/'Facility 3'!$N$4)*Output!$N$2,0)</f>
        <v>0</v>
      </c>
      <c r="M62" s="225" t="s">
        <v>335</v>
      </c>
      <c r="N62" s="169"/>
    </row>
    <row r="63" spans="2:20" s="12" customFormat="1" ht="15" customHeight="1" x14ac:dyDescent="0.25">
      <c r="B63" s="170"/>
      <c r="C63" s="72" t="s">
        <v>205</v>
      </c>
      <c r="D63" s="336">
        <f>M35</f>
        <v>0</v>
      </c>
      <c r="E63" s="336"/>
      <c r="F63" s="162"/>
      <c r="G63" s="39" t="s">
        <v>335</v>
      </c>
      <c r="H63" s="39"/>
      <c r="I63" s="39"/>
      <c r="J63" s="39"/>
      <c r="K63" s="39"/>
      <c r="L63" s="313">
        <f>IFERROR((D63/'Facility 3'!$N$4)*Output!$N$2,0)</f>
        <v>0</v>
      </c>
      <c r="M63" s="225" t="s">
        <v>335</v>
      </c>
      <c r="N63" s="55"/>
    </row>
    <row r="64" spans="2:20" ht="15" customHeight="1" x14ac:dyDescent="0.25">
      <c r="B64" s="170"/>
      <c r="C64" s="17" t="s">
        <v>122</v>
      </c>
      <c r="D64" s="342">
        <f>D62+D63</f>
        <v>0</v>
      </c>
      <c r="E64" s="343"/>
      <c r="F64" s="162"/>
      <c r="G64" s="226" t="s">
        <v>336</v>
      </c>
      <c r="H64" s="226"/>
      <c r="I64" s="39"/>
      <c r="J64" s="39"/>
      <c r="K64" s="39"/>
      <c r="L64" s="303">
        <f>IFERROR((D64/'Facility 3'!$N$4)*Output!$N$2,0)</f>
        <v>0</v>
      </c>
      <c r="M64" s="227" t="s">
        <v>336</v>
      </c>
      <c r="N64" s="316"/>
    </row>
    <row r="65" spans="2:14" ht="15" customHeight="1" x14ac:dyDescent="0.25">
      <c r="B65" s="170"/>
      <c r="C65" s="18" t="s">
        <v>123</v>
      </c>
      <c r="D65" s="344">
        <f>N16+N28+N35+N43</f>
        <v>0</v>
      </c>
      <c r="E65" s="345"/>
      <c r="F65" s="228"/>
      <c r="G65" s="57" t="s">
        <v>125</v>
      </c>
      <c r="H65" s="57"/>
      <c r="I65" s="229"/>
      <c r="J65" s="229"/>
      <c r="K65" s="229"/>
      <c r="L65" s="303">
        <f>IFERROR((D65/'Facility 3'!$N$4)*Output!$N$2,0)</f>
        <v>0</v>
      </c>
      <c r="M65" s="96" t="s">
        <v>125</v>
      </c>
      <c r="N65" s="61"/>
    </row>
    <row r="66" spans="2:14" ht="15" customHeight="1" x14ac:dyDescent="0.25">
      <c r="B66" s="171"/>
      <c r="C66" s="20" t="s">
        <v>195</v>
      </c>
      <c r="D66" s="346">
        <f>N51</f>
        <v>0</v>
      </c>
      <c r="E66" s="347"/>
      <c r="F66" s="230"/>
      <c r="G66" s="63" t="s">
        <v>125</v>
      </c>
      <c r="H66" s="63"/>
      <c r="I66" s="231"/>
      <c r="J66" s="231"/>
      <c r="K66" s="231"/>
      <c r="L66" s="304">
        <f>IFERROR((D66/'Facility 3'!$N$4)*Output!$N$2,0)</f>
        <v>0</v>
      </c>
      <c r="M66" s="97" t="s">
        <v>125</v>
      </c>
      <c r="N66" s="67"/>
    </row>
    <row r="67" spans="2:14" ht="15" customHeight="1" x14ac:dyDescent="0.25">
      <c r="B67" s="172"/>
      <c r="C67" s="19"/>
      <c r="D67" s="16"/>
      <c r="E67" s="16"/>
      <c r="F67" s="15"/>
      <c r="G67" s="15"/>
      <c r="H67" s="15"/>
      <c r="I67" s="13"/>
      <c r="J67" s="13"/>
      <c r="K67" s="13"/>
      <c r="L67" s="13"/>
      <c r="M67" s="14"/>
      <c r="N67" s="14"/>
    </row>
    <row r="68" spans="2:14" ht="15" customHeight="1" x14ac:dyDescent="0.25">
      <c r="B68" s="173"/>
      <c r="C68" s="332" t="s">
        <v>320</v>
      </c>
      <c r="D68" s="332"/>
      <c r="E68" s="332"/>
      <c r="F68" s="332"/>
      <c r="G68" s="332"/>
      <c r="H68" s="332"/>
      <c r="I68" s="332"/>
      <c r="J68" s="332"/>
      <c r="K68" s="332"/>
      <c r="L68" s="332"/>
      <c r="M68" s="332"/>
      <c r="N68" s="333"/>
    </row>
    <row r="69" spans="2:14" ht="15" customHeight="1" x14ac:dyDescent="0.25">
      <c r="B69" s="21"/>
      <c r="C69" s="334"/>
      <c r="D69" s="334"/>
      <c r="E69" s="334"/>
      <c r="F69" s="334"/>
      <c r="G69" s="334"/>
      <c r="H69" s="334"/>
      <c r="I69" s="334"/>
      <c r="J69" s="334"/>
      <c r="K69" s="334"/>
      <c r="L69" s="334"/>
      <c r="M69" s="334"/>
      <c r="N69" s="335"/>
    </row>
    <row r="70" spans="2:14" ht="15" customHeight="1" x14ac:dyDescent="0.25">
      <c r="B70" s="22"/>
      <c r="C70" s="330" t="s">
        <v>207</v>
      </c>
      <c r="D70" s="33"/>
      <c r="E70" s="34" t="s">
        <v>241</v>
      </c>
      <c r="F70" s="341" t="str">
        <f>IF(L64&gt;=25000,"You may have triggered the emissions reporting threshold for this facility. Please contact the Clean Energy Regulator",IF(L64&gt;21000, "You are close to the emissions reporting threshold for this facility. Please contact the Clean Energy Regulator",""))</f>
        <v/>
      </c>
      <c r="G70" s="341"/>
      <c r="H70" s="341"/>
      <c r="I70" s="341"/>
      <c r="J70" s="341"/>
      <c r="K70" s="341"/>
      <c r="L70" s="341"/>
      <c r="M70" s="341"/>
      <c r="N70" s="35" t="s">
        <v>242</v>
      </c>
    </row>
    <row r="71" spans="2:14" ht="15" customHeight="1" x14ac:dyDescent="0.3">
      <c r="B71" s="168"/>
      <c r="C71" s="330"/>
      <c r="D71" s="36"/>
      <c r="E71" s="337">
        <f>L64</f>
        <v>0</v>
      </c>
      <c r="F71" s="337"/>
      <c r="G71" s="337"/>
      <c r="H71" s="337"/>
      <c r="I71" s="337"/>
      <c r="J71" s="337"/>
      <c r="K71" s="337"/>
      <c r="L71" s="337"/>
      <c r="M71" s="337"/>
      <c r="N71" s="338"/>
    </row>
    <row r="72" spans="2:14" ht="15" customHeight="1" x14ac:dyDescent="0.3">
      <c r="B72" s="168"/>
      <c r="C72" s="330" t="s">
        <v>206</v>
      </c>
      <c r="D72" s="36"/>
      <c r="E72" s="37" t="s">
        <v>203</v>
      </c>
      <c r="F72" s="348" t="str">
        <f>IF(L65&gt;=100000,"You may have triggered the energy reporting threshold for this facility. Please contact the Clean Energy Regulator",IF(L65&gt;90000, "You are close to the energy reporting threshold for this facility. Please contact the Clean Energy Regulator",""))</f>
        <v/>
      </c>
      <c r="G72" s="348"/>
      <c r="H72" s="348"/>
      <c r="I72" s="348"/>
      <c r="J72" s="348"/>
      <c r="K72" s="348"/>
      <c r="L72" s="348"/>
      <c r="M72" s="348"/>
      <c r="N72" s="38" t="s">
        <v>218</v>
      </c>
    </row>
    <row r="73" spans="2:14" ht="17.45" customHeight="1" x14ac:dyDescent="0.25">
      <c r="B73" s="168"/>
      <c r="C73" s="330"/>
      <c r="D73" s="174"/>
      <c r="E73" s="337">
        <f>L65</f>
        <v>0</v>
      </c>
      <c r="F73" s="337"/>
      <c r="G73" s="337"/>
      <c r="H73" s="337"/>
      <c r="I73" s="337"/>
      <c r="J73" s="337"/>
      <c r="K73" s="337"/>
      <c r="L73" s="337"/>
      <c r="M73" s="337"/>
      <c r="N73" s="338"/>
    </row>
    <row r="74" spans="2:14" ht="17.45" customHeight="1" x14ac:dyDescent="0.25">
      <c r="B74" s="168"/>
      <c r="C74" s="330" t="s">
        <v>208</v>
      </c>
      <c r="D74" s="174"/>
      <c r="E74" s="37" t="s">
        <v>203</v>
      </c>
      <c r="F74" s="348" t="str">
        <f>IF(L66&gt;=100000,"You may have triggered the energy reporting threshold for this facility. Please contact the Clean Energy Regulator",IF(L66&gt;90000, "You are close to the energy reporting threshold for this facility. Please contact the Clean Energy Regulator",""))</f>
        <v/>
      </c>
      <c r="G74" s="348"/>
      <c r="H74" s="348"/>
      <c r="I74" s="348"/>
      <c r="J74" s="348"/>
      <c r="K74" s="348"/>
      <c r="L74" s="348"/>
      <c r="M74" s="348"/>
      <c r="N74" s="38" t="s">
        <v>218</v>
      </c>
    </row>
    <row r="75" spans="2:14" ht="17.45" customHeight="1" x14ac:dyDescent="0.25">
      <c r="B75" s="175"/>
      <c r="C75" s="331"/>
      <c r="D75" s="176"/>
      <c r="E75" s="339">
        <f>L66</f>
        <v>0</v>
      </c>
      <c r="F75" s="339"/>
      <c r="G75" s="339"/>
      <c r="H75" s="339"/>
      <c r="I75" s="339"/>
      <c r="J75" s="339"/>
      <c r="K75" s="339"/>
      <c r="L75" s="339"/>
      <c r="M75" s="339"/>
      <c r="N75" s="340"/>
    </row>
    <row r="76" spans="2:14" ht="17.45" customHeight="1" x14ac:dyDescent="0.25">
      <c r="B76" s="6"/>
      <c r="C76" s="6"/>
      <c r="D76" s="6"/>
      <c r="E76" s="6"/>
      <c r="F76" s="6"/>
      <c r="G76" s="6"/>
      <c r="H76" s="6"/>
      <c r="I76" s="6"/>
      <c r="J76" s="6"/>
      <c r="K76" s="6"/>
      <c r="L76" s="6"/>
      <c r="M76" s="6"/>
      <c r="N76" s="6"/>
    </row>
    <row r="77" spans="2:14" ht="17.45" hidden="1" customHeight="1" x14ac:dyDescent="0.25"/>
    <row r="78" spans="2:14" ht="17.45" hidden="1" customHeight="1" x14ac:dyDescent="0.25"/>
    <row r="79" spans="2:14" ht="17.45" hidden="1" customHeight="1" x14ac:dyDescent="0.25"/>
    <row r="80" spans="2:14" ht="17.45" hidden="1" customHeight="1" x14ac:dyDescent="0.25"/>
    <row r="81" ht="17.45" hidden="1" customHeight="1" x14ac:dyDescent="0.25"/>
    <row r="82" ht="17.45" hidden="1" customHeight="1" x14ac:dyDescent="0.25"/>
    <row r="83" ht="17.45" hidden="1" customHeight="1" x14ac:dyDescent="0.25"/>
    <row r="84" ht="17.45" hidden="1" customHeight="1" x14ac:dyDescent="0.25"/>
    <row r="85" ht="17.45" hidden="1" customHeight="1" x14ac:dyDescent="0.25"/>
    <row r="86" ht="17.45" hidden="1" customHeight="1" x14ac:dyDescent="0.25"/>
    <row r="87" ht="17.45" hidden="1" customHeight="1" x14ac:dyDescent="0.25"/>
    <row r="88" ht="17.45" hidden="1" customHeight="1" x14ac:dyDescent="0.25"/>
    <row r="89" ht="17.45" hidden="1" customHeight="1" x14ac:dyDescent="0.25"/>
    <row r="90" ht="17.45" hidden="1" customHeight="1" x14ac:dyDescent="0.25"/>
    <row r="91" ht="17.45" hidden="1" customHeight="1" x14ac:dyDescent="0.25"/>
    <row r="92" ht="17.45" hidden="1" customHeight="1" x14ac:dyDescent="0.25"/>
    <row r="93" ht="17.45" hidden="1" customHeight="1" x14ac:dyDescent="0.25"/>
    <row r="94" ht="17.45" hidden="1" customHeight="1" x14ac:dyDescent="0.25"/>
    <row r="95" ht="17.45" hidden="1" customHeight="1" x14ac:dyDescent="0.25"/>
    <row r="96" ht="17.45" hidden="1" customHeight="1" x14ac:dyDescent="0.25"/>
    <row r="97" ht="17.45" hidden="1" customHeight="1" x14ac:dyDescent="0.25"/>
    <row r="98" ht="17.45" hidden="1" customHeight="1" x14ac:dyDescent="0.25"/>
  </sheetData>
  <sheetProtection algorithmName="SHA-256" hashValue="Z+e2RiQSW9RxvaD5+mnk90ALuhQsqOC4l8CaFapqQVc=" saltValue="hYm9HehLvBp78sM/JskDOg==" spinCount="100000" sheet="1" objects="1" scenarios="1" selectLockedCells="1"/>
  <mergeCells count="55">
    <mergeCell ref="C72:C73"/>
    <mergeCell ref="F72:M72"/>
    <mergeCell ref="E73:N73"/>
    <mergeCell ref="C74:C75"/>
    <mergeCell ref="F74:M74"/>
    <mergeCell ref="E75:N75"/>
    <mergeCell ref="D65:E65"/>
    <mergeCell ref="D66:E66"/>
    <mergeCell ref="C68:N69"/>
    <mergeCell ref="C70:C71"/>
    <mergeCell ref="F70:M70"/>
    <mergeCell ref="E71:N71"/>
    <mergeCell ref="D64:E64"/>
    <mergeCell ref="G51:L51"/>
    <mergeCell ref="C53:C54"/>
    <mergeCell ref="E53:E54"/>
    <mergeCell ref="G53:G54"/>
    <mergeCell ref="I53:K53"/>
    <mergeCell ref="G58:L58"/>
    <mergeCell ref="C60:C61"/>
    <mergeCell ref="D60:G61"/>
    <mergeCell ref="L60:M61"/>
    <mergeCell ref="D62:E62"/>
    <mergeCell ref="D63:E63"/>
    <mergeCell ref="J50:K50"/>
    <mergeCell ref="G35:L35"/>
    <mergeCell ref="C37:C38"/>
    <mergeCell ref="E37:E38"/>
    <mergeCell ref="G37:G38"/>
    <mergeCell ref="I37:K37"/>
    <mergeCell ref="J42:K42"/>
    <mergeCell ref="G43:L43"/>
    <mergeCell ref="C45:C46"/>
    <mergeCell ref="E45:E46"/>
    <mergeCell ref="G45:G46"/>
    <mergeCell ref="I45:K45"/>
    <mergeCell ref="J34:L34"/>
    <mergeCell ref="G16:L16"/>
    <mergeCell ref="C18:C19"/>
    <mergeCell ref="E18:E19"/>
    <mergeCell ref="G18:G19"/>
    <mergeCell ref="I18:K18"/>
    <mergeCell ref="G28:L28"/>
    <mergeCell ref="C30:C31"/>
    <mergeCell ref="E30:E31"/>
    <mergeCell ref="G30:G31"/>
    <mergeCell ref="I30:K30"/>
    <mergeCell ref="J33:L33"/>
    <mergeCell ref="C2:N2"/>
    <mergeCell ref="E4:H4"/>
    <mergeCell ref="J4:L4"/>
    <mergeCell ref="C6:C7"/>
    <mergeCell ref="E6:E7"/>
    <mergeCell ref="G6:G7"/>
    <mergeCell ref="I6:K6"/>
  </mergeCells>
  <conditionalFormatting sqref="I41 I33:I34">
    <cfRule type="cellIs" dxfId="66" priority="17" operator="equal">
      <formula>0.64</formula>
    </cfRule>
  </conditionalFormatting>
  <conditionalFormatting sqref="I41:M41 C65 M33:N34 I33:J34">
    <cfRule type="cellIs" dxfId="65" priority="16" operator="equal">
      <formula>0</formula>
    </cfRule>
  </conditionalFormatting>
  <conditionalFormatting sqref="I40:N40 J42 L42:M42 N41:N42">
    <cfRule type="cellIs" dxfId="64" priority="15" operator="equal">
      <formula>0</formula>
    </cfRule>
  </conditionalFormatting>
  <conditionalFormatting sqref="I49:M49">
    <cfRule type="aboveAverage" dxfId="63" priority="14"/>
  </conditionalFormatting>
  <conditionalFormatting sqref="I48:N48 J50 L50:M50 N49:N50">
    <cfRule type="cellIs" dxfId="62" priority="13" operator="equal">
      <formula>0</formula>
    </cfRule>
  </conditionalFormatting>
  <conditionalFormatting sqref="G64:I64 G62:G63">
    <cfRule type="dataBar" priority="12">
      <dataBar>
        <cfvo type="min"/>
        <cfvo type="max"/>
        <color rgb="FF638EC6"/>
      </dataBar>
      <extLst>
        <ext xmlns:x14="http://schemas.microsoft.com/office/spreadsheetml/2009/9/main" uri="{B025F937-C7B1-47D3-B67F-A62EFF666E3E}">
          <x14:id>{F8327734-0B5D-4DE8-9287-817547F720B4}</x14:id>
        </ext>
      </extLst>
    </cfRule>
  </conditionalFormatting>
  <conditionalFormatting sqref="I9:N15">
    <cfRule type="cellIs" dxfId="61" priority="11" operator="equal">
      <formula>0</formula>
    </cfRule>
  </conditionalFormatting>
  <conditionalFormatting sqref="E71:N71">
    <cfRule type="dataBar" priority="10">
      <dataBar>
        <cfvo type="num" val="0"/>
        <cfvo type="num" val="25000"/>
        <color rgb="FF638EC6"/>
      </dataBar>
      <extLst>
        <ext xmlns:x14="http://schemas.microsoft.com/office/spreadsheetml/2009/9/main" uri="{B025F937-C7B1-47D3-B67F-A62EFF666E3E}">
          <x14:id>{04794171-A596-4AA3-83ED-08603A724722}</x14:id>
        </ext>
      </extLst>
    </cfRule>
  </conditionalFormatting>
  <conditionalFormatting sqref="E73:N73">
    <cfRule type="dataBar" priority="9">
      <dataBar>
        <cfvo type="num" val="0"/>
        <cfvo type="num" val="100000"/>
        <color rgb="FF638EC6"/>
      </dataBar>
      <extLst>
        <ext xmlns:x14="http://schemas.microsoft.com/office/spreadsheetml/2009/9/main" uri="{B025F937-C7B1-47D3-B67F-A62EFF666E3E}">
          <x14:id>{FDB827AC-4203-4CD0-9498-E33B52397E4A}</x14:id>
        </ext>
      </extLst>
    </cfRule>
  </conditionalFormatting>
  <conditionalFormatting sqref="E75:N75">
    <cfRule type="dataBar" priority="8">
      <dataBar>
        <cfvo type="num" val="0"/>
        <cfvo type="num" val="100000"/>
        <color rgb="FF638EC6"/>
      </dataBar>
      <extLst>
        <ext xmlns:x14="http://schemas.microsoft.com/office/spreadsheetml/2009/9/main" uri="{B025F937-C7B1-47D3-B67F-A62EFF666E3E}">
          <x14:id>{1DA26D73-32D3-4497-95EA-EB4EF69682E2}</x14:id>
        </ext>
      </extLst>
    </cfRule>
  </conditionalFormatting>
  <conditionalFormatting sqref="G21:N27">
    <cfRule type="cellIs" dxfId="60" priority="7" operator="equal">
      <formula>0</formula>
    </cfRule>
  </conditionalFormatting>
  <conditionalFormatting sqref="H40:N42">
    <cfRule type="cellIs" dxfId="59" priority="6" operator="equal">
      <formula>0</formula>
    </cfRule>
  </conditionalFormatting>
  <conditionalFormatting sqref="H48:N50">
    <cfRule type="cellIs" dxfId="58" priority="5" operator="equal">
      <formula>0</formula>
    </cfRule>
  </conditionalFormatting>
  <conditionalFormatting sqref="N4">
    <cfRule type="expression" dxfId="57" priority="3">
      <formula>M4="No specific period"</formula>
    </cfRule>
    <cfRule type="cellIs" dxfId="56" priority="4" operator="equal">
      <formula>"# of days?"</formula>
    </cfRule>
  </conditionalFormatting>
  <conditionalFormatting sqref="M62:M64">
    <cfRule type="dataBar" priority="2">
      <dataBar>
        <cfvo type="min"/>
        <cfvo type="max"/>
        <color rgb="FF638EC6"/>
      </dataBar>
      <extLst>
        <ext xmlns:x14="http://schemas.microsoft.com/office/spreadsheetml/2009/9/main" uri="{B025F937-C7B1-47D3-B67F-A62EFF666E3E}">
          <x14:id>{FA36A6BF-7A35-4C87-AA9D-227811416F94}</x14:id>
        </ext>
      </extLst>
    </cfRule>
  </conditionalFormatting>
  <conditionalFormatting sqref="L57 N57">
    <cfRule type="cellIs" dxfId="55" priority="1" operator="equal">
      <formula>0</formula>
    </cfRule>
  </conditionalFormatting>
  <dataValidations count="1">
    <dataValidation type="list" allowBlank="1" showInputMessage="1" showErrorMessage="1" sqref="M4" xr:uid="{00000000-0002-0000-0300-000000000000}">
      <formula1>$Q$3:$Q$4</formula1>
    </dataValidation>
  </dataValidations>
  <pageMargins left="0.7" right="0.7" top="0.75" bottom="0.75" header="0.3" footer="0.3"/>
  <pageSetup paperSize="9" scale="66" orientation="landscape" r:id="rId1"/>
  <drawing r:id="rId2"/>
  <extLst>
    <ext xmlns:x14="http://schemas.microsoft.com/office/spreadsheetml/2009/9/main" uri="{78C0D931-6437-407d-A8EE-F0AAD7539E65}">
      <x14:conditionalFormattings>
        <x14:conditionalFormatting xmlns:xm="http://schemas.microsoft.com/office/excel/2006/main">
          <x14:cfRule type="dataBar" id="{F8327734-0B5D-4DE8-9287-817547F720B4}">
            <x14:dataBar minLength="0" maxLength="100" border="1" negativeBarBorderColorSameAsPositive="0">
              <x14:cfvo type="autoMin"/>
              <x14:cfvo type="autoMax"/>
              <x14:borderColor rgb="FF638EC6"/>
              <x14:negativeFillColor rgb="FFFF0000"/>
              <x14:negativeBorderColor rgb="FFFF0000"/>
              <x14:axisColor rgb="FF000000"/>
            </x14:dataBar>
          </x14:cfRule>
          <xm:sqref>G64:I64 G62:G63</xm:sqref>
        </x14:conditionalFormatting>
        <x14:conditionalFormatting xmlns:xm="http://schemas.microsoft.com/office/excel/2006/main">
          <x14:cfRule type="dataBar" id="{04794171-A596-4AA3-83ED-08603A724722}">
            <x14:dataBar minLength="0" maxLength="100" gradient="0">
              <x14:cfvo type="num">
                <xm:f>0</xm:f>
              </x14:cfvo>
              <x14:cfvo type="num">
                <xm:f>25000</xm:f>
              </x14:cfvo>
              <x14:negativeFillColor rgb="FFFF0000"/>
              <x14:axisColor rgb="FF000000"/>
            </x14:dataBar>
          </x14:cfRule>
          <xm:sqref>E71:N71</xm:sqref>
        </x14:conditionalFormatting>
        <x14:conditionalFormatting xmlns:xm="http://schemas.microsoft.com/office/excel/2006/main">
          <x14:cfRule type="dataBar" id="{FDB827AC-4203-4CD0-9498-E33B52397E4A}">
            <x14:dataBar minLength="0" maxLength="100" gradient="0">
              <x14:cfvo type="num">
                <xm:f>0</xm:f>
              </x14:cfvo>
              <x14:cfvo type="num">
                <xm:f>100000</xm:f>
              </x14:cfvo>
              <x14:negativeFillColor rgb="FFFF0000"/>
              <x14:axisColor rgb="FF000000"/>
            </x14:dataBar>
          </x14:cfRule>
          <xm:sqref>E73:N73</xm:sqref>
        </x14:conditionalFormatting>
        <x14:conditionalFormatting xmlns:xm="http://schemas.microsoft.com/office/excel/2006/main">
          <x14:cfRule type="dataBar" id="{1DA26D73-32D3-4497-95EA-EB4EF69682E2}">
            <x14:dataBar minLength="0" maxLength="100" gradient="0">
              <x14:cfvo type="num">
                <xm:f>0</xm:f>
              </x14:cfvo>
              <x14:cfvo type="num">
                <xm:f>100000</xm:f>
              </x14:cfvo>
              <x14:negativeFillColor rgb="FFFF0000"/>
              <x14:axisColor rgb="FF000000"/>
            </x14:dataBar>
          </x14:cfRule>
          <xm:sqref>E75:N75</xm:sqref>
        </x14:conditionalFormatting>
        <x14:conditionalFormatting xmlns:xm="http://schemas.microsoft.com/office/excel/2006/main">
          <x14:cfRule type="dataBar" id="{FA36A6BF-7A35-4C87-AA9D-227811416F94}">
            <x14:dataBar minLength="0" maxLength="100" border="1" negativeBarBorderColorSameAsPositive="0">
              <x14:cfvo type="autoMin"/>
              <x14:cfvo type="autoMax"/>
              <x14:borderColor rgb="FF638EC6"/>
              <x14:negativeFillColor rgb="FFFF0000"/>
              <x14:negativeBorderColor rgb="FFFF0000"/>
              <x14:axisColor rgb="FF000000"/>
            </x14:dataBar>
          </x14:cfRule>
          <xm:sqref>M62:M64</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1000000}">
          <x14:formula1>
            <xm:f>'Calculation engine'!$B$8:$B$28</xm:f>
          </x14:formula1>
          <xm:sqref>C9:C15</xm:sqref>
        </x14:dataValidation>
        <x14:dataValidation type="list" allowBlank="1" showInputMessage="1" showErrorMessage="1" xr:uid="{00000000-0002-0000-0300-000002000000}">
          <x14:formula1>
            <xm:f>'Calculation engine'!$I$8:$I$62</xm:f>
          </x14:formula1>
          <xm:sqref>C21:C27</xm:sqref>
        </x14:dataValidation>
        <x14:dataValidation type="list" allowBlank="1" showInputMessage="1" showErrorMessage="1" xr:uid="{00000000-0002-0000-0300-000003000000}">
          <x14:formula1>
            <xm:f>'Calculation engine'!$Q$10:$Q$19</xm:f>
          </x14:formula1>
          <xm:sqref>C33:C34</xm:sqref>
        </x14:dataValidation>
        <x14:dataValidation type="list" allowBlank="1" showInputMessage="1" showErrorMessage="1" xr:uid="{00000000-0002-0000-0300-000004000000}">
          <x14:formula1>
            <xm:f>'Calculation engine'!$AD$8:$AD$78</xm:f>
          </x14:formula1>
          <xm:sqref>C40:C42</xm:sqref>
        </x14:dataValidation>
        <x14:dataValidation type="list" allowBlank="1" showInputMessage="1" showErrorMessage="1" xr:uid="{00000000-0002-0000-0300-000005000000}">
          <x14:formula1>
            <xm:f>'Calculation engine'!$W$8:$W$72</xm:f>
          </x14:formula1>
          <xm:sqref>C48:C50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T98"/>
  <sheetViews>
    <sheetView showRowColHeaders="0" zoomScaleNormal="100" workbookViewId="0"/>
  </sheetViews>
  <sheetFormatPr defaultColWidth="0" defaultRowHeight="15" customHeight="1" zeroHeight="1" x14ac:dyDescent="0.25"/>
  <cols>
    <col min="1" max="2" width="4" style="2" customWidth="1"/>
    <col min="3" max="3" width="67.5703125" style="2" customWidth="1"/>
    <col min="4" max="4" width="3.42578125" style="2" customWidth="1"/>
    <col min="5" max="5" width="19.7109375" style="2" customWidth="1"/>
    <col min="6" max="6" width="3.7109375" style="2" customWidth="1"/>
    <col min="7" max="8" width="9.140625" style="2" customWidth="1"/>
    <col min="9" max="9" width="13.5703125" style="2" customWidth="1"/>
    <col min="10" max="10" width="12.140625" style="2" customWidth="1"/>
    <col min="11" max="11" width="11.85546875" style="2" customWidth="1"/>
    <col min="12" max="12" width="22.5703125" style="2" customWidth="1"/>
    <col min="13" max="13" width="23.85546875" style="2" customWidth="1"/>
    <col min="14" max="14" width="23.28515625" style="2" customWidth="1"/>
    <col min="15" max="15" width="4.5703125" style="2" customWidth="1"/>
    <col min="16" max="16384" width="9.140625" style="2" hidden="1"/>
  </cols>
  <sheetData>
    <row r="1" spans="2:20" ht="203.25" customHeight="1" x14ac:dyDescent="0.25"/>
    <row r="2" spans="2:20" ht="33" customHeight="1" x14ac:dyDescent="0.25">
      <c r="B2" s="311"/>
      <c r="C2" s="360" t="s">
        <v>236</v>
      </c>
      <c r="D2" s="360"/>
      <c r="E2" s="360"/>
      <c r="F2" s="360"/>
      <c r="G2" s="360"/>
      <c r="H2" s="360"/>
      <c r="I2" s="360"/>
      <c r="J2" s="360"/>
      <c r="K2" s="360"/>
      <c r="L2" s="360"/>
      <c r="M2" s="360"/>
      <c r="N2" s="360"/>
    </row>
    <row r="3" spans="2:20" ht="15" customHeight="1" x14ac:dyDescent="0.25">
      <c r="B3" s="177"/>
      <c r="C3" s="177"/>
      <c r="D3" s="177"/>
      <c r="E3" s="177"/>
      <c r="F3" s="177"/>
      <c r="G3" s="177"/>
      <c r="H3" s="177"/>
      <c r="I3" s="177"/>
      <c r="J3" s="177"/>
      <c r="K3" s="177"/>
      <c r="L3" s="177"/>
      <c r="M3" s="177"/>
      <c r="N3" s="23" t="str">
        <f>IF(M4="Part year","Enter days below","")</f>
        <v/>
      </c>
      <c r="Q3" s="2" t="s">
        <v>226</v>
      </c>
    </row>
    <row r="4" spans="2:20" ht="15" customHeight="1" x14ac:dyDescent="0.25">
      <c r="B4" s="311"/>
      <c r="C4" s="310" t="s">
        <v>224</v>
      </c>
      <c r="D4" s="177"/>
      <c r="E4" s="361"/>
      <c r="F4" s="362"/>
      <c r="G4" s="362"/>
      <c r="H4" s="363"/>
      <c r="I4" s="177"/>
      <c r="J4" s="356" t="s">
        <v>225</v>
      </c>
      <c r="K4" s="357"/>
      <c r="L4" s="357"/>
      <c r="M4" s="73" t="s">
        <v>226</v>
      </c>
      <c r="N4" s="73">
        <f>IF(M4="Full year",365,"")</f>
        <v>365</v>
      </c>
      <c r="Q4" s="2" t="s">
        <v>227</v>
      </c>
    </row>
    <row r="5" spans="2:20" x14ac:dyDescent="0.25">
      <c r="B5" s="8"/>
      <c r="C5" s="8"/>
      <c r="D5" s="8"/>
      <c r="E5" s="8"/>
      <c r="F5" s="8"/>
      <c r="G5" s="8"/>
      <c r="H5" s="8"/>
      <c r="I5" s="8"/>
      <c r="J5" s="8"/>
      <c r="K5" s="8"/>
      <c r="L5" s="8"/>
      <c r="M5" s="8"/>
      <c r="N5" s="8"/>
    </row>
    <row r="6" spans="2:20" x14ac:dyDescent="0.25">
      <c r="B6" s="178"/>
      <c r="C6" s="353" t="s">
        <v>199</v>
      </c>
      <c r="D6" s="308"/>
      <c r="E6" s="354" t="s">
        <v>0</v>
      </c>
      <c r="F6" s="308"/>
      <c r="G6" s="354" t="s">
        <v>1</v>
      </c>
      <c r="H6" s="179"/>
      <c r="I6" s="355" t="s">
        <v>6</v>
      </c>
      <c r="J6" s="355"/>
      <c r="K6" s="355"/>
      <c r="L6" s="179"/>
      <c r="M6" s="308" t="s">
        <v>7</v>
      </c>
      <c r="N6" s="69" t="s">
        <v>5</v>
      </c>
      <c r="Q6" s="2" t="s">
        <v>190</v>
      </c>
    </row>
    <row r="7" spans="2:20" ht="14.25" customHeight="1" x14ac:dyDescent="0.25">
      <c r="B7" s="180"/>
      <c r="C7" s="334"/>
      <c r="D7" s="309"/>
      <c r="E7" s="352"/>
      <c r="F7" s="309"/>
      <c r="G7" s="352"/>
      <c r="H7" s="74"/>
      <c r="I7" s="1" t="s">
        <v>329</v>
      </c>
      <c r="J7" s="1" t="s">
        <v>330</v>
      </c>
      <c r="K7" s="1" t="s">
        <v>331</v>
      </c>
      <c r="L7" s="309"/>
      <c r="M7" s="1" t="s">
        <v>332</v>
      </c>
      <c r="N7" s="181" t="s">
        <v>8</v>
      </c>
    </row>
    <row r="8" spans="2:20" x14ac:dyDescent="0.25">
      <c r="B8" s="182"/>
      <c r="C8" s="161" t="s">
        <v>119</v>
      </c>
      <c r="D8" s="161"/>
      <c r="E8" s="161" t="s">
        <v>120</v>
      </c>
      <c r="F8" s="161"/>
      <c r="G8" s="161"/>
      <c r="H8" s="160"/>
      <c r="I8" s="160"/>
      <c r="J8" s="160"/>
      <c r="K8" s="160"/>
      <c r="L8" s="160"/>
      <c r="M8" s="160"/>
      <c r="N8" s="184"/>
      <c r="Q8" s="11" t="s">
        <v>2</v>
      </c>
      <c r="R8" s="11" t="s">
        <v>3</v>
      </c>
      <c r="S8" s="11" t="s">
        <v>4</v>
      </c>
      <c r="T8" s="11" t="s">
        <v>21</v>
      </c>
    </row>
    <row r="9" spans="2:20" ht="15" customHeight="1" x14ac:dyDescent="0.25">
      <c r="B9" s="182"/>
      <c r="C9" s="157" t="s">
        <v>112</v>
      </c>
      <c r="D9" s="160"/>
      <c r="E9" s="158"/>
      <c r="F9" s="161"/>
      <c r="G9" s="162" t="str">
        <f>VLOOKUP($C9,'Calculation engine'!$B$8:$G$28,6,FALSE)</f>
        <v>-</v>
      </c>
      <c r="H9" s="163"/>
      <c r="I9" s="299">
        <f>Q9*$N9/1000</f>
        <v>0</v>
      </c>
      <c r="J9" s="299">
        <f>R9*$N9/1000</f>
        <v>0</v>
      </c>
      <c r="K9" s="299">
        <f>S9*$N9/1000</f>
        <v>0</v>
      </c>
      <c r="L9" s="312"/>
      <c r="M9" s="299">
        <f>SUM(I9:K9)</f>
        <v>0</v>
      </c>
      <c r="N9" s="300">
        <f>T9*E9</f>
        <v>0</v>
      </c>
      <c r="Q9" s="11">
        <f>VLOOKUP($C9,'Calculation engine'!$B$8:$G$28,3,FALSE)</f>
        <v>0</v>
      </c>
      <c r="R9" s="11">
        <f>VLOOKUP($C9,'Calculation engine'!$B$8:$G$28,4,FALSE)</f>
        <v>0</v>
      </c>
      <c r="S9" s="11">
        <f>VLOOKUP($C9,'Calculation engine'!$B$8:$G$28,5,FALSE)</f>
        <v>0</v>
      </c>
      <c r="T9" s="11">
        <f>VLOOKUP($C9,'Calculation engine'!$B$8:$G$28,2,FALSE)</f>
        <v>0</v>
      </c>
    </row>
    <row r="10" spans="2:20" ht="15" customHeight="1" x14ac:dyDescent="0.25">
      <c r="B10" s="182"/>
      <c r="C10" s="157" t="s">
        <v>112</v>
      </c>
      <c r="D10" s="160"/>
      <c r="E10" s="159"/>
      <c r="F10" s="161"/>
      <c r="G10" s="162" t="str">
        <f>VLOOKUP($C10,'Calculation engine'!$B$8:$G$28,6,FALSE)</f>
        <v>-</v>
      </c>
      <c r="H10" s="163"/>
      <c r="I10" s="299">
        <f t="shared" ref="I10:K15" si="0">Q10*$N10/1000</f>
        <v>0</v>
      </c>
      <c r="J10" s="299">
        <f t="shared" si="0"/>
        <v>0</v>
      </c>
      <c r="K10" s="299">
        <f t="shared" si="0"/>
        <v>0</v>
      </c>
      <c r="L10" s="312"/>
      <c r="M10" s="299">
        <f t="shared" ref="M10:M15" si="1">SUM(I10:K10)</f>
        <v>0</v>
      </c>
      <c r="N10" s="300">
        <f t="shared" ref="N10:N15" si="2">T10*E10</f>
        <v>0</v>
      </c>
      <c r="Q10" s="11">
        <f>VLOOKUP($C10,'Calculation engine'!$B$8:$G$28,3,FALSE)</f>
        <v>0</v>
      </c>
      <c r="R10" s="11">
        <f>VLOOKUP($C10,'Calculation engine'!$B$8:$G$28,4,FALSE)</f>
        <v>0</v>
      </c>
      <c r="S10" s="11">
        <f>VLOOKUP($C10,'Calculation engine'!$B$8:$G$28,5,FALSE)</f>
        <v>0</v>
      </c>
      <c r="T10" s="11">
        <f>VLOOKUP($C10,'Calculation engine'!$B$8:$G$28,2,FALSE)</f>
        <v>0</v>
      </c>
    </row>
    <row r="11" spans="2:20" ht="15" customHeight="1" x14ac:dyDescent="0.25">
      <c r="B11" s="182"/>
      <c r="C11" s="157" t="s">
        <v>112</v>
      </c>
      <c r="D11" s="160"/>
      <c r="E11" s="159"/>
      <c r="F11" s="161"/>
      <c r="G11" s="162" t="str">
        <f>VLOOKUP($C11,'Calculation engine'!$B$8:$G$28,6,FALSE)</f>
        <v>-</v>
      </c>
      <c r="H11" s="163"/>
      <c r="I11" s="299">
        <f t="shared" si="0"/>
        <v>0</v>
      </c>
      <c r="J11" s="299">
        <f t="shared" si="0"/>
        <v>0</v>
      </c>
      <c r="K11" s="299">
        <f t="shared" si="0"/>
        <v>0</v>
      </c>
      <c r="L11" s="312"/>
      <c r="M11" s="299">
        <f>SUM(I11:K11)</f>
        <v>0</v>
      </c>
      <c r="N11" s="300">
        <f>T11*E11</f>
        <v>0</v>
      </c>
      <c r="Q11" s="11">
        <f>VLOOKUP($C11,'Calculation engine'!$B$8:$G$28,3,FALSE)</f>
        <v>0</v>
      </c>
      <c r="R11" s="11">
        <f>VLOOKUP($C11,'Calculation engine'!$B$8:$G$28,4,FALSE)</f>
        <v>0</v>
      </c>
      <c r="S11" s="11">
        <f>VLOOKUP($C11,'Calculation engine'!$B$8:$G$28,5,FALSE)</f>
        <v>0</v>
      </c>
      <c r="T11" s="11">
        <f>VLOOKUP($C11,'Calculation engine'!$B$8:$G$28,2,FALSE)</f>
        <v>0</v>
      </c>
    </row>
    <row r="12" spans="2:20" ht="15" customHeight="1" x14ac:dyDescent="0.25">
      <c r="B12" s="182"/>
      <c r="C12" s="157" t="s">
        <v>112</v>
      </c>
      <c r="D12" s="160"/>
      <c r="E12" s="159"/>
      <c r="F12" s="161"/>
      <c r="G12" s="162" t="str">
        <f>VLOOKUP($C12,'Calculation engine'!$B$8:$G$28,6,FALSE)</f>
        <v>-</v>
      </c>
      <c r="H12" s="163"/>
      <c r="I12" s="299">
        <f t="shared" si="0"/>
        <v>0</v>
      </c>
      <c r="J12" s="299">
        <f t="shared" si="0"/>
        <v>0</v>
      </c>
      <c r="K12" s="299">
        <f t="shared" si="0"/>
        <v>0</v>
      </c>
      <c r="L12" s="312"/>
      <c r="M12" s="299">
        <f>SUM(I12:K12)</f>
        <v>0</v>
      </c>
      <c r="N12" s="300">
        <f>T12*E12</f>
        <v>0</v>
      </c>
      <c r="Q12" s="11">
        <f>VLOOKUP($C12,'Calculation engine'!$B$8:$G$28,3,FALSE)</f>
        <v>0</v>
      </c>
      <c r="R12" s="11">
        <f>VLOOKUP($C12,'Calculation engine'!$B$8:$G$28,4,FALSE)</f>
        <v>0</v>
      </c>
      <c r="S12" s="11">
        <f>VLOOKUP($C12,'Calculation engine'!$B$8:$G$28,5,FALSE)</f>
        <v>0</v>
      </c>
      <c r="T12" s="11">
        <f>VLOOKUP($C12,'Calculation engine'!$B$8:$G$28,2,FALSE)</f>
        <v>0</v>
      </c>
    </row>
    <row r="13" spans="2:20" ht="15" customHeight="1" x14ac:dyDescent="0.25">
      <c r="B13" s="182"/>
      <c r="C13" s="157" t="s">
        <v>112</v>
      </c>
      <c r="D13" s="160"/>
      <c r="E13" s="159"/>
      <c r="F13" s="161"/>
      <c r="G13" s="162" t="str">
        <f>VLOOKUP($C13,'Calculation engine'!$B$8:$G$28,6,FALSE)</f>
        <v>-</v>
      </c>
      <c r="H13" s="163"/>
      <c r="I13" s="299">
        <f t="shared" si="0"/>
        <v>0</v>
      </c>
      <c r="J13" s="299">
        <f t="shared" si="0"/>
        <v>0</v>
      </c>
      <c r="K13" s="299">
        <f t="shared" si="0"/>
        <v>0</v>
      </c>
      <c r="L13" s="312"/>
      <c r="M13" s="299">
        <f>SUM(I13:K13)</f>
        <v>0</v>
      </c>
      <c r="N13" s="300">
        <f>T13*E13</f>
        <v>0</v>
      </c>
      <c r="Q13" s="11">
        <f>VLOOKUP($C13,'Calculation engine'!$B$8:$G$28,3,FALSE)</f>
        <v>0</v>
      </c>
      <c r="R13" s="11">
        <f>VLOOKUP($C13,'Calculation engine'!$B$8:$G$28,4,FALSE)</f>
        <v>0</v>
      </c>
      <c r="S13" s="11">
        <f>VLOOKUP($C13,'Calculation engine'!$B$8:$G$28,5,FALSE)</f>
        <v>0</v>
      </c>
      <c r="T13" s="11">
        <f>VLOOKUP($C13,'Calculation engine'!$B$8:$G$28,2,FALSE)</f>
        <v>0</v>
      </c>
    </row>
    <row r="14" spans="2:20" ht="15" customHeight="1" x14ac:dyDescent="0.25">
      <c r="B14" s="182"/>
      <c r="C14" s="157" t="s">
        <v>112</v>
      </c>
      <c r="D14" s="160"/>
      <c r="E14" s="159"/>
      <c r="F14" s="161"/>
      <c r="G14" s="162" t="str">
        <f>VLOOKUP($C14,'Calculation engine'!$B$8:$G$28,6,FALSE)</f>
        <v>-</v>
      </c>
      <c r="H14" s="163"/>
      <c r="I14" s="299">
        <f t="shared" si="0"/>
        <v>0</v>
      </c>
      <c r="J14" s="299">
        <f t="shared" si="0"/>
        <v>0</v>
      </c>
      <c r="K14" s="299">
        <f t="shared" si="0"/>
        <v>0</v>
      </c>
      <c r="L14" s="312"/>
      <c r="M14" s="299">
        <f t="shared" si="1"/>
        <v>0</v>
      </c>
      <c r="N14" s="300">
        <f t="shared" si="2"/>
        <v>0</v>
      </c>
      <c r="Q14" s="11">
        <f>VLOOKUP($C14,'Calculation engine'!$B$8:$G$28,3,FALSE)</f>
        <v>0</v>
      </c>
      <c r="R14" s="11">
        <f>VLOOKUP($C14,'Calculation engine'!$B$8:$G$28,4,FALSE)</f>
        <v>0</v>
      </c>
      <c r="S14" s="11">
        <f>VLOOKUP($C14,'Calculation engine'!$B$8:$G$28,5,FALSE)</f>
        <v>0</v>
      </c>
      <c r="T14" s="11">
        <f>VLOOKUP($C14,'Calculation engine'!$B$8:$G$28,2,FALSE)</f>
        <v>0</v>
      </c>
    </row>
    <row r="15" spans="2:20" ht="15" customHeight="1" x14ac:dyDescent="0.25">
      <c r="B15" s="182"/>
      <c r="C15" s="157" t="s">
        <v>112</v>
      </c>
      <c r="D15" s="160"/>
      <c r="E15" s="159"/>
      <c r="F15" s="161"/>
      <c r="G15" s="162" t="str">
        <f>VLOOKUP($C15,'Calculation engine'!$B$8:$G$28,6,FALSE)</f>
        <v>-</v>
      </c>
      <c r="H15" s="163"/>
      <c r="I15" s="299">
        <f t="shared" si="0"/>
        <v>0</v>
      </c>
      <c r="J15" s="299">
        <f t="shared" si="0"/>
        <v>0</v>
      </c>
      <c r="K15" s="299">
        <f t="shared" si="0"/>
        <v>0</v>
      </c>
      <c r="L15" s="312"/>
      <c r="M15" s="299">
        <f t="shared" si="1"/>
        <v>0</v>
      </c>
      <c r="N15" s="300">
        <f t="shared" si="2"/>
        <v>0</v>
      </c>
      <c r="Q15" s="11">
        <f>VLOOKUP($C15,'Calculation engine'!$B$8:$G$28,3,FALSE)</f>
        <v>0</v>
      </c>
      <c r="R15" s="11">
        <f>VLOOKUP($C15,'Calculation engine'!$B$8:$G$28,4,FALSE)</f>
        <v>0</v>
      </c>
      <c r="S15" s="11">
        <f>VLOOKUP($C15,'Calculation engine'!$B$8:$G$28,5,FALSE)</f>
        <v>0</v>
      </c>
      <c r="T15" s="11">
        <f>VLOOKUP($C15,'Calculation engine'!$B$8:$G$28,2,FALSE)</f>
        <v>0</v>
      </c>
    </row>
    <row r="16" spans="2:20" ht="15" customHeight="1" x14ac:dyDescent="0.25">
      <c r="B16" s="185"/>
      <c r="C16" s="165"/>
      <c r="D16" s="165"/>
      <c r="E16" s="166"/>
      <c r="F16" s="166"/>
      <c r="G16" s="350" t="s">
        <v>327</v>
      </c>
      <c r="H16" s="350"/>
      <c r="I16" s="350"/>
      <c r="J16" s="350"/>
      <c r="K16" s="350"/>
      <c r="L16" s="350"/>
      <c r="M16" s="301">
        <f>SUM(M9:M15)</f>
        <v>0</v>
      </c>
      <c r="N16" s="302">
        <f>SUM(N9:N15)</f>
        <v>0</v>
      </c>
    </row>
    <row r="17" spans="2:20" ht="15" customHeight="1" x14ac:dyDescent="0.25">
      <c r="B17" s="8"/>
      <c r="C17" s="8"/>
      <c r="D17" s="8"/>
      <c r="E17" s="23"/>
      <c r="F17" s="23"/>
      <c r="G17" s="23"/>
      <c r="H17" s="8"/>
      <c r="I17" s="8"/>
      <c r="J17" s="8"/>
      <c r="K17" s="8"/>
      <c r="L17" s="8"/>
      <c r="M17" s="8"/>
      <c r="N17" s="8"/>
    </row>
    <row r="18" spans="2:20" ht="15" customHeight="1" x14ac:dyDescent="0.25">
      <c r="B18" s="178"/>
      <c r="C18" s="353" t="s">
        <v>200</v>
      </c>
      <c r="D18" s="308"/>
      <c r="E18" s="354" t="s">
        <v>0</v>
      </c>
      <c r="F18" s="308"/>
      <c r="G18" s="354" t="s">
        <v>1</v>
      </c>
      <c r="H18" s="179"/>
      <c r="I18" s="355" t="s">
        <v>6</v>
      </c>
      <c r="J18" s="355"/>
      <c r="K18" s="355"/>
      <c r="L18" s="179"/>
      <c r="M18" s="308" t="s">
        <v>7</v>
      </c>
      <c r="N18" s="69" t="s">
        <v>5</v>
      </c>
    </row>
    <row r="19" spans="2:20" ht="15.75" customHeight="1" x14ac:dyDescent="0.25">
      <c r="B19" s="180"/>
      <c r="C19" s="334"/>
      <c r="D19" s="309"/>
      <c r="E19" s="352"/>
      <c r="F19" s="309"/>
      <c r="G19" s="352"/>
      <c r="H19" s="74"/>
      <c r="I19" s="1" t="s">
        <v>329</v>
      </c>
      <c r="J19" s="1" t="s">
        <v>330</v>
      </c>
      <c r="K19" s="1" t="s">
        <v>331</v>
      </c>
      <c r="L19" s="309"/>
      <c r="M19" s="1" t="s">
        <v>332</v>
      </c>
      <c r="N19" s="181" t="s">
        <v>8</v>
      </c>
    </row>
    <row r="20" spans="2:20" ht="15" customHeight="1" x14ac:dyDescent="0.25">
      <c r="B20" s="182"/>
      <c r="C20" s="161" t="s">
        <v>119</v>
      </c>
      <c r="D20" s="161"/>
      <c r="E20" s="161" t="s">
        <v>120</v>
      </c>
      <c r="F20" s="161"/>
      <c r="G20" s="161"/>
      <c r="H20" s="160"/>
      <c r="I20" s="160"/>
      <c r="J20" s="160"/>
      <c r="K20" s="160"/>
      <c r="L20" s="160"/>
      <c r="M20" s="160"/>
      <c r="N20" s="184"/>
      <c r="Q20" s="11" t="s">
        <v>2</v>
      </c>
      <c r="R20" s="11" t="s">
        <v>3</v>
      </c>
      <c r="S20" s="11" t="s">
        <v>4</v>
      </c>
      <c r="T20" s="11" t="s">
        <v>21</v>
      </c>
    </row>
    <row r="21" spans="2:20" ht="15" customHeight="1" x14ac:dyDescent="0.25">
      <c r="B21" s="182"/>
      <c r="C21" s="157" t="s">
        <v>112</v>
      </c>
      <c r="D21" s="160"/>
      <c r="E21" s="158"/>
      <c r="F21" s="161"/>
      <c r="G21" s="162" t="str">
        <f>VLOOKUP($C21,'Calculation engine'!$I$8:$N$62,6,FALSE)</f>
        <v>-</v>
      </c>
      <c r="H21" s="163"/>
      <c r="I21" s="299">
        <f t="shared" ref="I21:K27" si="3">Q21*$N21/1000</f>
        <v>0</v>
      </c>
      <c r="J21" s="299">
        <f t="shared" si="3"/>
        <v>0</v>
      </c>
      <c r="K21" s="299">
        <f t="shared" si="3"/>
        <v>0</v>
      </c>
      <c r="L21" s="312"/>
      <c r="M21" s="299">
        <f t="shared" ref="M21:M27" si="4">SUM(I21:K21)</f>
        <v>0</v>
      </c>
      <c r="N21" s="300">
        <f t="shared" ref="N21:N27" si="5">T21*E21</f>
        <v>0</v>
      </c>
      <c r="Q21" s="11">
        <f>VLOOKUP($C21,'Calculation engine'!$I$8:$N$62,3,FALSE)</f>
        <v>0</v>
      </c>
      <c r="R21" s="11">
        <f>VLOOKUP($C21,'Calculation engine'!$I$8:$N$62,4,FALSE)</f>
        <v>0</v>
      </c>
      <c r="S21" s="11">
        <f>VLOOKUP($C21,'Calculation engine'!$I$8:$N$62,5,FALSE)</f>
        <v>0</v>
      </c>
      <c r="T21" s="11">
        <f>VLOOKUP($C21,'Calculation engine'!$I$8:$N$62,2,FALSE)</f>
        <v>0</v>
      </c>
    </row>
    <row r="22" spans="2:20" ht="14.25" customHeight="1" x14ac:dyDescent="0.25">
      <c r="B22" s="182"/>
      <c r="C22" s="157" t="s">
        <v>112</v>
      </c>
      <c r="D22" s="160"/>
      <c r="E22" s="159"/>
      <c r="F22" s="161"/>
      <c r="G22" s="162" t="str">
        <f>VLOOKUP($C22,'Calculation engine'!$I$8:$N$62,6,FALSE)</f>
        <v>-</v>
      </c>
      <c r="H22" s="163"/>
      <c r="I22" s="299">
        <f t="shared" si="3"/>
        <v>0</v>
      </c>
      <c r="J22" s="299">
        <f t="shared" si="3"/>
        <v>0</v>
      </c>
      <c r="K22" s="299">
        <f t="shared" si="3"/>
        <v>0</v>
      </c>
      <c r="L22" s="312"/>
      <c r="M22" s="299">
        <f t="shared" si="4"/>
        <v>0</v>
      </c>
      <c r="N22" s="300">
        <f t="shared" si="5"/>
        <v>0</v>
      </c>
      <c r="Q22" s="11">
        <f>VLOOKUP($C22,'Calculation engine'!$I$8:$N$62,3,FALSE)</f>
        <v>0</v>
      </c>
      <c r="R22" s="11">
        <f>VLOOKUP($C22,'Calculation engine'!$I$8:$N$62,4,FALSE)</f>
        <v>0</v>
      </c>
      <c r="S22" s="11">
        <f>VLOOKUP($C22,'Calculation engine'!$I$8:$N$62,5,FALSE)</f>
        <v>0</v>
      </c>
      <c r="T22" s="11">
        <f>VLOOKUP($C22,'Calculation engine'!$I$8:$N$62,2,FALSE)</f>
        <v>0</v>
      </c>
    </row>
    <row r="23" spans="2:20" ht="15" customHeight="1" x14ac:dyDescent="0.25">
      <c r="B23" s="182"/>
      <c r="C23" s="157" t="s">
        <v>112</v>
      </c>
      <c r="D23" s="160"/>
      <c r="E23" s="159"/>
      <c r="F23" s="161"/>
      <c r="G23" s="162" t="str">
        <f>VLOOKUP($C23,'Calculation engine'!$I$8:$N$62,6,FALSE)</f>
        <v>-</v>
      </c>
      <c r="H23" s="163"/>
      <c r="I23" s="299">
        <f t="shared" si="3"/>
        <v>0</v>
      </c>
      <c r="J23" s="299">
        <f t="shared" si="3"/>
        <v>0</v>
      </c>
      <c r="K23" s="299">
        <f t="shared" si="3"/>
        <v>0</v>
      </c>
      <c r="L23" s="312"/>
      <c r="M23" s="299">
        <f t="shared" si="4"/>
        <v>0</v>
      </c>
      <c r="N23" s="300">
        <f t="shared" si="5"/>
        <v>0</v>
      </c>
      <c r="Q23" s="11">
        <f>VLOOKUP($C23,'Calculation engine'!$I$8:$N$62,3,FALSE)</f>
        <v>0</v>
      </c>
      <c r="R23" s="11">
        <f>VLOOKUP($C23,'Calculation engine'!$I$8:$N$62,4,FALSE)</f>
        <v>0</v>
      </c>
      <c r="S23" s="11">
        <f>VLOOKUP($C23,'Calculation engine'!$I$8:$N$62,5,FALSE)</f>
        <v>0</v>
      </c>
      <c r="T23" s="11">
        <f>VLOOKUP($C23,'Calculation engine'!$I$8:$N$62,2,FALSE)</f>
        <v>0</v>
      </c>
    </row>
    <row r="24" spans="2:20" ht="15" customHeight="1" x14ac:dyDescent="0.25">
      <c r="B24" s="182"/>
      <c r="C24" s="157" t="s">
        <v>112</v>
      </c>
      <c r="D24" s="160"/>
      <c r="E24" s="159"/>
      <c r="F24" s="161"/>
      <c r="G24" s="162" t="str">
        <f>VLOOKUP($C24,'Calculation engine'!$I$8:$N$62,6,FALSE)</f>
        <v>-</v>
      </c>
      <c r="H24" s="163"/>
      <c r="I24" s="299">
        <f t="shared" si="3"/>
        <v>0</v>
      </c>
      <c r="J24" s="299">
        <f t="shared" si="3"/>
        <v>0</v>
      </c>
      <c r="K24" s="299">
        <f t="shared" si="3"/>
        <v>0</v>
      </c>
      <c r="L24" s="312"/>
      <c r="M24" s="299">
        <f t="shared" si="4"/>
        <v>0</v>
      </c>
      <c r="N24" s="300">
        <f t="shared" si="5"/>
        <v>0</v>
      </c>
      <c r="Q24" s="11">
        <f>VLOOKUP($C24,'Calculation engine'!$I$8:$N$62,3,FALSE)</f>
        <v>0</v>
      </c>
      <c r="R24" s="11">
        <f>VLOOKUP($C24,'Calculation engine'!$I$8:$N$62,4,FALSE)</f>
        <v>0</v>
      </c>
      <c r="S24" s="11">
        <f>VLOOKUP($C24,'Calculation engine'!$I$8:$N$62,5,FALSE)</f>
        <v>0</v>
      </c>
      <c r="T24" s="11">
        <f>VLOOKUP($C24,'Calculation engine'!$I$8:$N$62,2,FALSE)</f>
        <v>0</v>
      </c>
    </row>
    <row r="25" spans="2:20" ht="15" customHeight="1" x14ac:dyDescent="0.25">
      <c r="B25" s="182"/>
      <c r="C25" s="157" t="s">
        <v>112</v>
      </c>
      <c r="D25" s="160"/>
      <c r="E25" s="159"/>
      <c r="F25" s="161"/>
      <c r="G25" s="162" t="str">
        <f>VLOOKUP($C25,'Calculation engine'!$I$8:$N$62,6,FALSE)</f>
        <v>-</v>
      </c>
      <c r="H25" s="163"/>
      <c r="I25" s="299">
        <f t="shared" si="3"/>
        <v>0</v>
      </c>
      <c r="J25" s="299">
        <f t="shared" si="3"/>
        <v>0</v>
      </c>
      <c r="K25" s="299">
        <f t="shared" si="3"/>
        <v>0</v>
      </c>
      <c r="L25" s="312"/>
      <c r="M25" s="299">
        <f t="shared" si="4"/>
        <v>0</v>
      </c>
      <c r="N25" s="300">
        <f t="shared" si="5"/>
        <v>0</v>
      </c>
      <c r="Q25" s="11">
        <f>VLOOKUP($C25,'Calculation engine'!$I$8:$N$62,3,FALSE)</f>
        <v>0</v>
      </c>
      <c r="R25" s="11">
        <f>VLOOKUP($C25,'Calculation engine'!$I$8:$N$62,4,FALSE)</f>
        <v>0</v>
      </c>
      <c r="S25" s="11">
        <f>VLOOKUP($C25,'Calculation engine'!$I$8:$N$62,5,FALSE)</f>
        <v>0</v>
      </c>
      <c r="T25" s="11">
        <f>VLOOKUP($C25,'Calculation engine'!$I$8:$N$62,2,FALSE)</f>
        <v>0</v>
      </c>
    </row>
    <row r="26" spans="2:20" ht="15" customHeight="1" x14ac:dyDescent="0.25">
      <c r="B26" s="182"/>
      <c r="C26" s="157" t="s">
        <v>112</v>
      </c>
      <c r="D26" s="160"/>
      <c r="E26" s="159"/>
      <c r="F26" s="161"/>
      <c r="G26" s="162" t="str">
        <f>VLOOKUP($C26,'Calculation engine'!$I$8:$N$62,6,FALSE)</f>
        <v>-</v>
      </c>
      <c r="H26" s="163"/>
      <c r="I26" s="299">
        <f t="shared" si="3"/>
        <v>0</v>
      </c>
      <c r="J26" s="299">
        <f t="shared" si="3"/>
        <v>0</v>
      </c>
      <c r="K26" s="299">
        <f t="shared" si="3"/>
        <v>0</v>
      </c>
      <c r="L26" s="312"/>
      <c r="M26" s="299">
        <f t="shared" si="4"/>
        <v>0</v>
      </c>
      <c r="N26" s="300">
        <f t="shared" si="5"/>
        <v>0</v>
      </c>
      <c r="Q26" s="11">
        <f>VLOOKUP($C26,'Calculation engine'!$I$8:$N$62,3,FALSE)</f>
        <v>0</v>
      </c>
      <c r="R26" s="11">
        <f>VLOOKUP($C26,'Calculation engine'!$I$8:$N$62,4,FALSE)</f>
        <v>0</v>
      </c>
      <c r="S26" s="11">
        <f>VLOOKUP($C26,'Calculation engine'!$I$8:$N$62,5,FALSE)</f>
        <v>0</v>
      </c>
      <c r="T26" s="11">
        <f>VLOOKUP($C26,'Calculation engine'!$I$8:$N$62,2,FALSE)</f>
        <v>0</v>
      </c>
    </row>
    <row r="27" spans="2:20" ht="15" customHeight="1" x14ac:dyDescent="0.25">
      <c r="B27" s="182"/>
      <c r="C27" s="157" t="s">
        <v>112</v>
      </c>
      <c r="D27" s="160"/>
      <c r="E27" s="159"/>
      <c r="F27" s="161"/>
      <c r="G27" s="162" t="str">
        <f>VLOOKUP($C27,'Calculation engine'!$I$8:$N$62,6,FALSE)</f>
        <v>-</v>
      </c>
      <c r="H27" s="163"/>
      <c r="I27" s="299">
        <f t="shared" si="3"/>
        <v>0</v>
      </c>
      <c r="J27" s="299">
        <f t="shared" si="3"/>
        <v>0</v>
      </c>
      <c r="K27" s="299">
        <f t="shared" si="3"/>
        <v>0</v>
      </c>
      <c r="L27" s="312"/>
      <c r="M27" s="299">
        <f t="shared" si="4"/>
        <v>0</v>
      </c>
      <c r="N27" s="300">
        <f t="shared" si="5"/>
        <v>0</v>
      </c>
      <c r="Q27" s="11">
        <f>VLOOKUP($C27,'Calculation engine'!$I$8:$N$62,3,FALSE)</f>
        <v>0</v>
      </c>
      <c r="R27" s="11">
        <f>VLOOKUP($C27,'Calculation engine'!$I$8:$N$62,4,FALSE)</f>
        <v>0</v>
      </c>
      <c r="S27" s="11">
        <f>VLOOKUP($C27,'Calculation engine'!$I$8:$N$62,5,FALSE)</f>
        <v>0</v>
      </c>
      <c r="T27" s="11">
        <f>VLOOKUP($C27,'Calculation engine'!$I$8:$N$62,2,FALSE)</f>
        <v>0</v>
      </c>
    </row>
    <row r="28" spans="2:20" ht="15" customHeight="1" x14ac:dyDescent="0.25">
      <c r="B28" s="185"/>
      <c r="C28" s="165"/>
      <c r="D28" s="165"/>
      <c r="E28" s="166"/>
      <c r="F28" s="166"/>
      <c r="G28" s="350" t="s">
        <v>328</v>
      </c>
      <c r="H28" s="350"/>
      <c r="I28" s="350"/>
      <c r="J28" s="350"/>
      <c r="K28" s="350"/>
      <c r="L28" s="350"/>
      <c r="M28" s="301">
        <f>SUM(M21:M27)</f>
        <v>0</v>
      </c>
      <c r="N28" s="302">
        <f>SUM(N21:N27)</f>
        <v>0</v>
      </c>
    </row>
    <row r="29" spans="2:20" ht="15" customHeight="1" x14ac:dyDescent="0.25">
      <c r="B29" s="8"/>
      <c r="C29" s="8"/>
      <c r="D29" s="8"/>
      <c r="E29" s="23"/>
      <c r="F29" s="23"/>
      <c r="G29" s="23"/>
      <c r="H29" s="8"/>
      <c r="I29" s="8"/>
      <c r="J29" s="8"/>
      <c r="K29" s="8"/>
      <c r="L29" s="8"/>
      <c r="M29" s="8"/>
      <c r="N29" s="8"/>
    </row>
    <row r="30" spans="2:20" ht="15" customHeight="1" x14ac:dyDescent="0.25">
      <c r="B30" s="178"/>
      <c r="C30" s="353" t="s">
        <v>201</v>
      </c>
      <c r="D30" s="308"/>
      <c r="E30" s="354" t="s">
        <v>0</v>
      </c>
      <c r="F30" s="308"/>
      <c r="G30" s="354" t="s">
        <v>1</v>
      </c>
      <c r="H30" s="179"/>
      <c r="I30" s="355" t="s">
        <v>121</v>
      </c>
      <c r="J30" s="355"/>
      <c r="K30" s="355"/>
      <c r="L30" s="179"/>
      <c r="M30" s="308" t="s">
        <v>9</v>
      </c>
      <c r="N30" s="69" t="s">
        <v>5</v>
      </c>
    </row>
    <row r="31" spans="2:20" ht="15" customHeight="1" x14ac:dyDescent="0.25">
      <c r="B31" s="180"/>
      <c r="C31" s="334"/>
      <c r="D31" s="309"/>
      <c r="E31" s="352"/>
      <c r="F31" s="309"/>
      <c r="G31" s="352"/>
      <c r="H31" s="74"/>
      <c r="I31" s="1" t="s">
        <v>20</v>
      </c>
      <c r="J31" s="1"/>
      <c r="K31" s="74"/>
      <c r="L31" s="309"/>
      <c r="M31" s="1" t="s">
        <v>332</v>
      </c>
      <c r="N31" s="181" t="s">
        <v>8</v>
      </c>
      <c r="Q31" s="2" t="s">
        <v>193</v>
      </c>
    </row>
    <row r="32" spans="2:20" ht="15" customHeight="1" x14ac:dyDescent="0.25">
      <c r="B32" s="182"/>
      <c r="C32" s="161" t="s">
        <v>118</v>
      </c>
      <c r="D32" s="161"/>
      <c r="E32" s="161" t="s">
        <v>120</v>
      </c>
      <c r="F32" s="161"/>
      <c r="G32" s="161"/>
      <c r="H32" s="160"/>
      <c r="I32" s="160"/>
      <c r="J32" s="160"/>
      <c r="K32" s="160"/>
      <c r="L32" s="160"/>
      <c r="M32" s="160"/>
      <c r="N32" s="184"/>
      <c r="Q32" s="1" t="s">
        <v>21</v>
      </c>
    </row>
    <row r="33" spans="2:20" ht="15" customHeight="1" x14ac:dyDescent="0.25">
      <c r="B33" s="182"/>
      <c r="C33" s="157" t="s">
        <v>112</v>
      </c>
      <c r="D33" s="160"/>
      <c r="E33" s="158"/>
      <c r="F33" s="161"/>
      <c r="G33" s="162" t="s">
        <v>23</v>
      </c>
      <c r="H33" s="174"/>
      <c r="I33" s="275">
        <f>VLOOKUP($C33,'Calculation engine'!$Q$10:$T$19,2,FALSE)</f>
        <v>0</v>
      </c>
      <c r="J33" s="359" t="str">
        <f>IF(C33="Not purchased from the main grid","You can enter a custom factor for EF","")</f>
        <v/>
      </c>
      <c r="K33" s="359"/>
      <c r="L33" s="359"/>
      <c r="M33" s="299">
        <f>E33*I33/1000</f>
        <v>0</v>
      </c>
      <c r="N33" s="300">
        <f>E33*Q34</f>
        <v>0</v>
      </c>
      <c r="Q33" s="3"/>
    </row>
    <row r="34" spans="2:20" ht="15.75" customHeight="1" x14ac:dyDescent="0.25">
      <c r="B34" s="182"/>
      <c r="C34" s="157" t="s">
        <v>112</v>
      </c>
      <c r="D34" s="160"/>
      <c r="E34" s="187"/>
      <c r="F34" s="161"/>
      <c r="G34" s="162" t="s">
        <v>23</v>
      </c>
      <c r="H34" s="174"/>
      <c r="I34" s="275">
        <f>VLOOKUP($C34,'Calculation engine'!$Q$10:$T$19,2,FALSE)</f>
        <v>0</v>
      </c>
      <c r="J34" s="358" t="str">
        <f>IF(C34="Not purchased from the main grid","You can enter a custom factor for EF","")</f>
        <v/>
      </c>
      <c r="K34" s="358"/>
      <c r="L34" s="358"/>
      <c r="M34" s="299">
        <f>E34*I34/1000</f>
        <v>0</v>
      </c>
      <c r="N34" s="300">
        <f>E34*Q35</f>
        <v>0</v>
      </c>
      <c r="Q34" s="4">
        <f>VLOOKUP($C33,'Calculation engine'!$Q$10:$T$19,3,FALSE)</f>
        <v>0</v>
      </c>
    </row>
    <row r="35" spans="2:20" ht="16.5" customHeight="1" x14ac:dyDescent="0.25">
      <c r="B35" s="185"/>
      <c r="C35" s="165"/>
      <c r="D35" s="165"/>
      <c r="E35" s="166"/>
      <c r="F35" s="166"/>
      <c r="G35" s="350" t="s">
        <v>333</v>
      </c>
      <c r="H35" s="350"/>
      <c r="I35" s="350"/>
      <c r="J35" s="350"/>
      <c r="K35" s="350"/>
      <c r="L35" s="350"/>
      <c r="M35" s="301">
        <f>SUM(M33:M34)</f>
        <v>0</v>
      </c>
      <c r="N35" s="302">
        <f>SUM(N33:N34)</f>
        <v>0</v>
      </c>
      <c r="Q35" s="4">
        <f>VLOOKUP($C34,'Calculation engine'!$Q$10:$T$19,3,FALSE)</f>
        <v>0</v>
      </c>
    </row>
    <row r="36" spans="2:20" ht="15" customHeight="1" x14ac:dyDescent="0.25">
      <c r="B36" s="8"/>
      <c r="C36" s="8"/>
      <c r="D36" s="8"/>
      <c r="E36" s="23"/>
      <c r="F36" s="23"/>
      <c r="G36" s="188"/>
      <c r="H36" s="188"/>
      <c r="I36" s="188"/>
      <c r="J36" s="188"/>
      <c r="K36" s="188"/>
      <c r="L36" s="188"/>
      <c r="M36" s="27"/>
      <c r="N36" s="27"/>
    </row>
    <row r="37" spans="2:20" ht="15" customHeight="1" x14ac:dyDescent="0.25">
      <c r="B37" s="178"/>
      <c r="C37" s="353" t="s">
        <v>158</v>
      </c>
      <c r="D37" s="308"/>
      <c r="E37" s="354" t="s">
        <v>0</v>
      </c>
      <c r="F37" s="308"/>
      <c r="G37" s="354" t="s">
        <v>1</v>
      </c>
      <c r="H37" s="179"/>
      <c r="I37" s="355"/>
      <c r="J37" s="355"/>
      <c r="K37" s="355"/>
      <c r="L37" s="179"/>
      <c r="M37" s="308"/>
      <c r="N37" s="69" t="s">
        <v>5</v>
      </c>
    </row>
    <row r="38" spans="2:20" ht="15" customHeight="1" x14ac:dyDescent="0.25">
      <c r="B38" s="180"/>
      <c r="C38" s="334"/>
      <c r="D38" s="309"/>
      <c r="E38" s="352"/>
      <c r="F38" s="309"/>
      <c r="G38" s="352"/>
      <c r="H38" s="74"/>
      <c r="I38" s="1"/>
      <c r="J38" s="1"/>
      <c r="K38" s="74"/>
      <c r="L38" s="309"/>
      <c r="M38" s="1"/>
      <c r="N38" s="181" t="s">
        <v>8</v>
      </c>
    </row>
    <row r="39" spans="2:20" ht="15" customHeight="1" x14ac:dyDescent="0.25">
      <c r="B39" s="182"/>
      <c r="C39" s="161" t="s">
        <v>196</v>
      </c>
      <c r="D39" s="161"/>
      <c r="E39" s="161" t="s">
        <v>120</v>
      </c>
      <c r="F39" s="161"/>
      <c r="G39" s="161"/>
      <c r="H39" s="160"/>
      <c r="I39" s="160"/>
      <c r="J39" s="160"/>
      <c r="K39" s="160"/>
      <c r="L39" s="160"/>
      <c r="M39" s="160"/>
      <c r="N39" s="184"/>
      <c r="Q39" s="11" t="s">
        <v>2</v>
      </c>
      <c r="R39" s="11" t="s">
        <v>3</v>
      </c>
      <c r="S39" s="11" t="s">
        <v>4</v>
      </c>
      <c r="T39" s="11" t="s">
        <v>21</v>
      </c>
    </row>
    <row r="40" spans="2:20" ht="15" customHeight="1" x14ac:dyDescent="0.25">
      <c r="B40" s="182"/>
      <c r="C40" s="157" t="s">
        <v>112</v>
      </c>
      <c r="D40" s="160"/>
      <c r="E40" s="158"/>
      <c r="F40" s="161"/>
      <c r="G40" s="162" t="str">
        <f>VLOOKUP($C40,'Calculation engine'!$AD$8:$AI$78,6,FALSE)</f>
        <v>-</v>
      </c>
      <c r="H40" s="174"/>
      <c r="I40" s="315"/>
      <c r="J40" s="315"/>
      <c r="K40" s="189"/>
      <c r="L40" s="315"/>
      <c r="M40" s="315">
        <f>E40*I40/1000</f>
        <v>0</v>
      </c>
      <c r="N40" s="300">
        <f>T40*E40</f>
        <v>0</v>
      </c>
      <c r="Q40" s="11"/>
      <c r="R40" s="11"/>
      <c r="S40" s="11"/>
      <c r="T40" s="11">
        <f>VLOOKUP($C40,'Calculation engine'!$AD$8:$AI$78,5,FALSE)</f>
        <v>0</v>
      </c>
    </row>
    <row r="41" spans="2:20" ht="15" customHeight="1" x14ac:dyDescent="0.25">
      <c r="B41" s="182"/>
      <c r="C41" s="157" t="s">
        <v>112</v>
      </c>
      <c r="D41" s="160"/>
      <c r="E41" s="190"/>
      <c r="F41" s="161"/>
      <c r="G41" s="162" t="str">
        <f>VLOOKUP($C41,'Calculation engine'!$AD$8:$AI$78,6,FALSE)</f>
        <v>-</v>
      </c>
      <c r="H41" s="174"/>
      <c r="I41" s="315"/>
      <c r="J41" s="315"/>
      <c r="K41" s="189"/>
      <c r="L41" s="315"/>
      <c r="M41" s="315"/>
      <c r="N41" s="300">
        <f>T41*E41</f>
        <v>0</v>
      </c>
      <c r="Q41" s="11"/>
      <c r="R41" s="11"/>
      <c r="S41" s="11"/>
      <c r="T41" s="11">
        <f>VLOOKUP($C41,'Calculation engine'!$AD$8:$AI$78,5,FALSE)</f>
        <v>0</v>
      </c>
    </row>
    <row r="42" spans="2:20" ht="15" customHeight="1" x14ac:dyDescent="0.25">
      <c r="B42" s="182"/>
      <c r="C42" s="157" t="s">
        <v>112</v>
      </c>
      <c r="D42" s="160"/>
      <c r="E42" s="187"/>
      <c r="F42" s="161"/>
      <c r="G42" s="162" t="str">
        <f>VLOOKUP($C42,'Calculation engine'!$AD$8:$AI$78,6,FALSE)</f>
        <v>-</v>
      </c>
      <c r="H42" s="174"/>
      <c r="I42" s="315"/>
      <c r="J42" s="349"/>
      <c r="K42" s="349"/>
      <c r="L42" s="315"/>
      <c r="M42" s="315">
        <f>E42*I42/1000</f>
        <v>0</v>
      </c>
      <c r="N42" s="300">
        <f>T42*E42</f>
        <v>0</v>
      </c>
      <c r="Q42" s="11"/>
      <c r="R42" s="11"/>
      <c r="S42" s="11"/>
      <c r="T42" s="11">
        <f>VLOOKUP($C42,'Calculation engine'!$AD$8:$AI$78,5,FALSE)</f>
        <v>0</v>
      </c>
    </row>
    <row r="43" spans="2:20" ht="15" customHeight="1" x14ac:dyDescent="0.25">
      <c r="B43" s="185"/>
      <c r="C43" s="165"/>
      <c r="D43" s="165"/>
      <c r="E43" s="166"/>
      <c r="F43" s="166"/>
      <c r="G43" s="350" t="s">
        <v>173</v>
      </c>
      <c r="H43" s="350"/>
      <c r="I43" s="350"/>
      <c r="J43" s="350"/>
      <c r="K43" s="350"/>
      <c r="L43" s="350"/>
      <c r="M43" s="191"/>
      <c r="N43" s="302">
        <f>SUM(N40:N42)</f>
        <v>0</v>
      </c>
    </row>
    <row r="44" spans="2:20" ht="15" customHeight="1" x14ac:dyDescent="0.25">
      <c r="B44" s="8"/>
      <c r="C44" s="8"/>
      <c r="D44" s="8"/>
      <c r="E44" s="23"/>
      <c r="F44" s="23"/>
      <c r="G44" s="188"/>
      <c r="H44" s="188"/>
      <c r="I44" s="188"/>
      <c r="J44" s="188"/>
      <c r="K44" s="188"/>
      <c r="L44" s="188"/>
      <c r="M44" s="27"/>
      <c r="N44" s="27"/>
    </row>
    <row r="45" spans="2:20" ht="15" customHeight="1" x14ac:dyDescent="0.25">
      <c r="B45" s="178"/>
      <c r="C45" s="353" t="s">
        <v>202</v>
      </c>
      <c r="D45" s="308"/>
      <c r="E45" s="354" t="s">
        <v>0</v>
      </c>
      <c r="F45" s="308"/>
      <c r="G45" s="354" t="s">
        <v>1</v>
      </c>
      <c r="H45" s="179"/>
      <c r="I45" s="355"/>
      <c r="J45" s="355"/>
      <c r="K45" s="355"/>
      <c r="L45" s="179"/>
      <c r="M45" s="308"/>
      <c r="N45" s="69" t="s">
        <v>5</v>
      </c>
    </row>
    <row r="46" spans="2:20" ht="15" customHeight="1" x14ac:dyDescent="0.25">
      <c r="B46" s="180"/>
      <c r="C46" s="334"/>
      <c r="D46" s="309"/>
      <c r="E46" s="352"/>
      <c r="F46" s="309"/>
      <c r="G46" s="352"/>
      <c r="H46" s="74"/>
      <c r="I46" s="1"/>
      <c r="J46" s="1"/>
      <c r="K46" s="74"/>
      <c r="L46" s="309"/>
      <c r="M46" s="1"/>
      <c r="N46" s="181" t="s">
        <v>8</v>
      </c>
    </row>
    <row r="47" spans="2:20" ht="15" customHeight="1" x14ac:dyDescent="0.25">
      <c r="B47" s="182"/>
      <c r="C47" s="161" t="s">
        <v>197</v>
      </c>
      <c r="D47" s="161"/>
      <c r="E47" s="161" t="s">
        <v>120</v>
      </c>
      <c r="F47" s="161"/>
      <c r="G47" s="161"/>
      <c r="H47" s="160"/>
      <c r="I47" s="160"/>
      <c r="J47" s="160"/>
      <c r="K47" s="160"/>
      <c r="L47" s="160"/>
      <c r="M47" s="160"/>
      <c r="N47" s="184"/>
      <c r="Q47" s="11" t="s">
        <v>2</v>
      </c>
      <c r="R47" s="11" t="s">
        <v>3</v>
      </c>
      <c r="S47" s="11" t="s">
        <v>4</v>
      </c>
      <c r="T47" s="11" t="s">
        <v>21</v>
      </c>
    </row>
    <row r="48" spans="2:20" ht="15" customHeight="1" x14ac:dyDescent="0.25">
      <c r="B48" s="182"/>
      <c r="C48" s="157" t="s">
        <v>112</v>
      </c>
      <c r="D48" s="160"/>
      <c r="E48" s="158"/>
      <c r="F48" s="161"/>
      <c r="G48" s="162" t="str">
        <f>VLOOKUP($C48,'Calculation engine'!$W$8:$AB$72,6,FALSE)</f>
        <v>-</v>
      </c>
      <c r="H48" s="174"/>
      <c r="I48" s="315"/>
      <c r="J48" s="315"/>
      <c r="K48" s="189"/>
      <c r="L48" s="315"/>
      <c r="M48" s="315">
        <f>E48*I48/1000</f>
        <v>0</v>
      </c>
      <c r="N48" s="300">
        <f>T48*E48</f>
        <v>0</v>
      </c>
      <c r="Q48" s="11"/>
      <c r="R48" s="11"/>
      <c r="S48" s="11"/>
      <c r="T48" s="11">
        <f>VLOOKUP($C48,'Calculation engine'!$W$8:$AB$72,5,FALSE)</f>
        <v>0</v>
      </c>
    </row>
    <row r="49" spans="2:20" ht="15" customHeight="1" x14ac:dyDescent="0.25">
      <c r="B49" s="182"/>
      <c r="C49" s="157" t="s">
        <v>112</v>
      </c>
      <c r="D49" s="160"/>
      <c r="E49" s="190"/>
      <c r="F49" s="161"/>
      <c r="G49" s="162" t="str">
        <f>VLOOKUP($C49,'Calculation engine'!$W$8:$AB$72,6,FALSE)</f>
        <v>-</v>
      </c>
      <c r="H49" s="174"/>
      <c r="I49" s="315"/>
      <c r="J49" s="315"/>
      <c r="K49" s="189"/>
      <c r="L49" s="315"/>
      <c r="M49" s="315"/>
      <c r="N49" s="300">
        <f>T49*E49</f>
        <v>0</v>
      </c>
      <c r="Q49" s="11"/>
      <c r="R49" s="11"/>
      <c r="S49" s="11"/>
      <c r="T49" s="11">
        <f>VLOOKUP($C49,'Calculation engine'!$W$8:$AB$72,5,FALSE)</f>
        <v>0</v>
      </c>
    </row>
    <row r="50" spans="2:20" ht="15" customHeight="1" x14ac:dyDescent="0.25">
      <c r="B50" s="182"/>
      <c r="C50" s="157" t="s">
        <v>112</v>
      </c>
      <c r="D50" s="160"/>
      <c r="E50" s="187"/>
      <c r="F50" s="161"/>
      <c r="G50" s="162" t="str">
        <f>VLOOKUP($C50,'Calculation engine'!$W$8:$AB$72,6,FALSE)</f>
        <v>-</v>
      </c>
      <c r="H50" s="174"/>
      <c r="I50" s="315"/>
      <c r="J50" s="349"/>
      <c r="K50" s="349"/>
      <c r="L50" s="315"/>
      <c r="M50" s="315">
        <f>E50*I50/1000</f>
        <v>0</v>
      </c>
      <c r="N50" s="300">
        <f>T50*E50</f>
        <v>0</v>
      </c>
      <c r="Q50" s="11"/>
      <c r="R50" s="11"/>
      <c r="S50" s="11"/>
      <c r="T50" s="11">
        <f>VLOOKUP($C50,'Calculation engine'!$W$8:$AB$72,5,FALSE)</f>
        <v>0</v>
      </c>
    </row>
    <row r="51" spans="2:20" ht="15" customHeight="1" x14ac:dyDescent="0.25">
      <c r="B51" s="185"/>
      <c r="C51" s="165"/>
      <c r="D51" s="165"/>
      <c r="E51" s="166"/>
      <c r="F51" s="166"/>
      <c r="G51" s="350" t="s">
        <v>174</v>
      </c>
      <c r="H51" s="350"/>
      <c r="I51" s="350"/>
      <c r="J51" s="350"/>
      <c r="K51" s="350"/>
      <c r="L51" s="350"/>
      <c r="M51" s="191"/>
      <c r="N51" s="302">
        <f>SUM(N48:N50)</f>
        <v>0</v>
      </c>
    </row>
    <row r="52" spans="2:20" ht="15" customHeight="1" x14ac:dyDescent="0.25">
      <c r="B52" s="174"/>
      <c r="C52" s="174"/>
      <c r="D52" s="174"/>
      <c r="E52" s="162"/>
      <c r="F52" s="162"/>
      <c r="G52" s="188"/>
      <c r="H52" s="188"/>
      <c r="I52" s="188"/>
      <c r="J52" s="188"/>
      <c r="K52" s="188"/>
      <c r="L52" s="188"/>
      <c r="M52" s="27"/>
      <c r="N52" s="232"/>
    </row>
    <row r="53" spans="2:20" ht="15" customHeight="1" x14ac:dyDescent="0.35">
      <c r="B53" s="178"/>
      <c r="C53" s="353" t="s">
        <v>337</v>
      </c>
      <c r="D53" s="308"/>
      <c r="E53" s="354"/>
      <c r="F53" s="308"/>
      <c r="G53" s="354"/>
      <c r="H53" s="179"/>
      <c r="I53" s="355" t="s">
        <v>338</v>
      </c>
      <c r="J53" s="355"/>
      <c r="K53" s="355"/>
      <c r="L53" s="179"/>
      <c r="M53" s="308" t="s">
        <v>7</v>
      </c>
      <c r="N53" s="69"/>
    </row>
    <row r="54" spans="2:20" ht="15" customHeight="1" x14ac:dyDescent="0.25">
      <c r="B54" s="180"/>
      <c r="C54" s="334"/>
      <c r="D54" s="309"/>
      <c r="E54" s="352"/>
      <c r="F54" s="309"/>
      <c r="G54" s="352"/>
      <c r="H54" s="74"/>
      <c r="I54" s="1" t="s">
        <v>329</v>
      </c>
      <c r="J54" s="1" t="s">
        <v>330</v>
      </c>
      <c r="K54" s="1" t="s">
        <v>331</v>
      </c>
      <c r="L54" s="309"/>
      <c r="M54" s="1" t="s">
        <v>332</v>
      </c>
      <c r="N54" s="181"/>
    </row>
    <row r="55" spans="2:20" ht="15" customHeight="1" x14ac:dyDescent="0.25">
      <c r="B55" s="182"/>
      <c r="C55" s="161" t="s">
        <v>339</v>
      </c>
      <c r="D55" s="161"/>
      <c r="E55" s="161"/>
      <c r="F55" s="161"/>
      <c r="G55" s="161"/>
      <c r="H55" s="160"/>
      <c r="I55" s="233"/>
      <c r="J55" s="233"/>
      <c r="K55" s="233"/>
      <c r="L55" s="160"/>
      <c r="M55" s="234"/>
      <c r="N55" s="184"/>
      <c r="Q55" s="2">
        <v>0</v>
      </c>
    </row>
    <row r="56" spans="2:20" s="12" customFormat="1" ht="15" customHeight="1" x14ac:dyDescent="0.25">
      <c r="B56" s="182"/>
      <c r="C56" s="186"/>
      <c r="D56" s="160"/>
      <c r="E56" s="261"/>
      <c r="F56" s="161"/>
      <c r="G56" s="161"/>
      <c r="H56" s="183"/>
      <c r="I56" s="235">
        <v>0</v>
      </c>
      <c r="J56" s="235">
        <v>0</v>
      </c>
      <c r="K56" s="235">
        <v>0</v>
      </c>
      <c r="L56" s="312"/>
      <c r="M56" s="299">
        <f>SUM(I56:K56)</f>
        <v>0</v>
      </c>
      <c r="N56" s="164"/>
      <c r="Q56" s="12">
        <v>25000</v>
      </c>
    </row>
    <row r="57" spans="2:20" s="12" customFormat="1" ht="15" customHeight="1" x14ac:dyDescent="0.25">
      <c r="B57" s="182"/>
      <c r="C57" s="186"/>
      <c r="D57" s="160"/>
      <c r="E57" s="261"/>
      <c r="F57" s="161"/>
      <c r="G57" s="161"/>
      <c r="H57" s="183"/>
      <c r="I57" s="235">
        <v>0</v>
      </c>
      <c r="J57" s="235">
        <v>0</v>
      </c>
      <c r="K57" s="235">
        <v>0</v>
      </c>
      <c r="L57" s="312"/>
      <c r="M57" s="299">
        <f>SUM(I57:K57)</f>
        <v>0</v>
      </c>
      <c r="N57" s="164">
        <f t="shared" ref="N57" si="6">T57*E57</f>
        <v>0</v>
      </c>
    </row>
    <row r="58" spans="2:20" s="12" customFormat="1" ht="15" customHeight="1" x14ac:dyDescent="0.25">
      <c r="B58" s="185"/>
      <c r="C58" s="165"/>
      <c r="D58" s="165"/>
      <c r="E58" s="166"/>
      <c r="F58" s="166"/>
      <c r="G58" s="350" t="s">
        <v>340</v>
      </c>
      <c r="H58" s="350"/>
      <c r="I58" s="350"/>
      <c r="J58" s="350"/>
      <c r="K58" s="350"/>
      <c r="L58" s="350"/>
      <c r="M58" s="301">
        <f>SUM(M56:M57)</f>
        <v>0</v>
      </c>
      <c r="N58" s="167"/>
    </row>
    <row r="59" spans="2:20" s="12" customFormat="1" ht="15" customHeight="1" x14ac:dyDescent="0.25">
      <c r="B59" s="8"/>
      <c r="C59" s="8"/>
      <c r="D59" s="8"/>
      <c r="E59" s="8"/>
      <c r="F59" s="8"/>
      <c r="G59" s="8"/>
      <c r="H59" s="8"/>
      <c r="I59" s="8"/>
      <c r="J59" s="8"/>
      <c r="K59" s="8"/>
      <c r="L59" s="8"/>
      <c r="M59" s="8"/>
      <c r="N59" s="8"/>
    </row>
    <row r="60" spans="2:20" s="12" customFormat="1" ht="15" customHeight="1" x14ac:dyDescent="0.25">
      <c r="B60" s="192"/>
      <c r="C60" s="332" t="s">
        <v>194</v>
      </c>
      <c r="D60" s="351" t="s">
        <v>318</v>
      </c>
      <c r="E60" s="351"/>
      <c r="F60" s="351"/>
      <c r="G60" s="351"/>
      <c r="H60" s="193"/>
      <c r="I60" s="194"/>
      <c r="J60" s="195"/>
      <c r="K60" s="195"/>
      <c r="L60" s="351" t="s">
        <v>319</v>
      </c>
      <c r="M60" s="351"/>
      <c r="N60" s="196"/>
    </row>
    <row r="61" spans="2:20" s="12" customFormat="1" ht="15" customHeight="1" x14ac:dyDescent="0.25">
      <c r="B61" s="168"/>
      <c r="C61" s="334"/>
      <c r="D61" s="352"/>
      <c r="E61" s="352"/>
      <c r="F61" s="352"/>
      <c r="G61" s="352"/>
      <c r="H61" s="74"/>
      <c r="I61" s="1"/>
      <c r="J61" s="197"/>
      <c r="K61" s="197"/>
      <c r="L61" s="352"/>
      <c r="M61" s="352"/>
      <c r="N61" s="198"/>
    </row>
    <row r="62" spans="2:20" s="12" customFormat="1" ht="15" customHeight="1" x14ac:dyDescent="0.25">
      <c r="B62" s="168"/>
      <c r="C62" s="72" t="s">
        <v>204</v>
      </c>
      <c r="D62" s="336">
        <f>M16+M28+M58</f>
        <v>0</v>
      </c>
      <c r="E62" s="336"/>
      <c r="F62" s="162"/>
      <c r="G62" s="39" t="s">
        <v>335</v>
      </c>
      <c r="H62" s="39"/>
      <c r="I62" s="39"/>
      <c r="J62" s="39"/>
      <c r="K62" s="39"/>
      <c r="L62" s="313">
        <f>IFERROR((D62/'Facility 4'!$N$4)*Output!$N$2,0)</f>
        <v>0</v>
      </c>
      <c r="M62" s="225" t="s">
        <v>335</v>
      </c>
      <c r="N62" s="169"/>
    </row>
    <row r="63" spans="2:20" s="12" customFormat="1" ht="15" customHeight="1" x14ac:dyDescent="0.25">
      <c r="B63" s="170"/>
      <c r="C63" s="72" t="s">
        <v>205</v>
      </c>
      <c r="D63" s="336">
        <f>M35</f>
        <v>0</v>
      </c>
      <c r="E63" s="336"/>
      <c r="F63" s="162"/>
      <c r="G63" s="39" t="s">
        <v>335</v>
      </c>
      <c r="H63" s="39"/>
      <c r="I63" s="39"/>
      <c r="J63" s="39"/>
      <c r="K63" s="39"/>
      <c r="L63" s="313">
        <f>IFERROR((D63/'Facility 4'!$N$4)*Output!$N$2,0)</f>
        <v>0</v>
      </c>
      <c r="M63" s="225" t="s">
        <v>335</v>
      </c>
      <c r="N63" s="55"/>
    </row>
    <row r="64" spans="2:20" ht="15" customHeight="1" x14ac:dyDescent="0.25">
      <c r="B64" s="170"/>
      <c r="C64" s="17" t="s">
        <v>122</v>
      </c>
      <c r="D64" s="342">
        <f>D62+D63</f>
        <v>0</v>
      </c>
      <c r="E64" s="343"/>
      <c r="F64" s="162"/>
      <c r="G64" s="226" t="s">
        <v>336</v>
      </c>
      <c r="H64" s="226"/>
      <c r="I64" s="39"/>
      <c r="J64" s="39"/>
      <c r="K64" s="39"/>
      <c r="L64" s="303">
        <f>IFERROR((D64/'Facility 4'!$N$4)*Output!$N$2,0)</f>
        <v>0</v>
      </c>
      <c r="M64" s="227" t="s">
        <v>336</v>
      </c>
      <c r="N64" s="316"/>
    </row>
    <row r="65" spans="2:14" ht="15" customHeight="1" x14ac:dyDescent="0.25">
      <c r="B65" s="170"/>
      <c r="C65" s="18" t="s">
        <v>123</v>
      </c>
      <c r="D65" s="344">
        <f>N16+N28+N35+N43</f>
        <v>0</v>
      </c>
      <c r="E65" s="345"/>
      <c r="F65" s="228"/>
      <c r="G65" s="57" t="s">
        <v>125</v>
      </c>
      <c r="H65" s="57"/>
      <c r="I65" s="229"/>
      <c r="J65" s="229"/>
      <c r="K65" s="229"/>
      <c r="L65" s="303">
        <f>IFERROR((D65/'Facility 4'!$N$4)*Output!$N$2,0)</f>
        <v>0</v>
      </c>
      <c r="M65" s="96" t="s">
        <v>125</v>
      </c>
      <c r="N65" s="61"/>
    </row>
    <row r="66" spans="2:14" ht="15" customHeight="1" x14ac:dyDescent="0.25">
      <c r="B66" s="171"/>
      <c r="C66" s="20" t="s">
        <v>195</v>
      </c>
      <c r="D66" s="346">
        <f>N51</f>
        <v>0</v>
      </c>
      <c r="E66" s="347"/>
      <c r="F66" s="230"/>
      <c r="G66" s="63" t="s">
        <v>125</v>
      </c>
      <c r="H66" s="63"/>
      <c r="I66" s="231"/>
      <c r="J66" s="231"/>
      <c r="K66" s="231"/>
      <c r="L66" s="304">
        <f>IFERROR((D66/'Facility 4'!$N$4)*Output!$N$2,0)</f>
        <v>0</v>
      </c>
      <c r="M66" s="97" t="s">
        <v>125</v>
      </c>
      <c r="N66" s="67"/>
    </row>
    <row r="67" spans="2:14" ht="15" customHeight="1" x14ac:dyDescent="0.25">
      <c r="B67" s="172"/>
      <c r="C67" s="19"/>
      <c r="D67" s="16"/>
      <c r="E67" s="16"/>
      <c r="F67" s="15"/>
      <c r="G67" s="15"/>
      <c r="H67" s="15"/>
      <c r="I67" s="13"/>
      <c r="J67" s="13"/>
      <c r="K67" s="13"/>
      <c r="L67" s="13"/>
      <c r="M67" s="14"/>
      <c r="N67" s="14"/>
    </row>
    <row r="68" spans="2:14" ht="15" customHeight="1" x14ac:dyDescent="0.25">
      <c r="B68" s="173"/>
      <c r="C68" s="332" t="s">
        <v>320</v>
      </c>
      <c r="D68" s="332"/>
      <c r="E68" s="332"/>
      <c r="F68" s="332"/>
      <c r="G68" s="332"/>
      <c r="H68" s="332"/>
      <c r="I68" s="332"/>
      <c r="J68" s="332"/>
      <c r="K68" s="332"/>
      <c r="L68" s="332"/>
      <c r="M68" s="332"/>
      <c r="N68" s="333"/>
    </row>
    <row r="69" spans="2:14" ht="15" customHeight="1" x14ac:dyDescent="0.25">
      <c r="B69" s="21"/>
      <c r="C69" s="334"/>
      <c r="D69" s="334"/>
      <c r="E69" s="334"/>
      <c r="F69" s="334"/>
      <c r="G69" s="334"/>
      <c r="H69" s="334"/>
      <c r="I69" s="334"/>
      <c r="J69" s="334"/>
      <c r="K69" s="334"/>
      <c r="L69" s="334"/>
      <c r="M69" s="334"/>
      <c r="N69" s="335"/>
    </row>
    <row r="70" spans="2:14" ht="15" customHeight="1" x14ac:dyDescent="0.25">
      <c r="B70" s="22"/>
      <c r="C70" s="330" t="s">
        <v>207</v>
      </c>
      <c r="D70" s="33"/>
      <c r="E70" s="34" t="s">
        <v>241</v>
      </c>
      <c r="F70" s="341" t="str">
        <f>IF(L64&gt;=25000,"You may have triggered the emissions reporting threshold for this facility. Please contact the Clean Energy Regulator",IF(L64&gt;21000, "You are close to the emissions reporting threshold for this facility. Please contact the Clean Energy Regulator",""))</f>
        <v/>
      </c>
      <c r="G70" s="341"/>
      <c r="H70" s="341"/>
      <c r="I70" s="341"/>
      <c r="J70" s="341"/>
      <c r="K70" s="341"/>
      <c r="L70" s="341"/>
      <c r="M70" s="341"/>
      <c r="N70" s="35" t="s">
        <v>242</v>
      </c>
    </row>
    <row r="71" spans="2:14" ht="15" customHeight="1" x14ac:dyDescent="0.3">
      <c r="B71" s="168"/>
      <c r="C71" s="330"/>
      <c r="D71" s="36"/>
      <c r="E71" s="337">
        <f>L64</f>
        <v>0</v>
      </c>
      <c r="F71" s="337"/>
      <c r="G71" s="337"/>
      <c r="H71" s="337"/>
      <c r="I71" s="337"/>
      <c r="J71" s="337"/>
      <c r="K71" s="337"/>
      <c r="L71" s="337"/>
      <c r="M71" s="337"/>
      <c r="N71" s="338"/>
    </row>
    <row r="72" spans="2:14" ht="15" customHeight="1" x14ac:dyDescent="0.3">
      <c r="B72" s="168"/>
      <c r="C72" s="330" t="s">
        <v>206</v>
      </c>
      <c r="D72" s="36"/>
      <c r="E72" s="37" t="s">
        <v>203</v>
      </c>
      <c r="F72" s="348" t="str">
        <f>IF(L65&gt;=100000,"You may have triggered the energy reporting threshold for this facility. Please contact the Clean Energy Regulator",IF(L65&gt;90000, "You are close to the energy reporting threshold for this facility. Please contact the Clean Energy Regulator",""))</f>
        <v/>
      </c>
      <c r="G72" s="348"/>
      <c r="H72" s="348"/>
      <c r="I72" s="348"/>
      <c r="J72" s="348"/>
      <c r="K72" s="348"/>
      <c r="L72" s="348"/>
      <c r="M72" s="348"/>
      <c r="N72" s="38" t="s">
        <v>218</v>
      </c>
    </row>
    <row r="73" spans="2:14" ht="17.45" customHeight="1" x14ac:dyDescent="0.25">
      <c r="B73" s="168"/>
      <c r="C73" s="330"/>
      <c r="D73" s="174"/>
      <c r="E73" s="337">
        <f>L65</f>
        <v>0</v>
      </c>
      <c r="F73" s="337"/>
      <c r="G73" s="337"/>
      <c r="H73" s="337"/>
      <c r="I73" s="337"/>
      <c r="J73" s="337"/>
      <c r="K73" s="337"/>
      <c r="L73" s="337"/>
      <c r="M73" s="337"/>
      <c r="N73" s="338"/>
    </row>
    <row r="74" spans="2:14" ht="17.45" customHeight="1" x14ac:dyDescent="0.25">
      <c r="B74" s="168"/>
      <c r="C74" s="330" t="s">
        <v>208</v>
      </c>
      <c r="D74" s="174"/>
      <c r="E74" s="37" t="s">
        <v>203</v>
      </c>
      <c r="F74" s="348" t="str">
        <f>IF(L66&gt;=100000,"You may have triggered the energy reporting threshold for this facility. Please contact the Clean Energy Regulator",IF(L66&gt;90000, "You are close to the energy reporting threshold for this facility. Please contact the Clean Energy Regulator",""))</f>
        <v/>
      </c>
      <c r="G74" s="348"/>
      <c r="H74" s="348"/>
      <c r="I74" s="348"/>
      <c r="J74" s="348"/>
      <c r="K74" s="348"/>
      <c r="L74" s="348"/>
      <c r="M74" s="348"/>
      <c r="N74" s="38" t="s">
        <v>218</v>
      </c>
    </row>
    <row r="75" spans="2:14" ht="17.45" customHeight="1" x14ac:dyDescent="0.25">
      <c r="B75" s="175"/>
      <c r="C75" s="331"/>
      <c r="D75" s="176"/>
      <c r="E75" s="339">
        <f>L66</f>
        <v>0</v>
      </c>
      <c r="F75" s="339"/>
      <c r="G75" s="339"/>
      <c r="H75" s="339"/>
      <c r="I75" s="339"/>
      <c r="J75" s="339"/>
      <c r="K75" s="339"/>
      <c r="L75" s="339"/>
      <c r="M75" s="339"/>
      <c r="N75" s="340"/>
    </row>
    <row r="76" spans="2:14" ht="17.45" customHeight="1" x14ac:dyDescent="0.25">
      <c r="B76" s="6"/>
      <c r="C76" s="6"/>
      <c r="D76" s="6"/>
      <c r="E76" s="6"/>
      <c r="F76" s="6"/>
      <c r="G76" s="6"/>
      <c r="H76" s="6"/>
      <c r="I76" s="6"/>
      <c r="J76" s="6"/>
      <c r="K76" s="6"/>
      <c r="L76" s="6"/>
      <c r="M76" s="6"/>
      <c r="N76" s="6"/>
    </row>
    <row r="77" spans="2:14" ht="17.45" hidden="1" customHeight="1" x14ac:dyDescent="0.25"/>
    <row r="78" spans="2:14" ht="17.45" hidden="1" customHeight="1" x14ac:dyDescent="0.25"/>
    <row r="79" spans="2:14" ht="17.45" hidden="1" customHeight="1" x14ac:dyDescent="0.25"/>
    <row r="80" spans="2:14" ht="17.45" hidden="1" customHeight="1" x14ac:dyDescent="0.25"/>
    <row r="81" ht="17.45" hidden="1" customHeight="1" x14ac:dyDescent="0.25"/>
    <row r="82" ht="17.45" hidden="1" customHeight="1" x14ac:dyDescent="0.25"/>
    <row r="83" ht="17.45" hidden="1" customHeight="1" x14ac:dyDescent="0.25"/>
    <row r="84" ht="17.45" hidden="1" customHeight="1" x14ac:dyDescent="0.25"/>
    <row r="85" ht="17.45" hidden="1" customHeight="1" x14ac:dyDescent="0.25"/>
    <row r="86" ht="17.45" hidden="1" customHeight="1" x14ac:dyDescent="0.25"/>
    <row r="87" ht="17.45" hidden="1" customHeight="1" x14ac:dyDescent="0.25"/>
    <row r="88" ht="17.45" hidden="1" customHeight="1" x14ac:dyDescent="0.25"/>
    <row r="89" ht="17.45" hidden="1" customHeight="1" x14ac:dyDescent="0.25"/>
    <row r="90" ht="17.45" hidden="1" customHeight="1" x14ac:dyDescent="0.25"/>
    <row r="91" ht="17.45" hidden="1" customHeight="1" x14ac:dyDescent="0.25"/>
    <row r="92" ht="17.45" hidden="1" customHeight="1" x14ac:dyDescent="0.25"/>
    <row r="93" ht="17.45" hidden="1" customHeight="1" x14ac:dyDescent="0.25"/>
    <row r="94" ht="17.45" hidden="1" customHeight="1" x14ac:dyDescent="0.25"/>
    <row r="95" ht="17.45" hidden="1" customHeight="1" x14ac:dyDescent="0.25"/>
    <row r="96" ht="17.45" hidden="1" customHeight="1" x14ac:dyDescent="0.25"/>
    <row r="97" ht="17.45" hidden="1" customHeight="1" x14ac:dyDescent="0.25"/>
    <row r="98" ht="17.45" hidden="1" customHeight="1" x14ac:dyDescent="0.25"/>
  </sheetData>
  <sheetProtection algorithmName="SHA-256" hashValue="KqZB+bvPrtkFpxutOe+Jq9Ay0+jfhjtSysV3Gfkom9Q=" saltValue="1sdDeRBW21HkVkmlsuUsHA==" spinCount="100000" sheet="1" objects="1" scenarios="1" selectLockedCells="1"/>
  <mergeCells count="55">
    <mergeCell ref="C72:C73"/>
    <mergeCell ref="F72:M72"/>
    <mergeCell ref="E73:N73"/>
    <mergeCell ref="C74:C75"/>
    <mergeCell ref="F74:M74"/>
    <mergeCell ref="E75:N75"/>
    <mergeCell ref="D65:E65"/>
    <mergeCell ref="D66:E66"/>
    <mergeCell ref="C68:N69"/>
    <mergeCell ref="C70:C71"/>
    <mergeCell ref="F70:M70"/>
    <mergeCell ref="E71:N71"/>
    <mergeCell ref="D64:E64"/>
    <mergeCell ref="G51:L51"/>
    <mergeCell ref="C53:C54"/>
    <mergeCell ref="E53:E54"/>
    <mergeCell ref="G53:G54"/>
    <mergeCell ref="I53:K53"/>
    <mergeCell ref="G58:L58"/>
    <mergeCell ref="C60:C61"/>
    <mergeCell ref="D60:G61"/>
    <mergeCell ref="L60:M61"/>
    <mergeCell ref="D62:E62"/>
    <mergeCell ref="D63:E63"/>
    <mergeCell ref="J50:K50"/>
    <mergeCell ref="G35:L35"/>
    <mergeCell ref="C37:C38"/>
    <mergeCell ref="E37:E38"/>
    <mergeCell ref="G37:G38"/>
    <mergeCell ref="I37:K37"/>
    <mergeCell ref="J42:K42"/>
    <mergeCell ref="G43:L43"/>
    <mergeCell ref="C45:C46"/>
    <mergeCell ref="E45:E46"/>
    <mergeCell ref="G45:G46"/>
    <mergeCell ref="I45:K45"/>
    <mergeCell ref="J34:L34"/>
    <mergeCell ref="G16:L16"/>
    <mergeCell ref="C18:C19"/>
    <mergeCell ref="E18:E19"/>
    <mergeCell ref="G18:G19"/>
    <mergeCell ref="I18:K18"/>
    <mergeCell ref="G28:L28"/>
    <mergeCell ref="C30:C31"/>
    <mergeCell ref="E30:E31"/>
    <mergeCell ref="G30:G31"/>
    <mergeCell ref="I30:K30"/>
    <mergeCell ref="J33:L33"/>
    <mergeCell ref="C2:N2"/>
    <mergeCell ref="E4:H4"/>
    <mergeCell ref="J4:L4"/>
    <mergeCell ref="C6:C7"/>
    <mergeCell ref="E6:E7"/>
    <mergeCell ref="G6:G7"/>
    <mergeCell ref="I6:K6"/>
  </mergeCells>
  <conditionalFormatting sqref="I41 I33:I34">
    <cfRule type="cellIs" dxfId="54" priority="17" operator="equal">
      <formula>0.64</formula>
    </cfRule>
  </conditionalFormatting>
  <conditionalFormatting sqref="I41:M41 C65 M33:N34 I33:J34">
    <cfRule type="cellIs" dxfId="53" priority="16" operator="equal">
      <formula>0</formula>
    </cfRule>
  </conditionalFormatting>
  <conditionalFormatting sqref="I40:N40 J42 L42:M42 N41:N42">
    <cfRule type="cellIs" dxfId="52" priority="15" operator="equal">
      <formula>0</formula>
    </cfRule>
  </conditionalFormatting>
  <conditionalFormatting sqref="I49:M49">
    <cfRule type="aboveAverage" dxfId="51" priority="14"/>
  </conditionalFormatting>
  <conditionalFormatting sqref="I48:N48 J50 L50:M50 N49:N50">
    <cfRule type="cellIs" dxfId="50" priority="13" operator="equal">
      <formula>0</formula>
    </cfRule>
  </conditionalFormatting>
  <conditionalFormatting sqref="G64:I64 G62:G63">
    <cfRule type="dataBar" priority="12">
      <dataBar>
        <cfvo type="min"/>
        <cfvo type="max"/>
        <color rgb="FF638EC6"/>
      </dataBar>
      <extLst>
        <ext xmlns:x14="http://schemas.microsoft.com/office/spreadsheetml/2009/9/main" uri="{B025F937-C7B1-47D3-B67F-A62EFF666E3E}">
          <x14:id>{3C2DC4E4-0E89-490A-80E6-3A3A2CA94202}</x14:id>
        </ext>
      </extLst>
    </cfRule>
  </conditionalFormatting>
  <conditionalFormatting sqref="I9:N15">
    <cfRule type="cellIs" dxfId="49" priority="11" operator="equal">
      <formula>0</formula>
    </cfRule>
  </conditionalFormatting>
  <conditionalFormatting sqref="E71:N71">
    <cfRule type="dataBar" priority="10">
      <dataBar>
        <cfvo type="num" val="0"/>
        <cfvo type="num" val="25000"/>
        <color rgb="FF638EC6"/>
      </dataBar>
      <extLst>
        <ext xmlns:x14="http://schemas.microsoft.com/office/spreadsheetml/2009/9/main" uri="{B025F937-C7B1-47D3-B67F-A62EFF666E3E}">
          <x14:id>{7D89524D-71B9-4EC2-B0AE-F7EF5700C493}</x14:id>
        </ext>
      </extLst>
    </cfRule>
  </conditionalFormatting>
  <conditionalFormatting sqref="E73:N73">
    <cfRule type="dataBar" priority="9">
      <dataBar>
        <cfvo type="num" val="0"/>
        <cfvo type="num" val="100000"/>
        <color rgb="FF638EC6"/>
      </dataBar>
      <extLst>
        <ext xmlns:x14="http://schemas.microsoft.com/office/spreadsheetml/2009/9/main" uri="{B025F937-C7B1-47D3-B67F-A62EFF666E3E}">
          <x14:id>{C55C9143-8832-444B-B70C-21152BDD89A5}</x14:id>
        </ext>
      </extLst>
    </cfRule>
  </conditionalFormatting>
  <conditionalFormatting sqref="E75:N75">
    <cfRule type="dataBar" priority="8">
      <dataBar>
        <cfvo type="num" val="0"/>
        <cfvo type="num" val="100000"/>
        <color rgb="FF638EC6"/>
      </dataBar>
      <extLst>
        <ext xmlns:x14="http://schemas.microsoft.com/office/spreadsheetml/2009/9/main" uri="{B025F937-C7B1-47D3-B67F-A62EFF666E3E}">
          <x14:id>{CC7D77FD-860E-468F-870A-5E44754F389F}</x14:id>
        </ext>
      </extLst>
    </cfRule>
  </conditionalFormatting>
  <conditionalFormatting sqref="G21:N27">
    <cfRule type="cellIs" dxfId="48" priority="7" operator="equal">
      <formula>0</formula>
    </cfRule>
  </conditionalFormatting>
  <conditionalFormatting sqref="H40:N42">
    <cfRule type="cellIs" dxfId="47" priority="6" operator="equal">
      <formula>0</formula>
    </cfRule>
  </conditionalFormatting>
  <conditionalFormatting sqref="H48:N50">
    <cfRule type="cellIs" dxfId="46" priority="5" operator="equal">
      <formula>0</formula>
    </cfRule>
  </conditionalFormatting>
  <conditionalFormatting sqref="N4">
    <cfRule type="expression" dxfId="45" priority="3">
      <formula>M4="No specific period"</formula>
    </cfRule>
    <cfRule type="cellIs" dxfId="44" priority="4" operator="equal">
      <formula>"# of days?"</formula>
    </cfRule>
  </conditionalFormatting>
  <conditionalFormatting sqref="M62:M64">
    <cfRule type="dataBar" priority="2">
      <dataBar>
        <cfvo type="min"/>
        <cfvo type="max"/>
        <color rgb="FF638EC6"/>
      </dataBar>
      <extLst>
        <ext xmlns:x14="http://schemas.microsoft.com/office/spreadsheetml/2009/9/main" uri="{B025F937-C7B1-47D3-B67F-A62EFF666E3E}">
          <x14:id>{6E3ED9F3-9BCE-4CBA-8A28-0E4663D591D1}</x14:id>
        </ext>
      </extLst>
    </cfRule>
  </conditionalFormatting>
  <conditionalFormatting sqref="L57 N57">
    <cfRule type="cellIs" dxfId="43" priority="1" operator="equal">
      <formula>0</formula>
    </cfRule>
  </conditionalFormatting>
  <dataValidations count="1">
    <dataValidation type="list" allowBlank="1" showInputMessage="1" showErrorMessage="1" sqref="M4" xr:uid="{00000000-0002-0000-0400-000000000000}">
      <formula1>$Q$3:$Q$4</formula1>
    </dataValidation>
  </dataValidations>
  <pageMargins left="0.7" right="0.7" top="0.75" bottom="0.75" header="0.3" footer="0.3"/>
  <pageSetup paperSize="9" scale="66" orientation="landscape" r:id="rId1"/>
  <drawing r:id="rId2"/>
  <extLst>
    <ext xmlns:x14="http://schemas.microsoft.com/office/spreadsheetml/2009/9/main" uri="{78C0D931-6437-407d-A8EE-F0AAD7539E65}">
      <x14:conditionalFormattings>
        <x14:conditionalFormatting xmlns:xm="http://schemas.microsoft.com/office/excel/2006/main">
          <x14:cfRule type="dataBar" id="{3C2DC4E4-0E89-490A-80E6-3A3A2CA94202}">
            <x14:dataBar minLength="0" maxLength="100" border="1" negativeBarBorderColorSameAsPositive="0">
              <x14:cfvo type="autoMin"/>
              <x14:cfvo type="autoMax"/>
              <x14:borderColor rgb="FF638EC6"/>
              <x14:negativeFillColor rgb="FFFF0000"/>
              <x14:negativeBorderColor rgb="FFFF0000"/>
              <x14:axisColor rgb="FF000000"/>
            </x14:dataBar>
          </x14:cfRule>
          <xm:sqref>G64:I64 G62:G63</xm:sqref>
        </x14:conditionalFormatting>
        <x14:conditionalFormatting xmlns:xm="http://schemas.microsoft.com/office/excel/2006/main">
          <x14:cfRule type="dataBar" id="{7D89524D-71B9-4EC2-B0AE-F7EF5700C493}">
            <x14:dataBar minLength="0" maxLength="100" gradient="0">
              <x14:cfvo type="num">
                <xm:f>0</xm:f>
              </x14:cfvo>
              <x14:cfvo type="num">
                <xm:f>25000</xm:f>
              </x14:cfvo>
              <x14:negativeFillColor rgb="FFFF0000"/>
              <x14:axisColor rgb="FF000000"/>
            </x14:dataBar>
          </x14:cfRule>
          <xm:sqref>E71:N71</xm:sqref>
        </x14:conditionalFormatting>
        <x14:conditionalFormatting xmlns:xm="http://schemas.microsoft.com/office/excel/2006/main">
          <x14:cfRule type="dataBar" id="{C55C9143-8832-444B-B70C-21152BDD89A5}">
            <x14:dataBar minLength="0" maxLength="100" gradient="0">
              <x14:cfvo type="num">
                <xm:f>0</xm:f>
              </x14:cfvo>
              <x14:cfvo type="num">
                <xm:f>100000</xm:f>
              </x14:cfvo>
              <x14:negativeFillColor rgb="FFFF0000"/>
              <x14:axisColor rgb="FF000000"/>
            </x14:dataBar>
          </x14:cfRule>
          <xm:sqref>E73:N73</xm:sqref>
        </x14:conditionalFormatting>
        <x14:conditionalFormatting xmlns:xm="http://schemas.microsoft.com/office/excel/2006/main">
          <x14:cfRule type="dataBar" id="{CC7D77FD-860E-468F-870A-5E44754F389F}">
            <x14:dataBar minLength="0" maxLength="100" gradient="0">
              <x14:cfvo type="num">
                <xm:f>0</xm:f>
              </x14:cfvo>
              <x14:cfvo type="num">
                <xm:f>100000</xm:f>
              </x14:cfvo>
              <x14:negativeFillColor rgb="FFFF0000"/>
              <x14:axisColor rgb="FF000000"/>
            </x14:dataBar>
          </x14:cfRule>
          <xm:sqref>E75:N75</xm:sqref>
        </x14:conditionalFormatting>
        <x14:conditionalFormatting xmlns:xm="http://schemas.microsoft.com/office/excel/2006/main">
          <x14:cfRule type="dataBar" id="{6E3ED9F3-9BCE-4CBA-8A28-0E4663D591D1}">
            <x14:dataBar minLength="0" maxLength="100" border="1" negativeBarBorderColorSameAsPositive="0">
              <x14:cfvo type="autoMin"/>
              <x14:cfvo type="autoMax"/>
              <x14:borderColor rgb="FF638EC6"/>
              <x14:negativeFillColor rgb="FFFF0000"/>
              <x14:negativeBorderColor rgb="FFFF0000"/>
              <x14:axisColor rgb="FF000000"/>
            </x14:dataBar>
          </x14:cfRule>
          <xm:sqref>M62:M64</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1000000}">
          <x14:formula1>
            <xm:f>'Calculation engine'!$W$8:$W$72</xm:f>
          </x14:formula1>
          <xm:sqref>C48:C50</xm:sqref>
        </x14:dataValidation>
        <x14:dataValidation type="list" allowBlank="1" showInputMessage="1" showErrorMessage="1" xr:uid="{00000000-0002-0000-0400-000002000000}">
          <x14:formula1>
            <xm:f>'Calculation engine'!$AD$8:$AD$78</xm:f>
          </x14:formula1>
          <xm:sqref>C40:C42</xm:sqref>
        </x14:dataValidation>
        <x14:dataValidation type="list" allowBlank="1" showInputMessage="1" showErrorMessage="1" xr:uid="{00000000-0002-0000-0400-000003000000}">
          <x14:formula1>
            <xm:f>'Calculation engine'!$Q$10:$Q$19</xm:f>
          </x14:formula1>
          <xm:sqref>C33:C34</xm:sqref>
        </x14:dataValidation>
        <x14:dataValidation type="list" allowBlank="1" showInputMessage="1" showErrorMessage="1" xr:uid="{00000000-0002-0000-0400-000004000000}">
          <x14:formula1>
            <xm:f>'Calculation engine'!$I$8:$I$62</xm:f>
          </x14:formula1>
          <xm:sqref>C21:C27</xm:sqref>
        </x14:dataValidation>
        <x14:dataValidation type="list" allowBlank="1" showInputMessage="1" showErrorMessage="1" xr:uid="{00000000-0002-0000-0400-000005000000}">
          <x14:formula1>
            <xm:f>'Calculation engine'!$B$8:$B$28</xm:f>
          </x14:formula1>
          <xm:sqref>C9:C15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T98"/>
  <sheetViews>
    <sheetView showRowColHeaders="0" zoomScaleNormal="100" workbookViewId="0"/>
  </sheetViews>
  <sheetFormatPr defaultColWidth="0" defaultRowHeight="15" customHeight="1" zeroHeight="1" x14ac:dyDescent="0.25"/>
  <cols>
    <col min="1" max="2" width="4" style="2" customWidth="1"/>
    <col min="3" max="3" width="67.5703125" style="2" customWidth="1"/>
    <col min="4" max="4" width="3.42578125" style="2" customWidth="1"/>
    <col min="5" max="5" width="19.7109375" style="2" customWidth="1"/>
    <col min="6" max="6" width="3.7109375" style="2" customWidth="1"/>
    <col min="7" max="8" width="9.140625" style="2" customWidth="1"/>
    <col min="9" max="9" width="13.5703125" style="2" customWidth="1"/>
    <col min="10" max="10" width="12.140625" style="2" customWidth="1"/>
    <col min="11" max="11" width="11.85546875" style="2" customWidth="1"/>
    <col min="12" max="12" width="22.5703125" style="2" customWidth="1"/>
    <col min="13" max="13" width="23.85546875" style="2" customWidth="1"/>
    <col min="14" max="14" width="23.28515625" style="2" customWidth="1"/>
    <col min="15" max="15" width="4.5703125" style="2" customWidth="1"/>
    <col min="16" max="16384" width="9.140625" style="2" hidden="1"/>
  </cols>
  <sheetData>
    <row r="1" spans="2:20" ht="203.25" customHeight="1" x14ac:dyDescent="0.25"/>
    <row r="2" spans="2:20" ht="33" customHeight="1" x14ac:dyDescent="0.25">
      <c r="B2" s="311"/>
      <c r="C2" s="360" t="s">
        <v>236</v>
      </c>
      <c r="D2" s="360"/>
      <c r="E2" s="360"/>
      <c r="F2" s="360"/>
      <c r="G2" s="360"/>
      <c r="H2" s="360"/>
      <c r="I2" s="360"/>
      <c r="J2" s="360"/>
      <c r="K2" s="360"/>
      <c r="L2" s="360"/>
      <c r="M2" s="360"/>
      <c r="N2" s="360"/>
    </row>
    <row r="3" spans="2:20" ht="15" customHeight="1" x14ac:dyDescent="0.25">
      <c r="B3" s="177"/>
      <c r="C3" s="177"/>
      <c r="D3" s="177"/>
      <c r="E3" s="177"/>
      <c r="F3" s="177"/>
      <c r="G3" s="177"/>
      <c r="H3" s="177"/>
      <c r="I3" s="177"/>
      <c r="J3" s="177"/>
      <c r="K3" s="177"/>
      <c r="L3" s="177"/>
      <c r="M3" s="177"/>
      <c r="N3" s="23" t="str">
        <f>IF(M4="Part year","Enter days below","")</f>
        <v/>
      </c>
      <c r="Q3" s="2" t="s">
        <v>226</v>
      </c>
    </row>
    <row r="4" spans="2:20" ht="15" customHeight="1" x14ac:dyDescent="0.25">
      <c r="B4" s="311"/>
      <c r="C4" s="310" t="s">
        <v>224</v>
      </c>
      <c r="D4" s="177"/>
      <c r="E4" s="361"/>
      <c r="F4" s="362"/>
      <c r="G4" s="362"/>
      <c r="H4" s="363"/>
      <c r="I4" s="177"/>
      <c r="J4" s="356" t="s">
        <v>225</v>
      </c>
      <c r="K4" s="357"/>
      <c r="L4" s="357"/>
      <c r="M4" s="73" t="s">
        <v>226</v>
      </c>
      <c r="N4" s="73">
        <f>IF(M4="Full year",365,"")</f>
        <v>365</v>
      </c>
      <c r="Q4" s="2" t="s">
        <v>227</v>
      </c>
    </row>
    <row r="5" spans="2:20" x14ac:dyDescent="0.25">
      <c r="B5" s="8"/>
      <c r="C5" s="8"/>
      <c r="D5" s="8"/>
      <c r="E5" s="8"/>
      <c r="F5" s="8"/>
      <c r="G5" s="8"/>
      <c r="H5" s="8"/>
      <c r="I5" s="8"/>
      <c r="J5" s="8"/>
      <c r="K5" s="8"/>
      <c r="L5" s="8"/>
      <c r="M5" s="8"/>
      <c r="N5" s="8"/>
    </row>
    <row r="6" spans="2:20" x14ac:dyDescent="0.25">
      <c r="B6" s="178"/>
      <c r="C6" s="353" t="s">
        <v>199</v>
      </c>
      <c r="D6" s="308"/>
      <c r="E6" s="354" t="s">
        <v>0</v>
      </c>
      <c r="F6" s="308"/>
      <c r="G6" s="354" t="s">
        <v>1</v>
      </c>
      <c r="H6" s="179"/>
      <c r="I6" s="355" t="s">
        <v>6</v>
      </c>
      <c r="J6" s="355"/>
      <c r="K6" s="355"/>
      <c r="L6" s="179"/>
      <c r="M6" s="308" t="s">
        <v>7</v>
      </c>
      <c r="N6" s="69" t="s">
        <v>5</v>
      </c>
      <c r="Q6" s="2" t="s">
        <v>190</v>
      </c>
    </row>
    <row r="7" spans="2:20" ht="14.25" customHeight="1" x14ac:dyDescent="0.25">
      <c r="B7" s="180"/>
      <c r="C7" s="334"/>
      <c r="D7" s="309"/>
      <c r="E7" s="352"/>
      <c r="F7" s="309"/>
      <c r="G7" s="352"/>
      <c r="H7" s="74"/>
      <c r="I7" s="1" t="s">
        <v>329</v>
      </c>
      <c r="J7" s="1" t="s">
        <v>330</v>
      </c>
      <c r="K7" s="1" t="s">
        <v>331</v>
      </c>
      <c r="L7" s="309"/>
      <c r="M7" s="1" t="s">
        <v>332</v>
      </c>
      <c r="N7" s="181" t="s">
        <v>8</v>
      </c>
    </row>
    <row r="8" spans="2:20" x14ac:dyDescent="0.25">
      <c r="B8" s="182"/>
      <c r="C8" s="161" t="s">
        <v>119</v>
      </c>
      <c r="D8" s="161"/>
      <c r="E8" s="161" t="s">
        <v>120</v>
      </c>
      <c r="F8" s="161"/>
      <c r="G8" s="161"/>
      <c r="H8" s="160"/>
      <c r="I8" s="160"/>
      <c r="J8" s="160"/>
      <c r="K8" s="160"/>
      <c r="L8" s="160"/>
      <c r="M8" s="160"/>
      <c r="N8" s="184"/>
      <c r="Q8" s="11" t="s">
        <v>2</v>
      </c>
      <c r="R8" s="11" t="s">
        <v>3</v>
      </c>
      <c r="S8" s="11" t="s">
        <v>4</v>
      </c>
      <c r="T8" s="11" t="s">
        <v>21</v>
      </c>
    </row>
    <row r="9" spans="2:20" ht="15" customHeight="1" x14ac:dyDescent="0.25">
      <c r="B9" s="182"/>
      <c r="C9" s="157" t="s">
        <v>112</v>
      </c>
      <c r="D9" s="160"/>
      <c r="E9" s="158"/>
      <c r="F9" s="161"/>
      <c r="G9" s="162" t="str">
        <f>VLOOKUP($C9,'Calculation engine'!$B$8:$G$28,6,FALSE)</f>
        <v>-</v>
      </c>
      <c r="H9" s="163"/>
      <c r="I9" s="299">
        <f>Q9*$N9/1000</f>
        <v>0</v>
      </c>
      <c r="J9" s="299">
        <f>R9*$N9/1000</f>
        <v>0</v>
      </c>
      <c r="K9" s="299">
        <f>S9*$N9/1000</f>
        <v>0</v>
      </c>
      <c r="L9" s="312"/>
      <c r="M9" s="299">
        <f>SUM(I9:K9)</f>
        <v>0</v>
      </c>
      <c r="N9" s="300">
        <f>T9*E9</f>
        <v>0</v>
      </c>
      <c r="Q9" s="11">
        <f>VLOOKUP($C9,'Calculation engine'!$B$8:$G$28,3,FALSE)</f>
        <v>0</v>
      </c>
      <c r="R9" s="11">
        <f>VLOOKUP($C9,'Calculation engine'!$B$8:$G$28,4,FALSE)</f>
        <v>0</v>
      </c>
      <c r="S9" s="11">
        <f>VLOOKUP($C9,'Calculation engine'!$B$8:$G$28,5,FALSE)</f>
        <v>0</v>
      </c>
      <c r="T9" s="11">
        <f>VLOOKUP($C9,'Calculation engine'!$B$8:$G$28,2,FALSE)</f>
        <v>0</v>
      </c>
    </row>
    <row r="10" spans="2:20" ht="15" customHeight="1" x14ac:dyDescent="0.25">
      <c r="B10" s="182"/>
      <c r="C10" s="157" t="s">
        <v>112</v>
      </c>
      <c r="D10" s="160"/>
      <c r="E10" s="159"/>
      <c r="F10" s="161"/>
      <c r="G10" s="162" t="str">
        <f>VLOOKUP($C10,'Calculation engine'!$B$8:$G$28,6,FALSE)</f>
        <v>-</v>
      </c>
      <c r="H10" s="163"/>
      <c r="I10" s="299">
        <f t="shared" ref="I10:K15" si="0">Q10*$N10/1000</f>
        <v>0</v>
      </c>
      <c r="J10" s="299">
        <f t="shared" si="0"/>
        <v>0</v>
      </c>
      <c r="K10" s="299">
        <f t="shared" si="0"/>
        <v>0</v>
      </c>
      <c r="L10" s="312"/>
      <c r="M10" s="299">
        <f t="shared" ref="M10:M15" si="1">SUM(I10:K10)</f>
        <v>0</v>
      </c>
      <c r="N10" s="300">
        <f t="shared" ref="N10:N15" si="2">T10*E10</f>
        <v>0</v>
      </c>
      <c r="Q10" s="11">
        <f>VLOOKUP($C10,'Calculation engine'!$B$8:$G$28,3,FALSE)</f>
        <v>0</v>
      </c>
      <c r="R10" s="11">
        <f>VLOOKUP($C10,'Calculation engine'!$B$8:$G$28,4,FALSE)</f>
        <v>0</v>
      </c>
      <c r="S10" s="11">
        <f>VLOOKUP($C10,'Calculation engine'!$B$8:$G$28,5,FALSE)</f>
        <v>0</v>
      </c>
      <c r="T10" s="11">
        <f>VLOOKUP($C10,'Calculation engine'!$B$8:$G$28,2,FALSE)</f>
        <v>0</v>
      </c>
    </row>
    <row r="11" spans="2:20" ht="15" customHeight="1" x14ac:dyDescent="0.25">
      <c r="B11" s="182"/>
      <c r="C11" s="157" t="s">
        <v>112</v>
      </c>
      <c r="D11" s="160"/>
      <c r="E11" s="159"/>
      <c r="F11" s="161"/>
      <c r="G11" s="162" t="str">
        <f>VLOOKUP($C11,'Calculation engine'!$B$8:$G$28,6,FALSE)</f>
        <v>-</v>
      </c>
      <c r="H11" s="163"/>
      <c r="I11" s="299">
        <f t="shared" si="0"/>
        <v>0</v>
      </c>
      <c r="J11" s="299">
        <f t="shared" si="0"/>
        <v>0</v>
      </c>
      <c r="K11" s="299">
        <f t="shared" si="0"/>
        <v>0</v>
      </c>
      <c r="L11" s="312"/>
      <c r="M11" s="299">
        <f>SUM(I11:K11)</f>
        <v>0</v>
      </c>
      <c r="N11" s="300">
        <f>T11*E11</f>
        <v>0</v>
      </c>
      <c r="Q11" s="11">
        <f>VLOOKUP($C11,'Calculation engine'!$B$8:$G$28,3,FALSE)</f>
        <v>0</v>
      </c>
      <c r="R11" s="11">
        <f>VLOOKUP($C11,'Calculation engine'!$B$8:$G$28,4,FALSE)</f>
        <v>0</v>
      </c>
      <c r="S11" s="11">
        <f>VLOOKUP($C11,'Calculation engine'!$B$8:$G$28,5,FALSE)</f>
        <v>0</v>
      </c>
      <c r="T11" s="11">
        <f>VLOOKUP($C11,'Calculation engine'!$B$8:$G$28,2,FALSE)</f>
        <v>0</v>
      </c>
    </row>
    <row r="12" spans="2:20" ht="15" customHeight="1" x14ac:dyDescent="0.25">
      <c r="B12" s="182"/>
      <c r="C12" s="157" t="s">
        <v>112</v>
      </c>
      <c r="D12" s="160"/>
      <c r="E12" s="159"/>
      <c r="F12" s="161"/>
      <c r="G12" s="162" t="str">
        <f>VLOOKUP($C12,'Calculation engine'!$B$8:$G$28,6,FALSE)</f>
        <v>-</v>
      </c>
      <c r="H12" s="163"/>
      <c r="I12" s="299">
        <f t="shared" si="0"/>
        <v>0</v>
      </c>
      <c r="J12" s="299">
        <f t="shared" si="0"/>
        <v>0</v>
      </c>
      <c r="K12" s="299">
        <f t="shared" si="0"/>
        <v>0</v>
      </c>
      <c r="L12" s="312"/>
      <c r="M12" s="299">
        <f>SUM(I12:K12)</f>
        <v>0</v>
      </c>
      <c r="N12" s="300">
        <f>T12*E12</f>
        <v>0</v>
      </c>
      <c r="Q12" s="11">
        <f>VLOOKUP($C12,'Calculation engine'!$B$8:$G$28,3,FALSE)</f>
        <v>0</v>
      </c>
      <c r="R12" s="11">
        <f>VLOOKUP($C12,'Calculation engine'!$B$8:$G$28,4,FALSE)</f>
        <v>0</v>
      </c>
      <c r="S12" s="11">
        <f>VLOOKUP($C12,'Calculation engine'!$B$8:$G$28,5,FALSE)</f>
        <v>0</v>
      </c>
      <c r="T12" s="11">
        <f>VLOOKUP($C12,'Calculation engine'!$B$8:$G$28,2,FALSE)</f>
        <v>0</v>
      </c>
    </row>
    <row r="13" spans="2:20" ht="15" customHeight="1" x14ac:dyDescent="0.25">
      <c r="B13" s="182"/>
      <c r="C13" s="157" t="s">
        <v>112</v>
      </c>
      <c r="D13" s="160"/>
      <c r="E13" s="159"/>
      <c r="F13" s="161"/>
      <c r="G13" s="162" t="str">
        <f>VLOOKUP($C13,'Calculation engine'!$B$8:$G$28,6,FALSE)</f>
        <v>-</v>
      </c>
      <c r="H13" s="163"/>
      <c r="I13" s="299">
        <f t="shared" si="0"/>
        <v>0</v>
      </c>
      <c r="J13" s="299">
        <f t="shared" si="0"/>
        <v>0</v>
      </c>
      <c r="K13" s="299">
        <f t="shared" si="0"/>
        <v>0</v>
      </c>
      <c r="L13" s="312"/>
      <c r="M13" s="299">
        <f>SUM(I13:K13)</f>
        <v>0</v>
      </c>
      <c r="N13" s="300">
        <f>T13*E13</f>
        <v>0</v>
      </c>
      <c r="Q13" s="11">
        <f>VLOOKUP($C13,'Calculation engine'!$B$8:$G$28,3,FALSE)</f>
        <v>0</v>
      </c>
      <c r="R13" s="11">
        <f>VLOOKUP($C13,'Calculation engine'!$B$8:$G$28,4,FALSE)</f>
        <v>0</v>
      </c>
      <c r="S13" s="11">
        <f>VLOOKUP($C13,'Calculation engine'!$B$8:$G$28,5,FALSE)</f>
        <v>0</v>
      </c>
      <c r="T13" s="11">
        <f>VLOOKUP($C13,'Calculation engine'!$B$8:$G$28,2,FALSE)</f>
        <v>0</v>
      </c>
    </row>
    <row r="14" spans="2:20" ht="15" customHeight="1" x14ac:dyDescent="0.25">
      <c r="B14" s="182"/>
      <c r="C14" s="157" t="s">
        <v>112</v>
      </c>
      <c r="D14" s="160"/>
      <c r="E14" s="159"/>
      <c r="F14" s="161"/>
      <c r="G14" s="162" t="str">
        <f>VLOOKUP($C14,'Calculation engine'!$B$8:$G$28,6,FALSE)</f>
        <v>-</v>
      </c>
      <c r="H14" s="163"/>
      <c r="I14" s="299">
        <f t="shared" si="0"/>
        <v>0</v>
      </c>
      <c r="J14" s="299">
        <f t="shared" si="0"/>
        <v>0</v>
      </c>
      <c r="K14" s="299">
        <f t="shared" si="0"/>
        <v>0</v>
      </c>
      <c r="L14" s="312"/>
      <c r="M14" s="299">
        <f t="shared" si="1"/>
        <v>0</v>
      </c>
      <c r="N14" s="300">
        <f t="shared" si="2"/>
        <v>0</v>
      </c>
      <c r="Q14" s="11">
        <f>VLOOKUP($C14,'Calculation engine'!$B$8:$G$28,3,FALSE)</f>
        <v>0</v>
      </c>
      <c r="R14" s="11">
        <f>VLOOKUP($C14,'Calculation engine'!$B$8:$G$28,4,FALSE)</f>
        <v>0</v>
      </c>
      <c r="S14" s="11">
        <f>VLOOKUP($C14,'Calculation engine'!$B$8:$G$28,5,FALSE)</f>
        <v>0</v>
      </c>
      <c r="T14" s="11">
        <f>VLOOKUP($C14,'Calculation engine'!$B$8:$G$28,2,FALSE)</f>
        <v>0</v>
      </c>
    </row>
    <row r="15" spans="2:20" ht="15" customHeight="1" x14ac:dyDescent="0.25">
      <c r="B15" s="182"/>
      <c r="C15" s="157" t="s">
        <v>112</v>
      </c>
      <c r="D15" s="160"/>
      <c r="E15" s="159"/>
      <c r="F15" s="161"/>
      <c r="G15" s="162" t="str">
        <f>VLOOKUP($C15,'Calculation engine'!$B$8:$G$28,6,FALSE)</f>
        <v>-</v>
      </c>
      <c r="H15" s="163"/>
      <c r="I15" s="299">
        <f t="shared" si="0"/>
        <v>0</v>
      </c>
      <c r="J15" s="299">
        <f t="shared" si="0"/>
        <v>0</v>
      </c>
      <c r="K15" s="299">
        <f t="shared" si="0"/>
        <v>0</v>
      </c>
      <c r="L15" s="312"/>
      <c r="M15" s="299">
        <f t="shared" si="1"/>
        <v>0</v>
      </c>
      <c r="N15" s="300">
        <f t="shared" si="2"/>
        <v>0</v>
      </c>
      <c r="Q15" s="11">
        <f>VLOOKUP($C15,'Calculation engine'!$B$8:$G$28,3,FALSE)</f>
        <v>0</v>
      </c>
      <c r="R15" s="11">
        <f>VLOOKUP($C15,'Calculation engine'!$B$8:$G$28,4,FALSE)</f>
        <v>0</v>
      </c>
      <c r="S15" s="11">
        <f>VLOOKUP($C15,'Calculation engine'!$B$8:$G$28,5,FALSE)</f>
        <v>0</v>
      </c>
      <c r="T15" s="11">
        <f>VLOOKUP($C15,'Calculation engine'!$B$8:$G$28,2,FALSE)</f>
        <v>0</v>
      </c>
    </row>
    <row r="16" spans="2:20" ht="15" customHeight="1" x14ac:dyDescent="0.25">
      <c r="B16" s="185"/>
      <c r="C16" s="165"/>
      <c r="D16" s="165"/>
      <c r="E16" s="166"/>
      <c r="F16" s="166"/>
      <c r="G16" s="350" t="s">
        <v>327</v>
      </c>
      <c r="H16" s="350"/>
      <c r="I16" s="350"/>
      <c r="J16" s="350"/>
      <c r="K16" s="350"/>
      <c r="L16" s="350"/>
      <c r="M16" s="301">
        <f>SUM(M9:M15)</f>
        <v>0</v>
      </c>
      <c r="N16" s="302">
        <f>SUM(N9:N15)</f>
        <v>0</v>
      </c>
    </row>
    <row r="17" spans="2:20" ht="15" customHeight="1" x14ac:dyDescent="0.25">
      <c r="B17" s="8"/>
      <c r="C17" s="8"/>
      <c r="D17" s="8"/>
      <c r="E17" s="23"/>
      <c r="F17" s="23"/>
      <c r="G17" s="23"/>
      <c r="H17" s="8"/>
      <c r="I17" s="8"/>
      <c r="J17" s="8"/>
      <c r="K17" s="8"/>
      <c r="L17" s="8"/>
      <c r="M17" s="8"/>
      <c r="N17" s="8"/>
    </row>
    <row r="18" spans="2:20" ht="15" customHeight="1" x14ac:dyDescent="0.25">
      <c r="B18" s="178"/>
      <c r="C18" s="353" t="s">
        <v>200</v>
      </c>
      <c r="D18" s="308"/>
      <c r="E18" s="354" t="s">
        <v>0</v>
      </c>
      <c r="F18" s="308"/>
      <c r="G18" s="354" t="s">
        <v>1</v>
      </c>
      <c r="H18" s="179"/>
      <c r="I18" s="355" t="s">
        <v>6</v>
      </c>
      <c r="J18" s="355"/>
      <c r="K18" s="355"/>
      <c r="L18" s="179"/>
      <c r="M18" s="308" t="s">
        <v>7</v>
      </c>
      <c r="N18" s="69" t="s">
        <v>5</v>
      </c>
    </row>
    <row r="19" spans="2:20" ht="15.75" customHeight="1" x14ac:dyDescent="0.25">
      <c r="B19" s="180"/>
      <c r="C19" s="334"/>
      <c r="D19" s="309"/>
      <c r="E19" s="352"/>
      <c r="F19" s="309"/>
      <c r="G19" s="352"/>
      <c r="H19" s="74"/>
      <c r="I19" s="1" t="s">
        <v>329</v>
      </c>
      <c r="J19" s="1" t="s">
        <v>330</v>
      </c>
      <c r="K19" s="1" t="s">
        <v>331</v>
      </c>
      <c r="L19" s="309"/>
      <c r="M19" s="1" t="s">
        <v>332</v>
      </c>
      <c r="N19" s="181" t="s">
        <v>8</v>
      </c>
    </row>
    <row r="20" spans="2:20" ht="15" customHeight="1" x14ac:dyDescent="0.25">
      <c r="B20" s="182"/>
      <c r="C20" s="161" t="s">
        <v>119</v>
      </c>
      <c r="D20" s="161"/>
      <c r="E20" s="161" t="s">
        <v>120</v>
      </c>
      <c r="F20" s="161"/>
      <c r="G20" s="161"/>
      <c r="H20" s="160"/>
      <c r="I20" s="160"/>
      <c r="J20" s="160"/>
      <c r="K20" s="160"/>
      <c r="L20" s="160"/>
      <c r="M20" s="160"/>
      <c r="N20" s="184"/>
      <c r="Q20" s="11" t="s">
        <v>2</v>
      </c>
      <c r="R20" s="11" t="s">
        <v>3</v>
      </c>
      <c r="S20" s="11" t="s">
        <v>4</v>
      </c>
      <c r="T20" s="11" t="s">
        <v>21</v>
      </c>
    </row>
    <row r="21" spans="2:20" ht="15" customHeight="1" x14ac:dyDescent="0.25">
      <c r="B21" s="182"/>
      <c r="C21" s="157" t="s">
        <v>112</v>
      </c>
      <c r="D21" s="160"/>
      <c r="E21" s="158"/>
      <c r="F21" s="161"/>
      <c r="G21" s="162" t="str">
        <f>VLOOKUP($C21,'Calculation engine'!$I$8:$N$62,6,FALSE)</f>
        <v>-</v>
      </c>
      <c r="H21" s="163"/>
      <c r="I21" s="299">
        <f t="shared" ref="I21:K27" si="3">Q21*$N21/1000</f>
        <v>0</v>
      </c>
      <c r="J21" s="299">
        <f t="shared" si="3"/>
        <v>0</v>
      </c>
      <c r="K21" s="299">
        <f t="shared" si="3"/>
        <v>0</v>
      </c>
      <c r="L21" s="312"/>
      <c r="M21" s="299">
        <f t="shared" ref="M21:M27" si="4">SUM(I21:K21)</f>
        <v>0</v>
      </c>
      <c r="N21" s="300">
        <f t="shared" ref="N21:N27" si="5">T21*E21</f>
        <v>0</v>
      </c>
      <c r="Q21" s="11">
        <f>VLOOKUP($C21,'Calculation engine'!$I$8:$N$62,3,FALSE)</f>
        <v>0</v>
      </c>
      <c r="R21" s="11">
        <f>VLOOKUP($C21,'Calculation engine'!$I$8:$N$62,4,FALSE)</f>
        <v>0</v>
      </c>
      <c r="S21" s="11">
        <f>VLOOKUP($C21,'Calculation engine'!$I$8:$N$62,5,FALSE)</f>
        <v>0</v>
      </c>
      <c r="T21" s="11">
        <f>VLOOKUP($C21,'Calculation engine'!$I$8:$N$62,2,FALSE)</f>
        <v>0</v>
      </c>
    </row>
    <row r="22" spans="2:20" ht="14.25" customHeight="1" x14ac:dyDescent="0.25">
      <c r="B22" s="182"/>
      <c r="C22" s="157" t="s">
        <v>112</v>
      </c>
      <c r="D22" s="160"/>
      <c r="E22" s="159"/>
      <c r="F22" s="161"/>
      <c r="G22" s="162" t="str">
        <f>VLOOKUP($C22,'Calculation engine'!$I$8:$N$62,6,FALSE)</f>
        <v>-</v>
      </c>
      <c r="H22" s="163"/>
      <c r="I22" s="299">
        <f t="shared" si="3"/>
        <v>0</v>
      </c>
      <c r="J22" s="299">
        <f t="shared" si="3"/>
        <v>0</v>
      </c>
      <c r="K22" s="299">
        <f t="shared" si="3"/>
        <v>0</v>
      </c>
      <c r="L22" s="312"/>
      <c r="M22" s="299">
        <f t="shared" si="4"/>
        <v>0</v>
      </c>
      <c r="N22" s="300">
        <f t="shared" si="5"/>
        <v>0</v>
      </c>
      <c r="Q22" s="11">
        <f>VLOOKUP($C22,'Calculation engine'!$I$8:$N$62,3,FALSE)</f>
        <v>0</v>
      </c>
      <c r="R22" s="11">
        <f>VLOOKUP($C22,'Calculation engine'!$I$8:$N$62,4,FALSE)</f>
        <v>0</v>
      </c>
      <c r="S22" s="11">
        <f>VLOOKUP($C22,'Calculation engine'!$I$8:$N$62,5,FALSE)</f>
        <v>0</v>
      </c>
      <c r="T22" s="11">
        <f>VLOOKUP($C22,'Calculation engine'!$I$8:$N$62,2,FALSE)</f>
        <v>0</v>
      </c>
    </row>
    <row r="23" spans="2:20" ht="15" customHeight="1" x14ac:dyDescent="0.25">
      <c r="B23" s="182"/>
      <c r="C23" s="157" t="s">
        <v>112</v>
      </c>
      <c r="D23" s="160"/>
      <c r="E23" s="159"/>
      <c r="F23" s="161"/>
      <c r="G23" s="162" t="str">
        <f>VLOOKUP($C23,'Calculation engine'!$I$8:$N$62,6,FALSE)</f>
        <v>-</v>
      </c>
      <c r="H23" s="163"/>
      <c r="I23" s="299">
        <f t="shared" si="3"/>
        <v>0</v>
      </c>
      <c r="J23" s="299">
        <f t="shared" si="3"/>
        <v>0</v>
      </c>
      <c r="K23" s="299">
        <f t="shared" si="3"/>
        <v>0</v>
      </c>
      <c r="L23" s="312"/>
      <c r="M23" s="299">
        <f t="shared" si="4"/>
        <v>0</v>
      </c>
      <c r="N23" s="300">
        <f t="shared" si="5"/>
        <v>0</v>
      </c>
      <c r="Q23" s="11">
        <f>VLOOKUP($C23,'Calculation engine'!$I$8:$N$62,3,FALSE)</f>
        <v>0</v>
      </c>
      <c r="R23" s="11">
        <f>VLOOKUP($C23,'Calculation engine'!$I$8:$N$62,4,FALSE)</f>
        <v>0</v>
      </c>
      <c r="S23" s="11">
        <f>VLOOKUP($C23,'Calculation engine'!$I$8:$N$62,5,FALSE)</f>
        <v>0</v>
      </c>
      <c r="T23" s="11">
        <f>VLOOKUP($C23,'Calculation engine'!$I$8:$N$62,2,FALSE)</f>
        <v>0</v>
      </c>
    </row>
    <row r="24" spans="2:20" ht="15" customHeight="1" x14ac:dyDescent="0.25">
      <c r="B24" s="182"/>
      <c r="C24" s="157" t="s">
        <v>112</v>
      </c>
      <c r="D24" s="160"/>
      <c r="E24" s="159"/>
      <c r="F24" s="161"/>
      <c r="G24" s="162" t="str">
        <f>VLOOKUP($C24,'Calculation engine'!$I$8:$N$62,6,FALSE)</f>
        <v>-</v>
      </c>
      <c r="H24" s="163"/>
      <c r="I24" s="299">
        <f t="shared" si="3"/>
        <v>0</v>
      </c>
      <c r="J24" s="299">
        <f t="shared" si="3"/>
        <v>0</v>
      </c>
      <c r="K24" s="299">
        <f t="shared" si="3"/>
        <v>0</v>
      </c>
      <c r="L24" s="312"/>
      <c r="M24" s="299">
        <f t="shared" si="4"/>
        <v>0</v>
      </c>
      <c r="N24" s="300">
        <f t="shared" si="5"/>
        <v>0</v>
      </c>
      <c r="Q24" s="11">
        <f>VLOOKUP($C24,'Calculation engine'!$I$8:$N$62,3,FALSE)</f>
        <v>0</v>
      </c>
      <c r="R24" s="11">
        <f>VLOOKUP($C24,'Calculation engine'!$I$8:$N$62,4,FALSE)</f>
        <v>0</v>
      </c>
      <c r="S24" s="11">
        <f>VLOOKUP($C24,'Calculation engine'!$I$8:$N$62,5,FALSE)</f>
        <v>0</v>
      </c>
      <c r="T24" s="11">
        <f>VLOOKUP($C24,'Calculation engine'!$I$8:$N$62,2,FALSE)</f>
        <v>0</v>
      </c>
    </row>
    <row r="25" spans="2:20" ht="15" customHeight="1" x14ac:dyDescent="0.25">
      <c r="B25" s="182"/>
      <c r="C25" s="157" t="s">
        <v>112</v>
      </c>
      <c r="D25" s="160"/>
      <c r="E25" s="159"/>
      <c r="F25" s="161"/>
      <c r="G25" s="162" t="str">
        <f>VLOOKUP($C25,'Calculation engine'!$I$8:$N$62,6,FALSE)</f>
        <v>-</v>
      </c>
      <c r="H25" s="163"/>
      <c r="I25" s="299">
        <f t="shared" si="3"/>
        <v>0</v>
      </c>
      <c r="J25" s="299">
        <f t="shared" si="3"/>
        <v>0</v>
      </c>
      <c r="K25" s="299">
        <f t="shared" si="3"/>
        <v>0</v>
      </c>
      <c r="L25" s="312"/>
      <c r="M25" s="299">
        <f t="shared" si="4"/>
        <v>0</v>
      </c>
      <c r="N25" s="300">
        <f t="shared" si="5"/>
        <v>0</v>
      </c>
      <c r="Q25" s="11">
        <f>VLOOKUP($C25,'Calculation engine'!$I$8:$N$62,3,FALSE)</f>
        <v>0</v>
      </c>
      <c r="R25" s="11">
        <f>VLOOKUP($C25,'Calculation engine'!$I$8:$N$62,4,FALSE)</f>
        <v>0</v>
      </c>
      <c r="S25" s="11">
        <f>VLOOKUP($C25,'Calculation engine'!$I$8:$N$62,5,FALSE)</f>
        <v>0</v>
      </c>
      <c r="T25" s="11">
        <f>VLOOKUP($C25,'Calculation engine'!$I$8:$N$62,2,FALSE)</f>
        <v>0</v>
      </c>
    </row>
    <row r="26" spans="2:20" ht="15" customHeight="1" x14ac:dyDescent="0.25">
      <c r="B26" s="182"/>
      <c r="C26" s="157" t="s">
        <v>112</v>
      </c>
      <c r="D26" s="160"/>
      <c r="E26" s="159"/>
      <c r="F26" s="161"/>
      <c r="G26" s="162" t="str">
        <f>VLOOKUP($C26,'Calculation engine'!$I$8:$N$62,6,FALSE)</f>
        <v>-</v>
      </c>
      <c r="H26" s="163"/>
      <c r="I26" s="299">
        <f t="shared" si="3"/>
        <v>0</v>
      </c>
      <c r="J26" s="299">
        <f t="shared" si="3"/>
        <v>0</v>
      </c>
      <c r="K26" s="299">
        <f t="shared" si="3"/>
        <v>0</v>
      </c>
      <c r="L26" s="312"/>
      <c r="M26" s="299">
        <f t="shared" si="4"/>
        <v>0</v>
      </c>
      <c r="N26" s="300">
        <f t="shared" si="5"/>
        <v>0</v>
      </c>
      <c r="Q26" s="11">
        <f>VLOOKUP($C26,'Calculation engine'!$I$8:$N$62,3,FALSE)</f>
        <v>0</v>
      </c>
      <c r="R26" s="11">
        <f>VLOOKUP($C26,'Calculation engine'!$I$8:$N$62,4,FALSE)</f>
        <v>0</v>
      </c>
      <c r="S26" s="11">
        <f>VLOOKUP($C26,'Calculation engine'!$I$8:$N$62,5,FALSE)</f>
        <v>0</v>
      </c>
      <c r="T26" s="11">
        <f>VLOOKUP($C26,'Calculation engine'!$I$8:$N$62,2,FALSE)</f>
        <v>0</v>
      </c>
    </row>
    <row r="27" spans="2:20" ht="15" customHeight="1" x14ac:dyDescent="0.25">
      <c r="B27" s="182"/>
      <c r="C27" s="157" t="s">
        <v>112</v>
      </c>
      <c r="D27" s="160"/>
      <c r="E27" s="159"/>
      <c r="F27" s="161"/>
      <c r="G27" s="162" t="str">
        <f>VLOOKUP($C27,'Calculation engine'!$I$8:$N$62,6,FALSE)</f>
        <v>-</v>
      </c>
      <c r="H27" s="163"/>
      <c r="I27" s="299">
        <f t="shared" si="3"/>
        <v>0</v>
      </c>
      <c r="J27" s="299">
        <f t="shared" si="3"/>
        <v>0</v>
      </c>
      <c r="K27" s="299">
        <f t="shared" si="3"/>
        <v>0</v>
      </c>
      <c r="L27" s="312"/>
      <c r="M27" s="299">
        <f t="shared" si="4"/>
        <v>0</v>
      </c>
      <c r="N27" s="300">
        <f t="shared" si="5"/>
        <v>0</v>
      </c>
      <c r="Q27" s="11">
        <f>VLOOKUP($C27,'Calculation engine'!$I$8:$N$62,3,FALSE)</f>
        <v>0</v>
      </c>
      <c r="R27" s="11">
        <f>VLOOKUP($C27,'Calculation engine'!$I$8:$N$62,4,FALSE)</f>
        <v>0</v>
      </c>
      <c r="S27" s="11">
        <f>VLOOKUP($C27,'Calculation engine'!$I$8:$N$62,5,FALSE)</f>
        <v>0</v>
      </c>
      <c r="T27" s="11">
        <f>VLOOKUP($C27,'Calculation engine'!$I$8:$N$62,2,FALSE)</f>
        <v>0</v>
      </c>
    </row>
    <row r="28" spans="2:20" ht="15" customHeight="1" x14ac:dyDescent="0.25">
      <c r="B28" s="185"/>
      <c r="C28" s="165"/>
      <c r="D28" s="165"/>
      <c r="E28" s="166"/>
      <c r="F28" s="166"/>
      <c r="G28" s="350" t="s">
        <v>328</v>
      </c>
      <c r="H28" s="350"/>
      <c r="I28" s="350"/>
      <c r="J28" s="350"/>
      <c r="K28" s="350"/>
      <c r="L28" s="350"/>
      <c r="M28" s="301">
        <f>SUM(M21:M27)</f>
        <v>0</v>
      </c>
      <c r="N28" s="302">
        <f>SUM(N21:N27)</f>
        <v>0</v>
      </c>
    </row>
    <row r="29" spans="2:20" ht="15" customHeight="1" x14ac:dyDescent="0.25">
      <c r="B29" s="8"/>
      <c r="C29" s="8"/>
      <c r="D29" s="8"/>
      <c r="E29" s="23"/>
      <c r="F29" s="23"/>
      <c r="G29" s="23"/>
      <c r="H29" s="8"/>
      <c r="I29" s="8"/>
      <c r="J29" s="8"/>
      <c r="K29" s="8"/>
      <c r="L29" s="8"/>
      <c r="M29" s="8"/>
      <c r="N29" s="8"/>
    </row>
    <row r="30" spans="2:20" ht="15" customHeight="1" x14ac:dyDescent="0.25">
      <c r="B30" s="178"/>
      <c r="C30" s="353" t="s">
        <v>201</v>
      </c>
      <c r="D30" s="308"/>
      <c r="E30" s="354" t="s">
        <v>0</v>
      </c>
      <c r="F30" s="308"/>
      <c r="G30" s="354" t="s">
        <v>1</v>
      </c>
      <c r="H30" s="179"/>
      <c r="I30" s="355" t="s">
        <v>121</v>
      </c>
      <c r="J30" s="355"/>
      <c r="K30" s="355"/>
      <c r="L30" s="179"/>
      <c r="M30" s="308" t="s">
        <v>9</v>
      </c>
      <c r="N30" s="69" t="s">
        <v>5</v>
      </c>
    </row>
    <row r="31" spans="2:20" ht="15" customHeight="1" x14ac:dyDescent="0.25">
      <c r="B31" s="180"/>
      <c r="C31" s="334"/>
      <c r="D31" s="309"/>
      <c r="E31" s="352"/>
      <c r="F31" s="309"/>
      <c r="G31" s="352"/>
      <c r="H31" s="74"/>
      <c r="I31" s="1" t="s">
        <v>20</v>
      </c>
      <c r="J31" s="1"/>
      <c r="K31" s="74"/>
      <c r="L31" s="309"/>
      <c r="M31" s="1" t="s">
        <v>332</v>
      </c>
      <c r="N31" s="181" t="s">
        <v>8</v>
      </c>
      <c r="Q31" s="2" t="s">
        <v>193</v>
      </c>
    </row>
    <row r="32" spans="2:20" ht="15" customHeight="1" x14ac:dyDescent="0.25">
      <c r="B32" s="182"/>
      <c r="C32" s="161" t="s">
        <v>118</v>
      </c>
      <c r="D32" s="161"/>
      <c r="E32" s="161" t="s">
        <v>120</v>
      </c>
      <c r="F32" s="161"/>
      <c r="G32" s="161"/>
      <c r="H32" s="160"/>
      <c r="I32" s="160"/>
      <c r="J32" s="160"/>
      <c r="K32" s="160"/>
      <c r="L32" s="160"/>
      <c r="M32" s="160"/>
      <c r="N32" s="184"/>
      <c r="Q32" s="1" t="s">
        <v>21</v>
      </c>
    </row>
    <row r="33" spans="2:20" ht="15" customHeight="1" x14ac:dyDescent="0.25">
      <c r="B33" s="182"/>
      <c r="C33" s="157" t="s">
        <v>112</v>
      </c>
      <c r="D33" s="160"/>
      <c r="E33" s="158"/>
      <c r="F33" s="161"/>
      <c r="G33" s="162" t="s">
        <v>23</v>
      </c>
      <c r="H33" s="174"/>
      <c r="I33" s="275">
        <f>VLOOKUP($C33,'Calculation engine'!$Q$10:$T$19,2,FALSE)</f>
        <v>0</v>
      </c>
      <c r="J33" s="359" t="str">
        <f>IF(C33="Not purchased from the main grid","You can enter a custom factor for EF","")</f>
        <v/>
      </c>
      <c r="K33" s="359"/>
      <c r="L33" s="359"/>
      <c r="M33" s="299">
        <f>E33*I33/1000</f>
        <v>0</v>
      </c>
      <c r="N33" s="300">
        <f>E33*Q34</f>
        <v>0</v>
      </c>
      <c r="Q33" s="3"/>
    </row>
    <row r="34" spans="2:20" ht="15.75" customHeight="1" x14ac:dyDescent="0.25">
      <c r="B34" s="182"/>
      <c r="C34" s="157" t="s">
        <v>112</v>
      </c>
      <c r="D34" s="160"/>
      <c r="E34" s="187"/>
      <c r="F34" s="161"/>
      <c r="G34" s="162" t="s">
        <v>23</v>
      </c>
      <c r="H34" s="174"/>
      <c r="I34" s="275">
        <f>VLOOKUP($C34,'Calculation engine'!$Q$10:$T$19,2,FALSE)</f>
        <v>0</v>
      </c>
      <c r="J34" s="358" t="str">
        <f>IF(C34="Not purchased from the main grid","You can enter a custom factor for EF","")</f>
        <v/>
      </c>
      <c r="K34" s="358"/>
      <c r="L34" s="358"/>
      <c r="M34" s="299">
        <f>E34*I34/1000</f>
        <v>0</v>
      </c>
      <c r="N34" s="300">
        <f>E34*Q35</f>
        <v>0</v>
      </c>
      <c r="Q34" s="4">
        <f>VLOOKUP($C33,'Calculation engine'!$Q$10:$T$19,3,FALSE)</f>
        <v>0</v>
      </c>
    </row>
    <row r="35" spans="2:20" ht="16.5" customHeight="1" x14ac:dyDescent="0.25">
      <c r="B35" s="185"/>
      <c r="C35" s="165"/>
      <c r="D35" s="165"/>
      <c r="E35" s="166"/>
      <c r="F35" s="166"/>
      <c r="G35" s="350" t="s">
        <v>333</v>
      </c>
      <c r="H35" s="350"/>
      <c r="I35" s="350"/>
      <c r="J35" s="350"/>
      <c r="K35" s="350"/>
      <c r="L35" s="350"/>
      <c r="M35" s="301">
        <f>SUM(M33:M34)</f>
        <v>0</v>
      </c>
      <c r="N35" s="302">
        <f>SUM(N33:N34)</f>
        <v>0</v>
      </c>
      <c r="Q35" s="4">
        <f>VLOOKUP($C34,'Calculation engine'!$Q$10:$T$19,3,FALSE)</f>
        <v>0</v>
      </c>
    </row>
    <row r="36" spans="2:20" ht="15" customHeight="1" x14ac:dyDescent="0.25">
      <c r="B36" s="8"/>
      <c r="C36" s="8"/>
      <c r="D36" s="8"/>
      <c r="E36" s="23"/>
      <c r="F36" s="23"/>
      <c r="G36" s="188"/>
      <c r="H36" s="188"/>
      <c r="I36" s="188"/>
      <c r="J36" s="188"/>
      <c r="K36" s="188"/>
      <c r="L36" s="188"/>
      <c r="M36" s="27"/>
      <c r="N36" s="27"/>
    </row>
    <row r="37" spans="2:20" ht="15" customHeight="1" x14ac:dyDescent="0.25">
      <c r="B37" s="178"/>
      <c r="C37" s="353" t="s">
        <v>158</v>
      </c>
      <c r="D37" s="308"/>
      <c r="E37" s="354" t="s">
        <v>0</v>
      </c>
      <c r="F37" s="308"/>
      <c r="G37" s="354" t="s">
        <v>1</v>
      </c>
      <c r="H37" s="179"/>
      <c r="I37" s="355"/>
      <c r="J37" s="355"/>
      <c r="K37" s="355"/>
      <c r="L37" s="179"/>
      <c r="M37" s="308"/>
      <c r="N37" s="69" t="s">
        <v>5</v>
      </c>
    </row>
    <row r="38" spans="2:20" ht="15" customHeight="1" x14ac:dyDescent="0.25">
      <c r="B38" s="180"/>
      <c r="C38" s="334"/>
      <c r="D38" s="309"/>
      <c r="E38" s="352"/>
      <c r="F38" s="309"/>
      <c r="G38" s="352"/>
      <c r="H38" s="74"/>
      <c r="I38" s="1"/>
      <c r="J38" s="1"/>
      <c r="K38" s="74"/>
      <c r="L38" s="309"/>
      <c r="M38" s="1"/>
      <c r="N38" s="181" t="s">
        <v>8</v>
      </c>
    </row>
    <row r="39" spans="2:20" ht="15" customHeight="1" x14ac:dyDescent="0.25">
      <c r="B39" s="182"/>
      <c r="C39" s="161" t="s">
        <v>196</v>
      </c>
      <c r="D39" s="161"/>
      <c r="E39" s="161" t="s">
        <v>120</v>
      </c>
      <c r="F39" s="161"/>
      <c r="G39" s="161"/>
      <c r="H39" s="160"/>
      <c r="I39" s="160"/>
      <c r="J39" s="160"/>
      <c r="K39" s="160"/>
      <c r="L39" s="160"/>
      <c r="M39" s="160"/>
      <c r="N39" s="184"/>
      <c r="Q39" s="11" t="s">
        <v>2</v>
      </c>
      <c r="R39" s="11" t="s">
        <v>3</v>
      </c>
      <c r="S39" s="11" t="s">
        <v>4</v>
      </c>
      <c r="T39" s="11" t="s">
        <v>21</v>
      </c>
    </row>
    <row r="40" spans="2:20" ht="15" customHeight="1" x14ac:dyDescent="0.25">
      <c r="B40" s="182"/>
      <c r="C40" s="157" t="s">
        <v>112</v>
      </c>
      <c r="D40" s="160"/>
      <c r="E40" s="158"/>
      <c r="F40" s="161"/>
      <c r="G40" s="162" t="str">
        <f>VLOOKUP($C40,'Calculation engine'!$AD$8:$AI$78,6,FALSE)</f>
        <v>-</v>
      </c>
      <c r="H40" s="174"/>
      <c r="I40" s="315"/>
      <c r="J40" s="315"/>
      <c r="K40" s="189"/>
      <c r="L40" s="315"/>
      <c r="M40" s="315">
        <f>E40*I40/1000</f>
        <v>0</v>
      </c>
      <c r="N40" s="300">
        <f>T40*E40</f>
        <v>0</v>
      </c>
      <c r="Q40" s="11"/>
      <c r="R40" s="11"/>
      <c r="S40" s="11"/>
      <c r="T40" s="11">
        <f>VLOOKUP($C40,'Calculation engine'!$AD$8:$AI$78,5,FALSE)</f>
        <v>0</v>
      </c>
    </row>
    <row r="41" spans="2:20" ht="15" customHeight="1" x14ac:dyDescent="0.25">
      <c r="B41" s="182"/>
      <c r="C41" s="157" t="s">
        <v>112</v>
      </c>
      <c r="D41" s="160"/>
      <c r="E41" s="190"/>
      <c r="F41" s="161"/>
      <c r="G41" s="162" t="str">
        <f>VLOOKUP($C41,'Calculation engine'!$AD$8:$AI$78,6,FALSE)</f>
        <v>-</v>
      </c>
      <c r="H41" s="174"/>
      <c r="I41" s="315"/>
      <c r="J41" s="315"/>
      <c r="K41" s="189"/>
      <c r="L41" s="315"/>
      <c r="M41" s="315"/>
      <c r="N41" s="300">
        <f>T41*E41</f>
        <v>0</v>
      </c>
      <c r="Q41" s="11"/>
      <c r="R41" s="11"/>
      <c r="S41" s="11"/>
      <c r="T41" s="11">
        <f>VLOOKUP($C41,'Calculation engine'!$AD$8:$AI$78,5,FALSE)</f>
        <v>0</v>
      </c>
    </row>
    <row r="42" spans="2:20" ht="15" customHeight="1" x14ac:dyDescent="0.25">
      <c r="B42" s="182"/>
      <c r="C42" s="157" t="s">
        <v>112</v>
      </c>
      <c r="D42" s="160"/>
      <c r="E42" s="187"/>
      <c r="F42" s="161"/>
      <c r="G42" s="162" t="str">
        <f>VLOOKUP($C42,'Calculation engine'!$AD$8:$AI$78,6,FALSE)</f>
        <v>-</v>
      </c>
      <c r="H42" s="174"/>
      <c r="I42" s="315"/>
      <c r="J42" s="349"/>
      <c r="K42" s="349"/>
      <c r="L42" s="315"/>
      <c r="M42" s="315">
        <f>E42*I42/1000</f>
        <v>0</v>
      </c>
      <c r="N42" s="300">
        <f>T42*E42</f>
        <v>0</v>
      </c>
      <c r="Q42" s="11"/>
      <c r="R42" s="11"/>
      <c r="S42" s="11"/>
      <c r="T42" s="11">
        <f>VLOOKUP($C42,'Calculation engine'!$AD$8:$AI$78,5,FALSE)</f>
        <v>0</v>
      </c>
    </row>
    <row r="43" spans="2:20" ht="15" customHeight="1" x14ac:dyDescent="0.25">
      <c r="B43" s="185"/>
      <c r="C43" s="165"/>
      <c r="D43" s="165"/>
      <c r="E43" s="166"/>
      <c r="F43" s="166"/>
      <c r="G43" s="350" t="s">
        <v>173</v>
      </c>
      <c r="H43" s="350"/>
      <c r="I43" s="350"/>
      <c r="J43" s="350"/>
      <c r="K43" s="350"/>
      <c r="L43" s="350"/>
      <c r="M43" s="191"/>
      <c r="N43" s="302">
        <f>SUM(N40:N42)</f>
        <v>0</v>
      </c>
    </row>
    <row r="44" spans="2:20" ht="15" customHeight="1" x14ac:dyDescent="0.25">
      <c r="B44" s="8"/>
      <c r="C44" s="8"/>
      <c r="D44" s="8"/>
      <c r="E44" s="23"/>
      <c r="F44" s="23"/>
      <c r="G44" s="188"/>
      <c r="H44" s="188"/>
      <c r="I44" s="188"/>
      <c r="J44" s="188"/>
      <c r="K44" s="188"/>
      <c r="L44" s="188"/>
      <c r="M44" s="27"/>
      <c r="N44" s="27"/>
    </row>
    <row r="45" spans="2:20" ht="15" customHeight="1" x14ac:dyDescent="0.25">
      <c r="B45" s="178"/>
      <c r="C45" s="353" t="s">
        <v>202</v>
      </c>
      <c r="D45" s="308"/>
      <c r="E45" s="354" t="s">
        <v>0</v>
      </c>
      <c r="F45" s="308"/>
      <c r="G45" s="354" t="s">
        <v>1</v>
      </c>
      <c r="H45" s="179"/>
      <c r="I45" s="355"/>
      <c r="J45" s="355"/>
      <c r="K45" s="355"/>
      <c r="L45" s="179"/>
      <c r="M45" s="308"/>
      <c r="N45" s="69" t="s">
        <v>5</v>
      </c>
    </row>
    <row r="46" spans="2:20" ht="15" customHeight="1" x14ac:dyDescent="0.25">
      <c r="B46" s="180"/>
      <c r="C46" s="334"/>
      <c r="D46" s="309"/>
      <c r="E46" s="352"/>
      <c r="F46" s="309"/>
      <c r="G46" s="352"/>
      <c r="H46" s="74"/>
      <c r="I46" s="1"/>
      <c r="J46" s="1"/>
      <c r="K46" s="74"/>
      <c r="L46" s="309"/>
      <c r="M46" s="1"/>
      <c r="N46" s="181" t="s">
        <v>8</v>
      </c>
    </row>
    <row r="47" spans="2:20" ht="15" customHeight="1" x14ac:dyDescent="0.25">
      <c r="B47" s="182"/>
      <c r="C47" s="161" t="s">
        <v>197</v>
      </c>
      <c r="D47" s="161"/>
      <c r="E47" s="161" t="s">
        <v>120</v>
      </c>
      <c r="F47" s="161"/>
      <c r="G47" s="161"/>
      <c r="H47" s="160"/>
      <c r="I47" s="160"/>
      <c r="J47" s="160"/>
      <c r="K47" s="160"/>
      <c r="L47" s="160"/>
      <c r="M47" s="160"/>
      <c r="N47" s="184"/>
      <c r="Q47" s="11" t="s">
        <v>2</v>
      </c>
      <c r="R47" s="11" t="s">
        <v>3</v>
      </c>
      <c r="S47" s="11" t="s">
        <v>4</v>
      </c>
      <c r="T47" s="11" t="s">
        <v>21</v>
      </c>
    </row>
    <row r="48" spans="2:20" ht="15" customHeight="1" x14ac:dyDescent="0.25">
      <c r="B48" s="182"/>
      <c r="C48" s="157" t="s">
        <v>112</v>
      </c>
      <c r="D48" s="160"/>
      <c r="E48" s="158"/>
      <c r="F48" s="161"/>
      <c r="G48" s="162" t="str">
        <f>VLOOKUP($C48,'Calculation engine'!$W$8:$AB$72,6,FALSE)</f>
        <v>-</v>
      </c>
      <c r="H48" s="174"/>
      <c r="I48" s="315"/>
      <c r="J48" s="315"/>
      <c r="K48" s="189"/>
      <c r="L48" s="315"/>
      <c r="M48" s="315">
        <f>E48*I48/1000</f>
        <v>0</v>
      </c>
      <c r="N48" s="300">
        <f>T48*E48</f>
        <v>0</v>
      </c>
      <c r="Q48" s="11"/>
      <c r="R48" s="11"/>
      <c r="S48" s="11"/>
      <c r="T48" s="11">
        <f>VLOOKUP($C48,'Calculation engine'!$W$8:$AB$72,5,FALSE)</f>
        <v>0</v>
      </c>
    </row>
    <row r="49" spans="2:20" ht="15" customHeight="1" x14ac:dyDescent="0.25">
      <c r="B49" s="182"/>
      <c r="C49" s="157" t="s">
        <v>112</v>
      </c>
      <c r="D49" s="160"/>
      <c r="E49" s="190"/>
      <c r="F49" s="161"/>
      <c r="G49" s="162" t="str">
        <f>VLOOKUP($C49,'Calculation engine'!$W$8:$AB$72,6,FALSE)</f>
        <v>-</v>
      </c>
      <c r="H49" s="174"/>
      <c r="I49" s="315"/>
      <c r="J49" s="315"/>
      <c r="K49" s="189"/>
      <c r="L49" s="315"/>
      <c r="M49" s="315"/>
      <c r="N49" s="300">
        <f>T49*E49</f>
        <v>0</v>
      </c>
      <c r="Q49" s="11"/>
      <c r="R49" s="11"/>
      <c r="S49" s="11"/>
      <c r="T49" s="11">
        <f>VLOOKUP($C49,'Calculation engine'!$W$8:$AB$72,5,FALSE)</f>
        <v>0</v>
      </c>
    </row>
    <row r="50" spans="2:20" ht="15" customHeight="1" x14ac:dyDescent="0.25">
      <c r="B50" s="182"/>
      <c r="C50" s="157" t="s">
        <v>112</v>
      </c>
      <c r="D50" s="160"/>
      <c r="E50" s="187"/>
      <c r="F50" s="161"/>
      <c r="G50" s="162" t="str">
        <f>VLOOKUP($C50,'Calculation engine'!$W$8:$AB$72,6,FALSE)</f>
        <v>-</v>
      </c>
      <c r="H50" s="174"/>
      <c r="I50" s="315"/>
      <c r="J50" s="349"/>
      <c r="K50" s="349"/>
      <c r="L50" s="315"/>
      <c r="M50" s="315">
        <f>E50*I50/1000</f>
        <v>0</v>
      </c>
      <c r="N50" s="300">
        <f>T50*E50</f>
        <v>0</v>
      </c>
      <c r="Q50" s="11"/>
      <c r="R50" s="11"/>
      <c r="S50" s="11"/>
      <c r="T50" s="11">
        <f>VLOOKUP($C50,'Calculation engine'!$W$8:$AB$72,5,FALSE)</f>
        <v>0</v>
      </c>
    </row>
    <row r="51" spans="2:20" ht="15" customHeight="1" x14ac:dyDescent="0.25">
      <c r="B51" s="185"/>
      <c r="C51" s="165"/>
      <c r="D51" s="165"/>
      <c r="E51" s="166"/>
      <c r="F51" s="166"/>
      <c r="G51" s="350" t="s">
        <v>174</v>
      </c>
      <c r="H51" s="350"/>
      <c r="I51" s="350"/>
      <c r="J51" s="350"/>
      <c r="K51" s="350"/>
      <c r="L51" s="350"/>
      <c r="M51" s="191"/>
      <c r="N51" s="302">
        <f>SUM(N48:N50)</f>
        <v>0</v>
      </c>
    </row>
    <row r="52" spans="2:20" ht="15" customHeight="1" x14ac:dyDescent="0.25">
      <c r="B52" s="174"/>
      <c r="C52" s="174"/>
      <c r="D52" s="174"/>
      <c r="E52" s="162"/>
      <c r="F52" s="162"/>
      <c r="G52" s="188"/>
      <c r="H52" s="188"/>
      <c r="I52" s="188"/>
      <c r="J52" s="188"/>
      <c r="K52" s="188"/>
      <c r="L52" s="188"/>
      <c r="M52" s="27"/>
      <c r="N52" s="232"/>
    </row>
    <row r="53" spans="2:20" ht="15" customHeight="1" x14ac:dyDescent="0.35">
      <c r="B53" s="178"/>
      <c r="C53" s="353" t="s">
        <v>337</v>
      </c>
      <c r="D53" s="308"/>
      <c r="E53" s="354"/>
      <c r="F53" s="308"/>
      <c r="G53" s="354"/>
      <c r="H53" s="179"/>
      <c r="I53" s="355" t="s">
        <v>338</v>
      </c>
      <c r="J53" s="355"/>
      <c r="K53" s="355"/>
      <c r="L53" s="179"/>
      <c r="M53" s="308" t="s">
        <v>7</v>
      </c>
      <c r="N53" s="69"/>
    </row>
    <row r="54" spans="2:20" ht="15" customHeight="1" x14ac:dyDescent="0.25">
      <c r="B54" s="180"/>
      <c r="C54" s="334"/>
      <c r="D54" s="309"/>
      <c r="E54" s="352"/>
      <c r="F54" s="309"/>
      <c r="G54" s="352"/>
      <c r="H54" s="74"/>
      <c r="I54" s="1" t="s">
        <v>329</v>
      </c>
      <c r="J54" s="1" t="s">
        <v>330</v>
      </c>
      <c r="K54" s="1" t="s">
        <v>331</v>
      </c>
      <c r="L54" s="309"/>
      <c r="M54" s="1" t="s">
        <v>332</v>
      </c>
      <c r="N54" s="181"/>
    </row>
    <row r="55" spans="2:20" ht="15" customHeight="1" x14ac:dyDescent="0.25">
      <c r="B55" s="182"/>
      <c r="C55" s="161" t="s">
        <v>339</v>
      </c>
      <c r="D55" s="161"/>
      <c r="E55" s="161"/>
      <c r="F55" s="161"/>
      <c r="G55" s="161"/>
      <c r="H55" s="160"/>
      <c r="I55" s="233"/>
      <c r="J55" s="233"/>
      <c r="K55" s="233"/>
      <c r="L55" s="160"/>
      <c r="M55" s="234"/>
      <c r="N55" s="184"/>
      <c r="Q55" s="2">
        <v>0</v>
      </c>
    </row>
    <row r="56" spans="2:20" s="12" customFormat="1" ht="15" customHeight="1" x14ac:dyDescent="0.25">
      <c r="B56" s="182"/>
      <c r="C56" s="186"/>
      <c r="D56" s="160"/>
      <c r="E56" s="261"/>
      <c r="F56" s="161"/>
      <c r="G56" s="161"/>
      <c r="H56" s="183"/>
      <c r="I56" s="235">
        <v>0</v>
      </c>
      <c r="J56" s="235">
        <v>0</v>
      </c>
      <c r="K56" s="235">
        <v>0</v>
      </c>
      <c r="L56" s="312"/>
      <c r="M56" s="299">
        <f>SUM(I56:K56)</f>
        <v>0</v>
      </c>
      <c r="N56" s="164"/>
      <c r="Q56" s="12">
        <v>25000</v>
      </c>
    </row>
    <row r="57" spans="2:20" s="12" customFormat="1" ht="15" customHeight="1" x14ac:dyDescent="0.25">
      <c r="B57" s="182"/>
      <c r="C57" s="186"/>
      <c r="D57" s="160"/>
      <c r="E57" s="261"/>
      <c r="F57" s="161"/>
      <c r="G57" s="161"/>
      <c r="H57" s="183"/>
      <c r="I57" s="235">
        <v>0</v>
      </c>
      <c r="J57" s="235">
        <v>0</v>
      </c>
      <c r="K57" s="235">
        <v>0</v>
      </c>
      <c r="L57" s="312"/>
      <c r="M57" s="299">
        <f>SUM(I57:K57)</f>
        <v>0</v>
      </c>
      <c r="N57" s="164">
        <f t="shared" ref="N57" si="6">T57*E57</f>
        <v>0</v>
      </c>
    </row>
    <row r="58" spans="2:20" s="12" customFormat="1" ht="15" customHeight="1" x14ac:dyDescent="0.25">
      <c r="B58" s="185"/>
      <c r="C58" s="165"/>
      <c r="D58" s="165"/>
      <c r="E58" s="166"/>
      <c r="F58" s="166"/>
      <c r="G58" s="350" t="s">
        <v>340</v>
      </c>
      <c r="H58" s="350"/>
      <c r="I58" s="350"/>
      <c r="J58" s="350"/>
      <c r="K58" s="350"/>
      <c r="L58" s="350"/>
      <c r="M58" s="301">
        <f>SUM(M56:M57)</f>
        <v>0</v>
      </c>
      <c r="N58" s="167"/>
    </row>
    <row r="59" spans="2:20" s="12" customFormat="1" ht="15" customHeight="1" x14ac:dyDescent="0.25">
      <c r="B59" s="8"/>
      <c r="C59" s="8"/>
      <c r="D59" s="8"/>
      <c r="E59" s="8"/>
      <c r="F59" s="8"/>
      <c r="G59" s="8"/>
      <c r="H59" s="8"/>
      <c r="I59" s="8"/>
      <c r="J59" s="8"/>
      <c r="K59" s="8"/>
      <c r="L59" s="8"/>
      <c r="M59" s="8"/>
      <c r="N59" s="8"/>
    </row>
    <row r="60" spans="2:20" s="12" customFormat="1" ht="15" customHeight="1" x14ac:dyDescent="0.25">
      <c r="B60" s="192"/>
      <c r="C60" s="332" t="s">
        <v>194</v>
      </c>
      <c r="D60" s="351" t="s">
        <v>318</v>
      </c>
      <c r="E60" s="351"/>
      <c r="F60" s="351"/>
      <c r="G60" s="351"/>
      <c r="H60" s="193"/>
      <c r="I60" s="194"/>
      <c r="J60" s="195"/>
      <c r="K60" s="195"/>
      <c r="L60" s="351" t="s">
        <v>319</v>
      </c>
      <c r="M60" s="351"/>
      <c r="N60" s="196"/>
    </row>
    <row r="61" spans="2:20" s="12" customFormat="1" ht="15" customHeight="1" x14ac:dyDescent="0.25">
      <c r="B61" s="168"/>
      <c r="C61" s="334"/>
      <c r="D61" s="352"/>
      <c r="E61" s="352"/>
      <c r="F61" s="352"/>
      <c r="G61" s="352"/>
      <c r="H61" s="74"/>
      <c r="I61" s="1"/>
      <c r="J61" s="197"/>
      <c r="K61" s="197"/>
      <c r="L61" s="352"/>
      <c r="M61" s="352"/>
      <c r="N61" s="198"/>
    </row>
    <row r="62" spans="2:20" s="12" customFormat="1" ht="15" customHeight="1" x14ac:dyDescent="0.25">
      <c r="B62" s="168"/>
      <c r="C62" s="72" t="s">
        <v>204</v>
      </c>
      <c r="D62" s="336">
        <f>M16+M28+M58</f>
        <v>0</v>
      </c>
      <c r="E62" s="336"/>
      <c r="F62" s="162"/>
      <c r="G62" s="39" t="s">
        <v>335</v>
      </c>
      <c r="H62" s="39"/>
      <c r="I62" s="39"/>
      <c r="J62" s="39"/>
      <c r="K62" s="39"/>
      <c r="L62" s="313">
        <f>IFERROR((D62/'Facility 5'!$N$4)*Output!$N$2,0)</f>
        <v>0</v>
      </c>
      <c r="M62" s="225" t="s">
        <v>335</v>
      </c>
      <c r="N62" s="169"/>
    </row>
    <row r="63" spans="2:20" s="12" customFormat="1" ht="15" customHeight="1" x14ac:dyDescent="0.25">
      <c r="B63" s="170"/>
      <c r="C63" s="72" t="s">
        <v>205</v>
      </c>
      <c r="D63" s="336">
        <f>M35</f>
        <v>0</v>
      </c>
      <c r="E63" s="336"/>
      <c r="F63" s="162"/>
      <c r="G63" s="39" t="s">
        <v>335</v>
      </c>
      <c r="H63" s="39"/>
      <c r="I63" s="39"/>
      <c r="J63" s="39"/>
      <c r="K63" s="39"/>
      <c r="L63" s="313">
        <f>IFERROR((D63/'Facility 5'!$N$4)*Output!$N$2,0)</f>
        <v>0</v>
      </c>
      <c r="M63" s="225" t="s">
        <v>335</v>
      </c>
      <c r="N63" s="55"/>
    </row>
    <row r="64" spans="2:20" ht="15" customHeight="1" x14ac:dyDescent="0.25">
      <c r="B64" s="170"/>
      <c r="C64" s="17" t="s">
        <v>122</v>
      </c>
      <c r="D64" s="342">
        <f>D62+D63</f>
        <v>0</v>
      </c>
      <c r="E64" s="343"/>
      <c r="F64" s="162"/>
      <c r="G64" s="226" t="s">
        <v>336</v>
      </c>
      <c r="H64" s="226"/>
      <c r="I64" s="39"/>
      <c r="J64" s="39"/>
      <c r="K64" s="39"/>
      <c r="L64" s="303">
        <f>IFERROR((D64/'Facility 5'!$N$4)*Output!$N$2,0)</f>
        <v>0</v>
      </c>
      <c r="M64" s="227" t="s">
        <v>336</v>
      </c>
      <c r="N64" s="316"/>
    </row>
    <row r="65" spans="2:14" ht="15" customHeight="1" x14ac:dyDescent="0.25">
      <c r="B65" s="170"/>
      <c r="C65" s="18" t="s">
        <v>123</v>
      </c>
      <c r="D65" s="344">
        <f>N16+N28+N35+N43</f>
        <v>0</v>
      </c>
      <c r="E65" s="345"/>
      <c r="F65" s="228"/>
      <c r="G65" s="57" t="s">
        <v>125</v>
      </c>
      <c r="H65" s="57"/>
      <c r="I65" s="229"/>
      <c r="J65" s="229"/>
      <c r="K65" s="229"/>
      <c r="L65" s="303">
        <f>IFERROR((D65/'Facility 5'!$N$4)*Output!$N$2,0)</f>
        <v>0</v>
      </c>
      <c r="M65" s="96" t="s">
        <v>125</v>
      </c>
      <c r="N65" s="61"/>
    </row>
    <row r="66" spans="2:14" ht="15" customHeight="1" x14ac:dyDescent="0.25">
      <c r="B66" s="171"/>
      <c r="C66" s="20" t="s">
        <v>195</v>
      </c>
      <c r="D66" s="346">
        <f>N51</f>
        <v>0</v>
      </c>
      <c r="E66" s="347"/>
      <c r="F66" s="230"/>
      <c r="G66" s="63" t="s">
        <v>125</v>
      </c>
      <c r="H66" s="63"/>
      <c r="I66" s="231"/>
      <c r="J66" s="231"/>
      <c r="K66" s="231"/>
      <c r="L66" s="304">
        <f>IFERROR((D66/'Facility 5'!$N$4)*Output!$N$2,0)</f>
        <v>0</v>
      </c>
      <c r="M66" s="97" t="s">
        <v>125</v>
      </c>
      <c r="N66" s="67"/>
    </row>
    <row r="67" spans="2:14" ht="15" customHeight="1" x14ac:dyDescent="0.25">
      <c r="B67" s="172"/>
      <c r="C67" s="19"/>
      <c r="D67" s="16"/>
      <c r="E67" s="16"/>
      <c r="F67" s="15"/>
      <c r="G67" s="15"/>
      <c r="H67" s="15"/>
      <c r="I67" s="13"/>
      <c r="J67" s="13"/>
      <c r="K67" s="13"/>
      <c r="L67" s="13"/>
      <c r="M67" s="14"/>
      <c r="N67" s="14"/>
    </row>
    <row r="68" spans="2:14" ht="15" customHeight="1" x14ac:dyDescent="0.25">
      <c r="B68" s="173"/>
      <c r="C68" s="332" t="s">
        <v>320</v>
      </c>
      <c r="D68" s="332"/>
      <c r="E68" s="332"/>
      <c r="F68" s="332"/>
      <c r="G68" s="332"/>
      <c r="H68" s="332"/>
      <c r="I68" s="332"/>
      <c r="J68" s="332"/>
      <c r="K68" s="332"/>
      <c r="L68" s="332"/>
      <c r="M68" s="332"/>
      <c r="N68" s="333"/>
    </row>
    <row r="69" spans="2:14" ht="15" customHeight="1" x14ac:dyDescent="0.25">
      <c r="B69" s="21"/>
      <c r="C69" s="334"/>
      <c r="D69" s="334"/>
      <c r="E69" s="334"/>
      <c r="F69" s="334"/>
      <c r="G69" s="334"/>
      <c r="H69" s="334"/>
      <c r="I69" s="334"/>
      <c r="J69" s="334"/>
      <c r="K69" s="334"/>
      <c r="L69" s="334"/>
      <c r="M69" s="334"/>
      <c r="N69" s="335"/>
    </row>
    <row r="70" spans="2:14" ht="15" customHeight="1" x14ac:dyDescent="0.25">
      <c r="B70" s="22"/>
      <c r="C70" s="330" t="s">
        <v>207</v>
      </c>
      <c r="D70" s="33"/>
      <c r="E70" s="34" t="s">
        <v>241</v>
      </c>
      <c r="F70" s="341" t="str">
        <f>IF(L64&gt;=25000,"You may have triggered the emissions reporting threshold for this facility. Please contact the Clean Energy Regulator",IF(L64&gt;21000, "You are close to the emissions reporting threshold for this facility. Please contact the Clean Energy Regulator",""))</f>
        <v/>
      </c>
      <c r="G70" s="341"/>
      <c r="H70" s="341"/>
      <c r="I70" s="341"/>
      <c r="J70" s="341"/>
      <c r="K70" s="341"/>
      <c r="L70" s="341"/>
      <c r="M70" s="341"/>
      <c r="N70" s="35" t="s">
        <v>242</v>
      </c>
    </row>
    <row r="71" spans="2:14" ht="15" customHeight="1" x14ac:dyDescent="0.3">
      <c r="B71" s="168"/>
      <c r="C71" s="330"/>
      <c r="D71" s="36"/>
      <c r="E71" s="337">
        <f>L64</f>
        <v>0</v>
      </c>
      <c r="F71" s="337"/>
      <c r="G71" s="337"/>
      <c r="H71" s="337"/>
      <c r="I71" s="337"/>
      <c r="J71" s="337"/>
      <c r="K71" s="337"/>
      <c r="L71" s="337"/>
      <c r="M71" s="337"/>
      <c r="N71" s="338"/>
    </row>
    <row r="72" spans="2:14" ht="15" customHeight="1" x14ac:dyDescent="0.3">
      <c r="B72" s="168"/>
      <c r="C72" s="330" t="s">
        <v>206</v>
      </c>
      <c r="D72" s="36"/>
      <c r="E72" s="37" t="s">
        <v>203</v>
      </c>
      <c r="F72" s="348" t="str">
        <f>IF(L65&gt;=100000,"You may have triggered the energy reporting threshold for this facility. Please contact the Clean Energy Regulator",IF(L65&gt;90000, "You are close to the energy reporting threshold for this facility. Please contact the Clean Energy Regulator",""))</f>
        <v/>
      </c>
      <c r="G72" s="348"/>
      <c r="H72" s="348"/>
      <c r="I72" s="348"/>
      <c r="J72" s="348"/>
      <c r="K72" s="348"/>
      <c r="L72" s="348"/>
      <c r="M72" s="348"/>
      <c r="N72" s="38" t="s">
        <v>218</v>
      </c>
    </row>
    <row r="73" spans="2:14" ht="17.45" customHeight="1" x14ac:dyDescent="0.25">
      <c r="B73" s="168"/>
      <c r="C73" s="330"/>
      <c r="D73" s="174"/>
      <c r="E73" s="337">
        <f>L65</f>
        <v>0</v>
      </c>
      <c r="F73" s="337"/>
      <c r="G73" s="337"/>
      <c r="H73" s="337"/>
      <c r="I73" s="337"/>
      <c r="J73" s="337"/>
      <c r="K73" s="337"/>
      <c r="L73" s="337"/>
      <c r="M73" s="337"/>
      <c r="N73" s="338"/>
    </row>
    <row r="74" spans="2:14" ht="17.45" customHeight="1" x14ac:dyDescent="0.25">
      <c r="B74" s="168"/>
      <c r="C74" s="330" t="s">
        <v>208</v>
      </c>
      <c r="D74" s="174"/>
      <c r="E74" s="37" t="s">
        <v>203</v>
      </c>
      <c r="F74" s="348" t="str">
        <f>IF(L66&gt;=100000,"You may have triggered the energy reporting threshold for this facility. Please contact the Clean Energy Regulator",IF(L66&gt;90000, "You are close to the energy reporting threshold for this facility. Please contact the Clean Energy Regulator",""))</f>
        <v/>
      </c>
      <c r="G74" s="348"/>
      <c r="H74" s="348"/>
      <c r="I74" s="348"/>
      <c r="J74" s="348"/>
      <c r="K74" s="348"/>
      <c r="L74" s="348"/>
      <c r="M74" s="348"/>
      <c r="N74" s="38" t="s">
        <v>218</v>
      </c>
    </row>
    <row r="75" spans="2:14" ht="17.45" customHeight="1" x14ac:dyDescent="0.25">
      <c r="B75" s="175"/>
      <c r="C75" s="331"/>
      <c r="D75" s="176"/>
      <c r="E75" s="339">
        <f>L66</f>
        <v>0</v>
      </c>
      <c r="F75" s="339"/>
      <c r="G75" s="339"/>
      <c r="H75" s="339"/>
      <c r="I75" s="339"/>
      <c r="J75" s="339"/>
      <c r="K75" s="339"/>
      <c r="L75" s="339"/>
      <c r="M75" s="339"/>
      <c r="N75" s="340"/>
    </row>
    <row r="76" spans="2:14" ht="17.45" customHeight="1" x14ac:dyDescent="0.25">
      <c r="B76" s="6"/>
      <c r="C76" s="6"/>
      <c r="D76" s="6"/>
      <c r="E76" s="6"/>
      <c r="F76" s="6"/>
      <c r="G76" s="6"/>
      <c r="H76" s="6"/>
      <c r="I76" s="6"/>
      <c r="J76" s="6"/>
      <c r="K76" s="6"/>
      <c r="L76" s="6"/>
      <c r="M76" s="6"/>
      <c r="N76" s="6"/>
    </row>
    <row r="77" spans="2:14" ht="17.45" hidden="1" customHeight="1" x14ac:dyDescent="0.25"/>
    <row r="78" spans="2:14" ht="17.45" hidden="1" customHeight="1" x14ac:dyDescent="0.25"/>
    <row r="79" spans="2:14" ht="17.45" hidden="1" customHeight="1" x14ac:dyDescent="0.25"/>
    <row r="80" spans="2:14" ht="17.45" hidden="1" customHeight="1" x14ac:dyDescent="0.25"/>
    <row r="81" ht="17.45" hidden="1" customHeight="1" x14ac:dyDescent="0.25"/>
    <row r="82" ht="17.45" hidden="1" customHeight="1" x14ac:dyDescent="0.25"/>
    <row r="83" ht="17.45" hidden="1" customHeight="1" x14ac:dyDescent="0.25"/>
    <row r="84" ht="17.45" hidden="1" customHeight="1" x14ac:dyDescent="0.25"/>
    <row r="85" ht="17.45" hidden="1" customHeight="1" x14ac:dyDescent="0.25"/>
    <row r="86" ht="17.45" hidden="1" customHeight="1" x14ac:dyDescent="0.25"/>
    <row r="87" ht="17.45" hidden="1" customHeight="1" x14ac:dyDescent="0.25"/>
    <row r="88" ht="17.45" hidden="1" customHeight="1" x14ac:dyDescent="0.25"/>
    <row r="89" ht="17.45" hidden="1" customHeight="1" x14ac:dyDescent="0.25"/>
    <row r="90" ht="17.45" hidden="1" customHeight="1" x14ac:dyDescent="0.25"/>
    <row r="91" ht="17.45" hidden="1" customHeight="1" x14ac:dyDescent="0.25"/>
    <row r="92" ht="17.45" hidden="1" customHeight="1" x14ac:dyDescent="0.25"/>
    <row r="93" ht="17.45" hidden="1" customHeight="1" x14ac:dyDescent="0.25"/>
    <row r="94" ht="17.45" hidden="1" customHeight="1" x14ac:dyDescent="0.25"/>
    <row r="95" ht="17.45" hidden="1" customHeight="1" x14ac:dyDescent="0.25"/>
    <row r="96" ht="17.45" hidden="1" customHeight="1" x14ac:dyDescent="0.25"/>
    <row r="97" ht="17.45" hidden="1" customHeight="1" x14ac:dyDescent="0.25"/>
    <row r="98" ht="17.45" hidden="1" customHeight="1" x14ac:dyDescent="0.25"/>
  </sheetData>
  <sheetProtection algorithmName="SHA-256" hashValue="yMpdm1zzO6iIY3cG6Fsd5MFd0WWA7D0ImvU36IilifI=" saltValue="24XMpzSyBmKVR/++575NrA==" spinCount="100000" sheet="1" objects="1" scenarios="1" selectLockedCells="1"/>
  <mergeCells count="55">
    <mergeCell ref="C72:C73"/>
    <mergeCell ref="F72:M72"/>
    <mergeCell ref="E73:N73"/>
    <mergeCell ref="C74:C75"/>
    <mergeCell ref="F74:M74"/>
    <mergeCell ref="E75:N75"/>
    <mergeCell ref="D65:E65"/>
    <mergeCell ref="D66:E66"/>
    <mergeCell ref="C68:N69"/>
    <mergeCell ref="C70:C71"/>
    <mergeCell ref="F70:M70"/>
    <mergeCell ref="E71:N71"/>
    <mergeCell ref="D64:E64"/>
    <mergeCell ref="G51:L51"/>
    <mergeCell ref="C53:C54"/>
    <mergeCell ref="E53:E54"/>
    <mergeCell ref="G53:G54"/>
    <mergeCell ref="I53:K53"/>
    <mergeCell ref="G58:L58"/>
    <mergeCell ref="C60:C61"/>
    <mergeCell ref="D60:G61"/>
    <mergeCell ref="L60:M61"/>
    <mergeCell ref="D62:E62"/>
    <mergeCell ref="D63:E63"/>
    <mergeCell ref="J50:K50"/>
    <mergeCell ref="G35:L35"/>
    <mergeCell ref="C37:C38"/>
    <mergeCell ref="E37:E38"/>
    <mergeCell ref="G37:G38"/>
    <mergeCell ref="I37:K37"/>
    <mergeCell ref="J42:K42"/>
    <mergeCell ref="G43:L43"/>
    <mergeCell ref="C45:C46"/>
    <mergeCell ref="E45:E46"/>
    <mergeCell ref="G45:G46"/>
    <mergeCell ref="I45:K45"/>
    <mergeCell ref="J34:L34"/>
    <mergeCell ref="G16:L16"/>
    <mergeCell ref="C18:C19"/>
    <mergeCell ref="E18:E19"/>
    <mergeCell ref="G18:G19"/>
    <mergeCell ref="I18:K18"/>
    <mergeCell ref="G28:L28"/>
    <mergeCell ref="C30:C31"/>
    <mergeCell ref="E30:E31"/>
    <mergeCell ref="G30:G31"/>
    <mergeCell ref="I30:K30"/>
    <mergeCell ref="J33:L33"/>
    <mergeCell ref="C2:N2"/>
    <mergeCell ref="E4:H4"/>
    <mergeCell ref="J4:L4"/>
    <mergeCell ref="C6:C7"/>
    <mergeCell ref="E6:E7"/>
    <mergeCell ref="G6:G7"/>
    <mergeCell ref="I6:K6"/>
  </mergeCells>
  <conditionalFormatting sqref="I41 I33:I34">
    <cfRule type="cellIs" dxfId="42" priority="17" operator="equal">
      <formula>0.64</formula>
    </cfRule>
  </conditionalFormatting>
  <conditionalFormatting sqref="I41:M41 C65 M33:N34 I33:J34">
    <cfRule type="cellIs" dxfId="41" priority="16" operator="equal">
      <formula>0</formula>
    </cfRule>
  </conditionalFormatting>
  <conditionalFormatting sqref="I40:N40 J42 L42:M42 N41:N42">
    <cfRule type="cellIs" dxfId="40" priority="15" operator="equal">
      <formula>0</formula>
    </cfRule>
  </conditionalFormatting>
  <conditionalFormatting sqref="I49:M49">
    <cfRule type="aboveAverage" dxfId="39" priority="14"/>
  </conditionalFormatting>
  <conditionalFormatting sqref="I48:N48 J50 L50:M50 N49:N50">
    <cfRule type="cellIs" dxfId="38" priority="13" operator="equal">
      <formula>0</formula>
    </cfRule>
  </conditionalFormatting>
  <conditionalFormatting sqref="G64:I64 G62:G63">
    <cfRule type="dataBar" priority="12">
      <dataBar>
        <cfvo type="min"/>
        <cfvo type="max"/>
        <color rgb="FF638EC6"/>
      </dataBar>
      <extLst>
        <ext xmlns:x14="http://schemas.microsoft.com/office/spreadsheetml/2009/9/main" uri="{B025F937-C7B1-47D3-B67F-A62EFF666E3E}">
          <x14:id>{17D29E69-9E40-47CF-BFA8-CEDC39F36EE7}</x14:id>
        </ext>
      </extLst>
    </cfRule>
  </conditionalFormatting>
  <conditionalFormatting sqref="I9:N15">
    <cfRule type="cellIs" dxfId="37" priority="11" operator="equal">
      <formula>0</formula>
    </cfRule>
  </conditionalFormatting>
  <conditionalFormatting sqref="E71:N71">
    <cfRule type="dataBar" priority="10">
      <dataBar>
        <cfvo type="num" val="0"/>
        <cfvo type="num" val="25000"/>
        <color rgb="FF638EC6"/>
      </dataBar>
      <extLst>
        <ext xmlns:x14="http://schemas.microsoft.com/office/spreadsheetml/2009/9/main" uri="{B025F937-C7B1-47D3-B67F-A62EFF666E3E}">
          <x14:id>{C62DC64A-CB3E-4E20-85CA-32494B434C56}</x14:id>
        </ext>
      </extLst>
    </cfRule>
  </conditionalFormatting>
  <conditionalFormatting sqref="E73:N73">
    <cfRule type="dataBar" priority="9">
      <dataBar>
        <cfvo type="num" val="0"/>
        <cfvo type="num" val="100000"/>
        <color rgb="FF638EC6"/>
      </dataBar>
      <extLst>
        <ext xmlns:x14="http://schemas.microsoft.com/office/spreadsheetml/2009/9/main" uri="{B025F937-C7B1-47D3-B67F-A62EFF666E3E}">
          <x14:id>{DACD0CF4-A6FC-4F38-ADDB-A194EE777B14}</x14:id>
        </ext>
      </extLst>
    </cfRule>
  </conditionalFormatting>
  <conditionalFormatting sqref="E75:N75">
    <cfRule type="dataBar" priority="8">
      <dataBar>
        <cfvo type="num" val="0"/>
        <cfvo type="num" val="100000"/>
        <color rgb="FF638EC6"/>
      </dataBar>
      <extLst>
        <ext xmlns:x14="http://schemas.microsoft.com/office/spreadsheetml/2009/9/main" uri="{B025F937-C7B1-47D3-B67F-A62EFF666E3E}">
          <x14:id>{C3EF9E0F-2182-4BC3-9E57-FEEF1DCF91AC}</x14:id>
        </ext>
      </extLst>
    </cfRule>
  </conditionalFormatting>
  <conditionalFormatting sqref="G21:N27">
    <cfRule type="cellIs" dxfId="36" priority="7" operator="equal">
      <formula>0</formula>
    </cfRule>
  </conditionalFormatting>
  <conditionalFormatting sqref="H40:N42">
    <cfRule type="cellIs" dxfId="35" priority="6" operator="equal">
      <formula>0</formula>
    </cfRule>
  </conditionalFormatting>
  <conditionalFormatting sqref="H48:N50">
    <cfRule type="cellIs" dxfId="34" priority="5" operator="equal">
      <formula>0</formula>
    </cfRule>
  </conditionalFormatting>
  <conditionalFormatting sqref="N4">
    <cfRule type="expression" dxfId="33" priority="3">
      <formula>M4="No specific period"</formula>
    </cfRule>
    <cfRule type="cellIs" dxfId="32" priority="4" operator="equal">
      <formula>"# of days?"</formula>
    </cfRule>
  </conditionalFormatting>
  <conditionalFormatting sqref="M62:M64">
    <cfRule type="dataBar" priority="2">
      <dataBar>
        <cfvo type="min"/>
        <cfvo type="max"/>
        <color rgb="FF638EC6"/>
      </dataBar>
      <extLst>
        <ext xmlns:x14="http://schemas.microsoft.com/office/spreadsheetml/2009/9/main" uri="{B025F937-C7B1-47D3-B67F-A62EFF666E3E}">
          <x14:id>{EC4C8A97-98F1-49FD-8F72-F7B17B7B9AA7}</x14:id>
        </ext>
      </extLst>
    </cfRule>
  </conditionalFormatting>
  <conditionalFormatting sqref="L57 N57">
    <cfRule type="cellIs" dxfId="31" priority="1" operator="equal">
      <formula>0</formula>
    </cfRule>
  </conditionalFormatting>
  <dataValidations count="1">
    <dataValidation type="list" allowBlank="1" showInputMessage="1" showErrorMessage="1" sqref="M4" xr:uid="{00000000-0002-0000-0500-000000000000}">
      <formula1>$Q$3:$Q$4</formula1>
    </dataValidation>
  </dataValidations>
  <pageMargins left="0.7" right="0.7" top="0.75" bottom="0.75" header="0.3" footer="0.3"/>
  <pageSetup paperSize="9" scale="66" orientation="landscape" r:id="rId1"/>
  <drawing r:id="rId2"/>
  <extLst>
    <ext xmlns:x14="http://schemas.microsoft.com/office/spreadsheetml/2009/9/main" uri="{78C0D931-6437-407d-A8EE-F0AAD7539E65}">
      <x14:conditionalFormattings>
        <x14:conditionalFormatting xmlns:xm="http://schemas.microsoft.com/office/excel/2006/main">
          <x14:cfRule type="dataBar" id="{17D29E69-9E40-47CF-BFA8-CEDC39F36EE7}">
            <x14:dataBar minLength="0" maxLength="100" border="1" negativeBarBorderColorSameAsPositive="0">
              <x14:cfvo type="autoMin"/>
              <x14:cfvo type="autoMax"/>
              <x14:borderColor rgb="FF638EC6"/>
              <x14:negativeFillColor rgb="FFFF0000"/>
              <x14:negativeBorderColor rgb="FFFF0000"/>
              <x14:axisColor rgb="FF000000"/>
            </x14:dataBar>
          </x14:cfRule>
          <xm:sqref>G64:I64 G62:G63</xm:sqref>
        </x14:conditionalFormatting>
        <x14:conditionalFormatting xmlns:xm="http://schemas.microsoft.com/office/excel/2006/main">
          <x14:cfRule type="dataBar" id="{C62DC64A-CB3E-4E20-85CA-32494B434C56}">
            <x14:dataBar minLength="0" maxLength="100" gradient="0">
              <x14:cfvo type="num">
                <xm:f>0</xm:f>
              </x14:cfvo>
              <x14:cfvo type="num">
                <xm:f>25000</xm:f>
              </x14:cfvo>
              <x14:negativeFillColor rgb="FFFF0000"/>
              <x14:axisColor rgb="FF000000"/>
            </x14:dataBar>
          </x14:cfRule>
          <xm:sqref>E71:N71</xm:sqref>
        </x14:conditionalFormatting>
        <x14:conditionalFormatting xmlns:xm="http://schemas.microsoft.com/office/excel/2006/main">
          <x14:cfRule type="dataBar" id="{DACD0CF4-A6FC-4F38-ADDB-A194EE777B14}">
            <x14:dataBar minLength="0" maxLength="100" gradient="0">
              <x14:cfvo type="num">
                <xm:f>0</xm:f>
              </x14:cfvo>
              <x14:cfvo type="num">
                <xm:f>100000</xm:f>
              </x14:cfvo>
              <x14:negativeFillColor rgb="FFFF0000"/>
              <x14:axisColor rgb="FF000000"/>
            </x14:dataBar>
          </x14:cfRule>
          <xm:sqref>E73:N73</xm:sqref>
        </x14:conditionalFormatting>
        <x14:conditionalFormatting xmlns:xm="http://schemas.microsoft.com/office/excel/2006/main">
          <x14:cfRule type="dataBar" id="{C3EF9E0F-2182-4BC3-9E57-FEEF1DCF91AC}">
            <x14:dataBar minLength="0" maxLength="100" gradient="0">
              <x14:cfvo type="num">
                <xm:f>0</xm:f>
              </x14:cfvo>
              <x14:cfvo type="num">
                <xm:f>100000</xm:f>
              </x14:cfvo>
              <x14:negativeFillColor rgb="FFFF0000"/>
              <x14:axisColor rgb="FF000000"/>
            </x14:dataBar>
          </x14:cfRule>
          <xm:sqref>E75:N75</xm:sqref>
        </x14:conditionalFormatting>
        <x14:conditionalFormatting xmlns:xm="http://schemas.microsoft.com/office/excel/2006/main">
          <x14:cfRule type="dataBar" id="{EC4C8A97-98F1-49FD-8F72-F7B17B7B9AA7}">
            <x14:dataBar minLength="0" maxLength="100" border="1" negativeBarBorderColorSameAsPositive="0">
              <x14:cfvo type="autoMin"/>
              <x14:cfvo type="autoMax"/>
              <x14:borderColor rgb="FF638EC6"/>
              <x14:negativeFillColor rgb="FFFF0000"/>
              <x14:negativeBorderColor rgb="FFFF0000"/>
              <x14:axisColor rgb="FF000000"/>
            </x14:dataBar>
          </x14:cfRule>
          <xm:sqref>M62:M64</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500-000001000000}">
          <x14:formula1>
            <xm:f>'Calculation engine'!$B$8:$B$28</xm:f>
          </x14:formula1>
          <xm:sqref>C9:C15</xm:sqref>
        </x14:dataValidation>
        <x14:dataValidation type="list" allowBlank="1" showInputMessage="1" showErrorMessage="1" xr:uid="{00000000-0002-0000-0500-000002000000}">
          <x14:formula1>
            <xm:f>'Calculation engine'!$I$8:$I$62</xm:f>
          </x14:formula1>
          <xm:sqref>C21:C27</xm:sqref>
        </x14:dataValidation>
        <x14:dataValidation type="list" allowBlank="1" showInputMessage="1" showErrorMessage="1" xr:uid="{00000000-0002-0000-0500-000003000000}">
          <x14:formula1>
            <xm:f>'Calculation engine'!$Q$10:$Q$19</xm:f>
          </x14:formula1>
          <xm:sqref>C33:C34</xm:sqref>
        </x14:dataValidation>
        <x14:dataValidation type="list" allowBlank="1" showInputMessage="1" showErrorMessage="1" xr:uid="{00000000-0002-0000-0500-000004000000}">
          <x14:formula1>
            <xm:f>'Calculation engine'!$AD$8:$AD$78</xm:f>
          </x14:formula1>
          <xm:sqref>C40:C42</xm:sqref>
        </x14:dataValidation>
        <x14:dataValidation type="list" allowBlank="1" showInputMessage="1" showErrorMessage="1" xr:uid="{00000000-0002-0000-0500-000005000000}">
          <x14:formula1>
            <xm:f>'Calculation engine'!$W$8:$W$72</xm:f>
          </x14:formula1>
          <xm:sqref>C48:C50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T98"/>
  <sheetViews>
    <sheetView showRowColHeaders="0" zoomScaleNormal="100" workbookViewId="0"/>
  </sheetViews>
  <sheetFormatPr defaultColWidth="0" defaultRowHeight="15" customHeight="1" zeroHeight="1" x14ac:dyDescent="0.25"/>
  <cols>
    <col min="1" max="2" width="4" style="2" customWidth="1"/>
    <col min="3" max="3" width="67.5703125" style="2" customWidth="1"/>
    <col min="4" max="4" width="3.42578125" style="2" customWidth="1"/>
    <col min="5" max="5" width="19.7109375" style="2" customWidth="1"/>
    <col min="6" max="6" width="3.7109375" style="2" customWidth="1"/>
    <col min="7" max="8" width="9.140625" style="2" customWidth="1"/>
    <col min="9" max="9" width="13.5703125" style="2" customWidth="1"/>
    <col min="10" max="10" width="12.140625" style="2" customWidth="1"/>
    <col min="11" max="11" width="11.85546875" style="2" customWidth="1"/>
    <col min="12" max="12" width="22.5703125" style="2" customWidth="1"/>
    <col min="13" max="13" width="23.85546875" style="2" customWidth="1"/>
    <col min="14" max="14" width="23.28515625" style="2" customWidth="1"/>
    <col min="15" max="15" width="4.5703125" style="2" customWidth="1"/>
    <col min="16" max="16384" width="9.140625" style="2" hidden="1"/>
  </cols>
  <sheetData>
    <row r="1" spans="2:20" ht="203.25" customHeight="1" x14ac:dyDescent="0.25"/>
    <row r="2" spans="2:20" ht="33" customHeight="1" x14ac:dyDescent="0.25">
      <c r="B2" s="311"/>
      <c r="C2" s="360" t="s">
        <v>236</v>
      </c>
      <c r="D2" s="360"/>
      <c r="E2" s="360"/>
      <c r="F2" s="360"/>
      <c r="G2" s="360"/>
      <c r="H2" s="360"/>
      <c r="I2" s="360"/>
      <c r="J2" s="360"/>
      <c r="K2" s="360"/>
      <c r="L2" s="360"/>
      <c r="M2" s="360"/>
      <c r="N2" s="360"/>
    </row>
    <row r="3" spans="2:20" ht="15" customHeight="1" x14ac:dyDescent="0.25">
      <c r="B3" s="177"/>
      <c r="C3" s="177"/>
      <c r="D3" s="177"/>
      <c r="E3" s="177"/>
      <c r="F3" s="177"/>
      <c r="G3" s="177"/>
      <c r="H3" s="177"/>
      <c r="I3" s="177"/>
      <c r="J3" s="177"/>
      <c r="K3" s="177"/>
      <c r="L3" s="177"/>
      <c r="M3" s="177"/>
      <c r="N3" s="23" t="str">
        <f>IF(M4="Part year","Enter days below","")</f>
        <v/>
      </c>
      <c r="Q3" s="2" t="s">
        <v>226</v>
      </c>
    </row>
    <row r="4" spans="2:20" ht="15" customHeight="1" x14ac:dyDescent="0.25">
      <c r="B4" s="311"/>
      <c r="C4" s="310" t="s">
        <v>224</v>
      </c>
      <c r="D4" s="177"/>
      <c r="E4" s="361"/>
      <c r="F4" s="362"/>
      <c r="G4" s="362"/>
      <c r="H4" s="363"/>
      <c r="I4" s="177"/>
      <c r="J4" s="356" t="s">
        <v>225</v>
      </c>
      <c r="K4" s="357"/>
      <c r="L4" s="357"/>
      <c r="M4" s="73" t="s">
        <v>226</v>
      </c>
      <c r="N4" s="73">
        <f>IF(M4="Full year",365,"")</f>
        <v>365</v>
      </c>
      <c r="Q4" s="2" t="s">
        <v>227</v>
      </c>
    </row>
    <row r="5" spans="2:20" x14ac:dyDescent="0.25">
      <c r="B5" s="8"/>
      <c r="C5" s="8"/>
      <c r="D5" s="8"/>
      <c r="E5" s="8"/>
      <c r="F5" s="8"/>
      <c r="G5" s="8"/>
      <c r="H5" s="8"/>
      <c r="I5" s="8"/>
      <c r="J5" s="8"/>
      <c r="K5" s="8"/>
      <c r="L5" s="8"/>
      <c r="M5" s="8"/>
      <c r="N5" s="8"/>
    </row>
    <row r="6" spans="2:20" x14ac:dyDescent="0.25">
      <c r="B6" s="178"/>
      <c r="C6" s="353" t="s">
        <v>199</v>
      </c>
      <c r="D6" s="308"/>
      <c r="E6" s="354" t="s">
        <v>0</v>
      </c>
      <c r="F6" s="308"/>
      <c r="G6" s="354" t="s">
        <v>1</v>
      </c>
      <c r="H6" s="179"/>
      <c r="I6" s="355" t="s">
        <v>6</v>
      </c>
      <c r="J6" s="355"/>
      <c r="K6" s="355"/>
      <c r="L6" s="179"/>
      <c r="M6" s="308" t="s">
        <v>7</v>
      </c>
      <c r="N6" s="69" t="s">
        <v>5</v>
      </c>
      <c r="Q6" s="2" t="s">
        <v>190</v>
      </c>
    </row>
    <row r="7" spans="2:20" ht="14.25" customHeight="1" x14ac:dyDescent="0.25">
      <c r="B7" s="180"/>
      <c r="C7" s="334"/>
      <c r="D7" s="309"/>
      <c r="E7" s="352"/>
      <c r="F7" s="309"/>
      <c r="G7" s="352"/>
      <c r="H7" s="74"/>
      <c r="I7" s="1" t="s">
        <v>329</v>
      </c>
      <c r="J7" s="1" t="s">
        <v>330</v>
      </c>
      <c r="K7" s="1" t="s">
        <v>331</v>
      </c>
      <c r="L7" s="309"/>
      <c r="M7" s="1" t="s">
        <v>332</v>
      </c>
      <c r="N7" s="181" t="s">
        <v>8</v>
      </c>
    </row>
    <row r="8" spans="2:20" x14ac:dyDescent="0.25">
      <c r="B8" s="182"/>
      <c r="C8" s="161" t="s">
        <v>119</v>
      </c>
      <c r="D8" s="161"/>
      <c r="E8" s="161" t="s">
        <v>120</v>
      </c>
      <c r="F8" s="161"/>
      <c r="G8" s="161"/>
      <c r="H8" s="160"/>
      <c r="I8" s="160"/>
      <c r="J8" s="160"/>
      <c r="K8" s="160"/>
      <c r="L8" s="160"/>
      <c r="M8" s="160"/>
      <c r="N8" s="184"/>
      <c r="Q8" s="11" t="s">
        <v>2</v>
      </c>
      <c r="R8" s="11" t="s">
        <v>3</v>
      </c>
      <c r="S8" s="11" t="s">
        <v>4</v>
      </c>
      <c r="T8" s="11" t="s">
        <v>21</v>
      </c>
    </row>
    <row r="9" spans="2:20" ht="15" customHeight="1" x14ac:dyDescent="0.25">
      <c r="B9" s="182"/>
      <c r="C9" s="157" t="s">
        <v>112</v>
      </c>
      <c r="D9" s="160"/>
      <c r="E9" s="158"/>
      <c r="F9" s="161"/>
      <c r="G9" s="162" t="str">
        <f>VLOOKUP($C9,'Calculation engine'!$B$8:$G$28,6,FALSE)</f>
        <v>-</v>
      </c>
      <c r="H9" s="163"/>
      <c r="I9" s="299">
        <f>Q9*$N9/1000</f>
        <v>0</v>
      </c>
      <c r="J9" s="299">
        <f>R9*$N9/1000</f>
        <v>0</v>
      </c>
      <c r="K9" s="299">
        <f>S9*$N9/1000</f>
        <v>0</v>
      </c>
      <c r="L9" s="312"/>
      <c r="M9" s="299">
        <f>SUM(I9:K9)</f>
        <v>0</v>
      </c>
      <c r="N9" s="300">
        <f>T9*E9</f>
        <v>0</v>
      </c>
      <c r="Q9" s="11">
        <f>VLOOKUP($C9,'Calculation engine'!$B$8:$G$28,3,FALSE)</f>
        <v>0</v>
      </c>
      <c r="R9" s="11">
        <f>VLOOKUP($C9,'Calculation engine'!$B$8:$G$28,4,FALSE)</f>
        <v>0</v>
      </c>
      <c r="S9" s="11">
        <f>VLOOKUP($C9,'Calculation engine'!$B$8:$G$28,5,FALSE)</f>
        <v>0</v>
      </c>
      <c r="T9" s="11">
        <f>VLOOKUP($C9,'Calculation engine'!$B$8:$G$28,2,FALSE)</f>
        <v>0</v>
      </c>
    </row>
    <row r="10" spans="2:20" ht="15" customHeight="1" x14ac:dyDescent="0.25">
      <c r="B10" s="182"/>
      <c r="C10" s="157" t="s">
        <v>112</v>
      </c>
      <c r="D10" s="160"/>
      <c r="E10" s="159"/>
      <c r="F10" s="161"/>
      <c r="G10" s="162" t="str">
        <f>VLOOKUP($C10,'Calculation engine'!$B$8:$G$28,6,FALSE)</f>
        <v>-</v>
      </c>
      <c r="H10" s="163"/>
      <c r="I10" s="299">
        <f t="shared" ref="I10:K15" si="0">Q10*$N10/1000</f>
        <v>0</v>
      </c>
      <c r="J10" s="299">
        <f t="shared" si="0"/>
        <v>0</v>
      </c>
      <c r="K10" s="299">
        <f t="shared" si="0"/>
        <v>0</v>
      </c>
      <c r="L10" s="312"/>
      <c r="M10" s="299">
        <f t="shared" ref="M10:M15" si="1">SUM(I10:K10)</f>
        <v>0</v>
      </c>
      <c r="N10" s="300">
        <f t="shared" ref="N10:N15" si="2">T10*E10</f>
        <v>0</v>
      </c>
      <c r="Q10" s="11">
        <f>VLOOKUP($C10,'Calculation engine'!$B$8:$G$28,3,FALSE)</f>
        <v>0</v>
      </c>
      <c r="R10" s="11">
        <f>VLOOKUP($C10,'Calculation engine'!$B$8:$G$28,4,FALSE)</f>
        <v>0</v>
      </c>
      <c r="S10" s="11">
        <f>VLOOKUP($C10,'Calculation engine'!$B$8:$G$28,5,FALSE)</f>
        <v>0</v>
      </c>
      <c r="T10" s="11">
        <f>VLOOKUP($C10,'Calculation engine'!$B$8:$G$28,2,FALSE)</f>
        <v>0</v>
      </c>
    </row>
    <row r="11" spans="2:20" ht="15" customHeight="1" x14ac:dyDescent="0.25">
      <c r="B11" s="182"/>
      <c r="C11" s="157" t="s">
        <v>112</v>
      </c>
      <c r="D11" s="160"/>
      <c r="E11" s="159"/>
      <c r="F11" s="161"/>
      <c r="G11" s="162" t="str">
        <f>VLOOKUP($C11,'Calculation engine'!$B$8:$G$28,6,FALSE)</f>
        <v>-</v>
      </c>
      <c r="H11" s="163"/>
      <c r="I11" s="299">
        <f t="shared" si="0"/>
        <v>0</v>
      </c>
      <c r="J11" s="299">
        <f t="shared" si="0"/>
        <v>0</v>
      </c>
      <c r="K11" s="299">
        <f t="shared" si="0"/>
        <v>0</v>
      </c>
      <c r="L11" s="312"/>
      <c r="M11" s="299">
        <f>SUM(I11:K11)</f>
        <v>0</v>
      </c>
      <c r="N11" s="300">
        <f>T11*E11</f>
        <v>0</v>
      </c>
      <c r="Q11" s="11">
        <f>VLOOKUP($C11,'Calculation engine'!$B$8:$G$28,3,FALSE)</f>
        <v>0</v>
      </c>
      <c r="R11" s="11">
        <f>VLOOKUP($C11,'Calculation engine'!$B$8:$G$28,4,FALSE)</f>
        <v>0</v>
      </c>
      <c r="S11" s="11">
        <f>VLOOKUP($C11,'Calculation engine'!$B$8:$G$28,5,FALSE)</f>
        <v>0</v>
      </c>
      <c r="T11" s="11">
        <f>VLOOKUP($C11,'Calculation engine'!$B$8:$G$28,2,FALSE)</f>
        <v>0</v>
      </c>
    </row>
    <row r="12" spans="2:20" ht="15" customHeight="1" x14ac:dyDescent="0.25">
      <c r="B12" s="182"/>
      <c r="C12" s="157" t="s">
        <v>112</v>
      </c>
      <c r="D12" s="160"/>
      <c r="E12" s="159"/>
      <c r="F12" s="161"/>
      <c r="G12" s="162" t="str">
        <f>VLOOKUP($C12,'Calculation engine'!$B$8:$G$28,6,FALSE)</f>
        <v>-</v>
      </c>
      <c r="H12" s="163"/>
      <c r="I12" s="299">
        <f t="shared" si="0"/>
        <v>0</v>
      </c>
      <c r="J12" s="299">
        <f t="shared" si="0"/>
        <v>0</v>
      </c>
      <c r="K12" s="299">
        <f t="shared" si="0"/>
        <v>0</v>
      </c>
      <c r="L12" s="312"/>
      <c r="M12" s="299">
        <f>SUM(I12:K12)</f>
        <v>0</v>
      </c>
      <c r="N12" s="300">
        <f>T12*E12</f>
        <v>0</v>
      </c>
      <c r="Q12" s="11">
        <f>VLOOKUP($C12,'Calculation engine'!$B$8:$G$28,3,FALSE)</f>
        <v>0</v>
      </c>
      <c r="R12" s="11">
        <f>VLOOKUP($C12,'Calculation engine'!$B$8:$G$28,4,FALSE)</f>
        <v>0</v>
      </c>
      <c r="S12" s="11">
        <f>VLOOKUP($C12,'Calculation engine'!$B$8:$G$28,5,FALSE)</f>
        <v>0</v>
      </c>
      <c r="T12" s="11">
        <f>VLOOKUP($C12,'Calculation engine'!$B$8:$G$28,2,FALSE)</f>
        <v>0</v>
      </c>
    </row>
    <row r="13" spans="2:20" ht="15" customHeight="1" x14ac:dyDescent="0.25">
      <c r="B13" s="182"/>
      <c r="C13" s="157" t="s">
        <v>112</v>
      </c>
      <c r="D13" s="160"/>
      <c r="E13" s="159"/>
      <c r="F13" s="161"/>
      <c r="G13" s="162" t="str">
        <f>VLOOKUP($C13,'Calculation engine'!$B$8:$G$28,6,FALSE)</f>
        <v>-</v>
      </c>
      <c r="H13" s="163"/>
      <c r="I13" s="299">
        <f t="shared" si="0"/>
        <v>0</v>
      </c>
      <c r="J13" s="299">
        <f t="shared" si="0"/>
        <v>0</v>
      </c>
      <c r="K13" s="299">
        <f t="shared" si="0"/>
        <v>0</v>
      </c>
      <c r="L13" s="312"/>
      <c r="M13" s="299">
        <f>SUM(I13:K13)</f>
        <v>0</v>
      </c>
      <c r="N13" s="300">
        <f>T13*E13</f>
        <v>0</v>
      </c>
      <c r="Q13" s="11">
        <f>VLOOKUP($C13,'Calculation engine'!$B$8:$G$28,3,FALSE)</f>
        <v>0</v>
      </c>
      <c r="R13" s="11">
        <f>VLOOKUP($C13,'Calculation engine'!$B$8:$G$28,4,FALSE)</f>
        <v>0</v>
      </c>
      <c r="S13" s="11">
        <f>VLOOKUP($C13,'Calculation engine'!$B$8:$G$28,5,FALSE)</f>
        <v>0</v>
      </c>
      <c r="T13" s="11">
        <f>VLOOKUP($C13,'Calculation engine'!$B$8:$G$28,2,FALSE)</f>
        <v>0</v>
      </c>
    </row>
    <row r="14" spans="2:20" ht="15" customHeight="1" x14ac:dyDescent="0.25">
      <c r="B14" s="182"/>
      <c r="C14" s="157" t="s">
        <v>112</v>
      </c>
      <c r="D14" s="160"/>
      <c r="E14" s="159"/>
      <c r="F14" s="161"/>
      <c r="G14" s="162" t="str">
        <f>VLOOKUP($C14,'Calculation engine'!$B$8:$G$28,6,FALSE)</f>
        <v>-</v>
      </c>
      <c r="H14" s="163"/>
      <c r="I14" s="299">
        <f t="shared" si="0"/>
        <v>0</v>
      </c>
      <c r="J14" s="299">
        <f t="shared" si="0"/>
        <v>0</v>
      </c>
      <c r="K14" s="299">
        <f t="shared" si="0"/>
        <v>0</v>
      </c>
      <c r="L14" s="312"/>
      <c r="M14" s="299">
        <f t="shared" si="1"/>
        <v>0</v>
      </c>
      <c r="N14" s="300">
        <f t="shared" si="2"/>
        <v>0</v>
      </c>
      <c r="Q14" s="11">
        <f>VLOOKUP($C14,'Calculation engine'!$B$8:$G$28,3,FALSE)</f>
        <v>0</v>
      </c>
      <c r="R14" s="11">
        <f>VLOOKUP($C14,'Calculation engine'!$B$8:$G$28,4,FALSE)</f>
        <v>0</v>
      </c>
      <c r="S14" s="11">
        <f>VLOOKUP($C14,'Calculation engine'!$B$8:$G$28,5,FALSE)</f>
        <v>0</v>
      </c>
      <c r="T14" s="11">
        <f>VLOOKUP($C14,'Calculation engine'!$B$8:$G$28,2,FALSE)</f>
        <v>0</v>
      </c>
    </row>
    <row r="15" spans="2:20" ht="15" customHeight="1" x14ac:dyDescent="0.25">
      <c r="B15" s="182"/>
      <c r="C15" s="157" t="s">
        <v>112</v>
      </c>
      <c r="D15" s="160"/>
      <c r="E15" s="159"/>
      <c r="F15" s="161"/>
      <c r="G15" s="162" t="str">
        <f>VLOOKUP($C15,'Calculation engine'!$B$8:$G$28,6,FALSE)</f>
        <v>-</v>
      </c>
      <c r="H15" s="163"/>
      <c r="I15" s="299">
        <f t="shared" si="0"/>
        <v>0</v>
      </c>
      <c r="J15" s="299">
        <f t="shared" si="0"/>
        <v>0</v>
      </c>
      <c r="K15" s="299">
        <f t="shared" si="0"/>
        <v>0</v>
      </c>
      <c r="L15" s="312"/>
      <c r="M15" s="299">
        <f t="shared" si="1"/>
        <v>0</v>
      </c>
      <c r="N15" s="300">
        <f t="shared" si="2"/>
        <v>0</v>
      </c>
      <c r="Q15" s="11">
        <f>VLOOKUP($C15,'Calculation engine'!$B$8:$G$28,3,FALSE)</f>
        <v>0</v>
      </c>
      <c r="R15" s="11">
        <f>VLOOKUP($C15,'Calculation engine'!$B$8:$G$28,4,FALSE)</f>
        <v>0</v>
      </c>
      <c r="S15" s="11">
        <f>VLOOKUP($C15,'Calculation engine'!$B$8:$G$28,5,FALSE)</f>
        <v>0</v>
      </c>
      <c r="T15" s="11">
        <f>VLOOKUP($C15,'Calculation engine'!$B$8:$G$28,2,FALSE)</f>
        <v>0</v>
      </c>
    </row>
    <row r="16" spans="2:20" ht="15" customHeight="1" x14ac:dyDescent="0.25">
      <c r="B16" s="185"/>
      <c r="C16" s="165"/>
      <c r="D16" s="165"/>
      <c r="E16" s="166"/>
      <c r="F16" s="166"/>
      <c r="G16" s="350" t="s">
        <v>327</v>
      </c>
      <c r="H16" s="350"/>
      <c r="I16" s="350"/>
      <c r="J16" s="350"/>
      <c r="K16" s="350"/>
      <c r="L16" s="350"/>
      <c r="M16" s="301">
        <f>SUM(M9:M15)</f>
        <v>0</v>
      </c>
      <c r="N16" s="302">
        <f>SUM(N9:N15)</f>
        <v>0</v>
      </c>
    </row>
    <row r="17" spans="2:20" ht="15" customHeight="1" x14ac:dyDescent="0.25">
      <c r="B17" s="8"/>
      <c r="C17" s="8"/>
      <c r="D17" s="8"/>
      <c r="E17" s="23"/>
      <c r="F17" s="23"/>
      <c r="G17" s="23"/>
      <c r="H17" s="8"/>
      <c r="I17" s="8"/>
      <c r="J17" s="8"/>
      <c r="K17" s="8"/>
      <c r="L17" s="8"/>
      <c r="M17" s="8"/>
      <c r="N17" s="8"/>
    </row>
    <row r="18" spans="2:20" ht="15" customHeight="1" x14ac:dyDescent="0.25">
      <c r="B18" s="178"/>
      <c r="C18" s="353" t="s">
        <v>200</v>
      </c>
      <c r="D18" s="308"/>
      <c r="E18" s="354" t="s">
        <v>0</v>
      </c>
      <c r="F18" s="308"/>
      <c r="G18" s="354" t="s">
        <v>1</v>
      </c>
      <c r="H18" s="179"/>
      <c r="I18" s="355" t="s">
        <v>6</v>
      </c>
      <c r="J18" s="355"/>
      <c r="K18" s="355"/>
      <c r="L18" s="179"/>
      <c r="M18" s="308" t="s">
        <v>7</v>
      </c>
      <c r="N18" s="69" t="s">
        <v>5</v>
      </c>
    </row>
    <row r="19" spans="2:20" ht="15.75" customHeight="1" x14ac:dyDescent="0.25">
      <c r="B19" s="180"/>
      <c r="C19" s="334"/>
      <c r="D19" s="309"/>
      <c r="E19" s="352"/>
      <c r="F19" s="309"/>
      <c r="G19" s="352"/>
      <c r="H19" s="74"/>
      <c r="I19" s="1" t="s">
        <v>329</v>
      </c>
      <c r="J19" s="1" t="s">
        <v>330</v>
      </c>
      <c r="K19" s="1" t="s">
        <v>331</v>
      </c>
      <c r="L19" s="309"/>
      <c r="M19" s="1" t="s">
        <v>332</v>
      </c>
      <c r="N19" s="181" t="s">
        <v>8</v>
      </c>
    </row>
    <row r="20" spans="2:20" ht="15" customHeight="1" x14ac:dyDescent="0.25">
      <c r="B20" s="182"/>
      <c r="C20" s="161" t="s">
        <v>119</v>
      </c>
      <c r="D20" s="161"/>
      <c r="E20" s="161" t="s">
        <v>120</v>
      </c>
      <c r="F20" s="161"/>
      <c r="G20" s="161"/>
      <c r="H20" s="160"/>
      <c r="I20" s="160"/>
      <c r="J20" s="160"/>
      <c r="K20" s="160"/>
      <c r="L20" s="160"/>
      <c r="M20" s="160"/>
      <c r="N20" s="184"/>
      <c r="Q20" s="11" t="s">
        <v>2</v>
      </c>
      <c r="R20" s="11" t="s">
        <v>3</v>
      </c>
      <c r="S20" s="11" t="s">
        <v>4</v>
      </c>
      <c r="T20" s="11" t="s">
        <v>21</v>
      </c>
    </row>
    <row r="21" spans="2:20" ht="15" customHeight="1" x14ac:dyDescent="0.25">
      <c r="B21" s="182"/>
      <c r="C21" s="157" t="s">
        <v>112</v>
      </c>
      <c r="D21" s="160"/>
      <c r="E21" s="158"/>
      <c r="F21" s="161"/>
      <c r="G21" s="162" t="str">
        <f>VLOOKUP($C21,'Calculation engine'!$I$8:$N$62,6,FALSE)</f>
        <v>-</v>
      </c>
      <c r="H21" s="163"/>
      <c r="I21" s="299">
        <f t="shared" ref="I21:K27" si="3">Q21*$N21/1000</f>
        <v>0</v>
      </c>
      <c r="J21" s="299">
        <f t="shared" si="3"/>
        <v>0</v>
      </c>
      <c r="K21" s="299">
        <f t="shared" si="3"/>
        <v>0</v>
      </c>
      <c r="L21" s="312"/>
      <c r="M21" s="299">
        <f t="shared" ref="M21:M27" si="4">SUM(I21:K21)</f>
        <v>0</v>
      </c>
      <c r="N21" s="300">
        <f t="shared" ref="N21:N27" si="5">T21*E21</f>
        <v>0</v>
      </c>
      <c r="Q21" s="11">
        <f>VLOOKUP($C21,'Calculation engine'!$I$8:$N$62,3,FALSE)</f>
        <v>0</v>
      </c>
      <c r="R21" s="11">
        <f>VLOOKUP($C21,'Calculation engine'!$I$8:$N$62,4,FALSE)</f>
        <v>0</v>
      </c>
      <c r="S21" s="11">
        <f>VLOOKUP($C21,'Calculation engine'!$I$8:$N$62,5,FALSE)</f>
        <v>0</v>
      </c>
      <c r="T21" s="11">
        <f>VLOOKUP($C21,'Calculation engine'!$I$8:$N$62,2,FALSE)</f>
        <v>0</v>
      </c>
    </row>
    <row r="22" spans="2:20" ht="14.25" customHeight="1" x14ac:dyDescent="0.25">
      <c r="B22" s="182"/>
      <c r="C22" s="157" t="s">
        <v>112</v>
      </c>
      <c r="D22" s="160"/>
      <c r="E22" s="159"/>
      <c r="F22" s="161"/>
      <c r="G22" s="162" t="str">
        <f>VLOOKUP($C22,'Calculation engine'!$I$8:$N$62,6,FALSE)</f>
        <v>-</v>
      </c>
      <c r="H22" s="163"/>
      <c r="I22" s="299">
        <f t="shared" si="3"/>
        <v>0</v>
      </c>
      <c r="J22" s="299">
        <f t="shared" si="3"/>
        <v>0</v>
      </c>
      <c r="K22" s="299">
        <f t="shared" si="3"/>
        <v>0</v>
      </c>
      <c r="L22" s="312"/>
      <c r="M22" s="299">
        <f t="shared" si="4"/>
        <v>0</v>
      </c>
      <c r="N22" s="300">
        <f t="shared" si="5"/>
        <v>0</v>
      </c>
      <c r="Q22" s="11">
        <f>VLOOKUP($C22,'Calculation engine'!$I$8:$N$62,3,FALSE)</f>
        <v>0</v>
      </c>
      <c r="R22" s="11">
        <f>VLOOKUP($C22,'Calculation engine'!$I$8:$N$62,4,FALSE)</f>
        <v>0</v>
      </c>
      <c r="S22" s="11">
        <f>VLOOKUP($C22,'Calculation engine'!$I$8:$N$62,5,FALSE)</f>
        <v>0</v>
      </c>
      <c r="T22" s="11">
        <f>VLOOKUP($C22,'Calculation engine'!$I$8:$N$62,2,FALSE)</f>
        <v>0</v>
      </c>
    </row>
    <row r="23" spans="2:20" ht="15" customHeight="1" x14ac:dyDescent="0.25">
      <c r="B23" s="182"/>
      <c r="C23" s="157" t="s">
        <v>112</v>
      </c>
      <c r="D23" s="160"/>
      <c r="E23" s="159"/>
      <c r="F23" s="161"/>
      <c r="G23" s="162" t="str">
        <f>VLOOKUP($C23,'Calculation engine'!$I$8:$N$62,6,FALSE)</f>
        <v>-</v>
      </c>
      <c r="H23" s="163"/>
      <c r="I23" s="299">
        <f t="shared" si="3"/>
        <v>0</v>
      </c>
      <c r="J23" s="299">
        <f t="shared" si="3"/>
        <v>0</v>
      </c>
      <c r="K23" s="299">
        <f t="shared" si="3"/>
        <v>0</v>
      </c>
      <c r="L23" s="312"/>
      <c r="M23" s="299">
        <f t="shared" si="4"/>
        <v>0</v>
      </c>
      <c r="N23" s="300">
        <f t="shared" si="5"/>
        <v>0</v>
      </c>
      <c r="Q23" s="11">
        <f>VLOOKUP($C23,'Calculation engine'!$I$8:$N$62,3,FALSE)</f>
        <v>0</v>
      </c>
      <c r="R23" s="11">
        <f>VLOOKUP($C23,'Calculation engine'!$I$8:$N$62,4,FALSE)</f>
        <v>0</v>
      </c>
      <c r="S23" s="11">
        <f>VLOOKUP($C23,'Calculation engine'!$I$8:$N$62,5,FALSE)</f>
        <v>0</v>
      </c>
      <c r="T23" s="11">
        <f>VLOOKUP($C23,'Calculation engine'!$I$8:$N$62,2,FALSE)</f>
        <v>0</v>
      </c>
    </row>
    <row r="24" spans="2:20" ht="15" customHeight="1" x14ac:dyDescent="0.25">
      <c r="B24" s="182"/>
      <c r="C24" s="157" t="s">
        <v>112</v>
      </c>
      <c r="D24" s="160"/>
      <c r="E24" s="159"/>
      <c r="F24" s="161"/>
      <c r="G24" s="162" t="str">
        <f>VLOOKUP($C24,'Calculation engine'!$I$8:$N$62,6,FALSE)</f>
        <v>-</v>
      </c>
      <c r="H24" s="163"/>
      <c r="I24" s="299">
        <f t="shared" si="3"/>
        <v>0</v>
      </c>
      <c r="J24" s="299">
        <f t="shared" si="3"/>
        <v>0</v>
      </c>
      <c r="K24" s="299">
        <f t="shared" si="3"/>
        <v>0</v>
      </c>
      <c r="L24" s="312"/>
      <c r="M24" s="299">
        <f t="shared" si="4"/>
        <v>0</v>
      </c>
      <c r="N24" s="300">
        <f t="shared" si="5"/>
        <v>0</v>
      </c>
      <c r="Q24" s="11">
        <f>VLOOKUP($C24,'Calculation engine'!$I$8:$N$62,3,FALSE)</f>
        <v>0</v>
      </c>
      <c r="R24" s="11">
        <f>VLOOKUP($C24,'Calculation engine'!$I$8:$N$62,4,FALSE)</f>
        <v>0</v>
      </c>
      <c r="S24" s="11">
        <f>VLOOKUP($C24,'Calculation engine'!$I$8:$N$62,5,FALSE)</f>
        <v>0</v>
      </c>
      <c r="T24" s="11">
        <f>VLOOKUP($C24,'Calculation engine'!$I$8:$N$62,2,FALSE)</f>
        <v>0</v>
      </c>
    </row>
    <row r="25" spans="2:20" ht="15" customHeight="1" x14ac:dyDescent="0.25">
      <c r="B25" s="182"/>
      <c r="C25" s="157" t="s">
        <v>112</v>
      </c>
      <c r="D25" s="160"/>
      <c r="E25" s="159"/>
      <c r="F25" s="161"/>
      <c r="G25" s="162" t="str">
        <f>VLOOKUP($C25,'Calculation engine'!$I$8:$N$62,6,FALSE)</f>
        <v>-</v>
      </c>
      <c r="H25" s="163"/>
      <c r="I25" s="299">
        <f t="shared" si="3"/>
        <v>0</v>
      </c>
      <c r="J25" s="299">
        <f t="shared" si="3"/>
        <v>0</v>
      </c>
      <c r="K25" s="299">
        <f t="shared" si="3"/>
        <v>0</v>
      </c>
      <c r="L25" s="312"/>
      <c r="M25" s="299">
        <f t="shared" si="4"/>
        <v>0</v>
      </c>
      <c r="N25" s="300">
        <f t="shared" si="5"/>
        <v>0</v>
      </c>
      <c r="Q25" s="11">
        <f>VLOOKUP($C25,'Calculation engine'!$I$8:$N$62,3,FALSE)</f>
        <v>0</v>
      </c>
      <c r="R25" s="11">
        <f>VLOOKUP($C25,'Calculation engine'!$I$8:$N$62,4,FALSE)</f>
        <v>0</v>
      </c>
      <c r="S25" s="11">
        <f>VLOOKUP($C25,'Calculation engine'!$I$8:$N$62,5,FALSE)</f>
        <v>0</v>
      </c>
      <c r="T25" s="11">
        <f>VLOOKUP($C25,'Calculation engine'!$I$8:$N$62,2,FALSE)</f>
        <v>0</v>
      </c>
    </row>
    <row r="26" spans="2:20" ht="15" customHeight="1" x14ac:dyDescent="0.25">
      <c r="B26" s="182"/>
      <c r="C26" s="157" t="s">
        <v>112</v>
      </c>
      <c r="D26" s="160"/>
      <c r="E26" s="159"/>
      <c r="F26" s="161"/>
      <c r="G26" s="162" t="str">
        <f>VLOOKUP($C26,'Calculation engine'!$I$8:$N$62,6,FALSE)</f>
        <v>-</v>
      </c>
      <c r="H26" s="163"/>
      <c r="I26" s="299">
        <f t="shared" si="3"/>
        <v>0</v>
      </c>
      <c r="J26" s="299">
        <f t="shared" si="3"/>
        <v>0</v>
      </c>
      <c r="K26" s="299">
        <f t="shared" si="3"/>
        <v>0</v>
      </c>
      <c r="L26" s="312"/>
      <c r="M26" s="299">
        <f t="shared" si="4"/>
        <v>0</v>
      </c>
      <c r="N26" s="300">
        <f t="shared" si="5"/>
        <v>0</v>
      </c>
      <c r="Q26" s="11">
        <f>VLOOKUP($C26,'Calculation engine'!$I$8:$N$62,3,FALSE)</f>
        <v>0</v>
      </c>
      <c r="R26" s="11">
        <f>VLOOKUP($C26,'Calculation engine'!$I$8:$N$62,4,FALSE)</f>
        <v>0</v>
      </c>
      <c r="S26" s="11">
        <f>VLOOKUP($C26,'Calculation engine'!$I$8:$N$62,5,FALSE)</f>
        <v>0</v>
      </c>
      <c r="T26" s="11">
        <f>VLOOKUP($C26,'Calculation engine'!$I$8:$N$62,2,FALSE)</f>
        <v>0</v>
      </c>
    </row>
    <row r="27" spans="2:20" ht="15" customHeight="1" x14ac:dyDescent="0.25">
      <c r="B27" s="182"/>
      <c r="C27" s="157" t="s">
        <v>112</v>
      </c>
      <c r="D27" s="160"/>
      <c r="E27" s="159"/>
      <c r="F27" s="161"/>
      <c r="G27" s="162" t="str">
        <f>VLOOKUP($C27,'Calculation engine'!$I$8:$N$62,6,FALSE)</f>
        <v>-</v>
      </c>
      <c r="H27" s="163"/>
      <c r="I27" s="299">
        <f t="shared" si="3"/>
        <v>0</v>
      </c>
      <c r="J27" s="299">
        <f t="shared" si="3"/>
        <v>0</v>
      </c>
      <c r="K27" s="299">
        <f t="shared" si="3"/>
        <v>0</v>
      </c>
      <c r="L27" s="312"/>
      <c r="M27" s="299">
        <f t="shared" si="4"/>
        <v>0</v>
      </c>
      <c r="N27" s="300">
        <f t="shared" si="5"/>
        <v>0</v>
      </c>
      <c r="Q27" s="11">
        <f>VLOOKUP($C27,'Calculation engine'!$I$8:$N$62,3,FALSE)</f>
        <v>0</v>
      </c>
      <c r="R27" s="11">
        <f>VLOOKUP($C27,'Calculation engine'!$I$8:$N$62,4,FALSE)</f>
        <v>0</v>
      </c>
      <c r="S27" s="11">
        <f>VLOOKUP($C27,'Calculation engine'!$I$8:$N$62,5,FALSE)</f>
        <v>0</v>
      </c>
      <c r="T27" s="11">
        <f>VLOOKUP($C27,'Calculation engine'!$I$8:$N$62,2,FALSE)</f>
        <v>0</v>
      </c>
    </row>
    <row r="28" spans="2:20" ht="15" customHeight="1" x14ac:dyDescent="0.25">
      <c r="B28" s="185"/>
      <c r="C28" s="165"/>
      <c r="D28" s="165"/>
      <c r="E28" s="166"/>
      <c r="F28" s="166"/>
      <c r="G28" s="350" t="s">
        <v>328</v>
      </c>
      <c r="H28" s="350"/>
      <c r="I28" s="350"/>
      <c r="J28" s="350"/>
      <c r="K28" s="350"/>
      <c r="L28" s="350"/>
      <c r="M28" s="301">
        <f>SUM(M21:M27)</f>
        <v>0</v>
      </c>
      <c r="N28" s="302">
        <f>SUM(N21:N27)</f>
        <v>0</v>
      </c>
    </row>
    <row r="29" spans="2:20" ht="15" customHeight="1" x14ac:dyDescent="0.25">
      <c r="B29" s="8"/>
      <c r="C29" s="8"/>
      <c r="D29" s="8"/>
      <c r="E29" s="23"/>
      <c r="F29" s="23"/>
      <c r="G29" s="23"/>
      <c r="H29" s="8"/>
      <c r="I29" s="8"/>
      <c r="J29" s="8"/>
      <c r="K29" s="8"/>
      <c r="L29" s="8"/>
      <c r="M29" s="8"/>
      <c r="N29" s="8"/>
    </row>
    <row r="30" spans="2:20" ht="15" customHeight="1" x14ac:dyDescent="0.25">
      <c r="B30" s="178"/>
      <c r="C30" s="353" t="s">
        <v>201</v>
      </c>
      <c r="D30" s="308"/>
      <c r="E30" s="354" t="s">
        <v>0</v>
      </c>
      <c r="F30" s="308"/>
      <c r="G30" s="354" t="s">
        <v>1</v>
      </c>
      <c r="H30" s="179"/>
      <c r="I30" s="355" t="s">
        <v>121</v>
      </c>
      <c r="J30" s="355"/>
      <c r="K30" s="355"/>
      <c r="L30" s="179"/>
      <c r="M30" s="308" t="s">
        <v>9</v>
      </c>
      <c r="N30" s="69" t="s">
        <v>5</v>
      </c>
    </row>
    <row r="31" spans="2:20" ht="15" customHeight="1" x14ac:dyDescent="0.25">
      <c r="B31" s="180"/>
      <c r="C31" s="334"/>
      <c r="D31" s="309"/>
      <c r="E31" s="352"/>
      <c r="F31" s="309"/>
      <c r="G31" s="352"/>
      <c r="H31" s="74"/>
      <c r="I31" s="1" t="s">
        <v>20</v>
      </c>
      <c r="J31" s="1"/>
      <c r="K31" s="74"/>
      <c r="L31" s="309"/>
      <c r="M31" s="1" t="s">
        <v>332</v>
      </c>
      <c r="N31" s="181" t="s">
        <v>8</v>
      </c>
      <c r="Q31" s="2" t="s">
        <v>193</v>
      </c>
    </row>
    <row r="32" spans="2:20" ht="15" customHeight="1" x14ac:dyDescent="0.25">
      <c r="B32" s="182"/>
      <c r="C32" s="161" t="s">
        <v>118</v>
      </c>
      <c r="D32" s="161"/>
      <c r="E32" s="161" t="s">
        <v>120</v>
      </c>
      <c r="F32" s="161"/>
      <c r="G32" s="161"/>
      <c r="H32" s="160"/>
      <c r="I32" s="160"/>
      <c r="J32" s="160"/>
      <c r="K32" s="160"/>
      <c r="L32" s="160"/>
      <c r="M32" s="160"/>
      <c r="N32" s="184"/>
      <c r="Q32" s="1" t="s">
        <v>21</v>
      </c>
    </row>
    <row r="33" spans="2:20" ht="15" customHeight="1" x14ac:dyDescent="0.25">
      <c r="B33" s="182"/>
      <c r="C33" s="157" t="s">
        <v>112</v>
      </c>
      <c r="D33" s="160"/>
      <c r="E33" s="158"/>
      <c r="F33" s="161"/>
      <c r="G33" s="162" t="s">
        <v>23</v>
      </c>
      <c r="H33" s="174"/>
      <c r="I33" s="275">
        <f>VLOOKUP($C33,'Calculation engine'!$Q$10:$T$19,2,FALSE)</f>
        <v>0</v>
      </c>
      <c r="J33" s="359" t="str">
        <f>IF(C33="Not purchased from the main grid","You can enter a custom factor for EF","")</f>
        <v/>
      </c>
      <c r="K33" s="359"/>
      <c r="L33" s="359"/>
      <c r="M33" s="299">
        <f>E33*I33/1000</f>
        <v>0</v>
      </c>
      <c r="N33" s="300">
        <f>E33*Q34</f>
        <v>0</v>
      </c>
      <c r="Q33" s="3"/>
    </row>
    <row r="34" spans="2:20" ht="15.75" customHeight="1" x14ac:dyDescent="0.25">
      <c r="B34" s="182"/>
      <c r="C34" s="157" t="s">
        <v>112</v>
      </c>
      <c r="D34" s="160"/>
      <c r="E34" s="187"/>
      <c r="F34" s="161"/>
      <c r="G34" s="162" t="s">
        <v>23</v>
      </c>
      <c r="H34" s="174"/>
      <c r="I34" s="275">
        <f>VLOOKUP($C34,'Calculation engine'!$Q$10:$T$19,2,FALSE)</f>
        <v>0</v>
      </c>
      <c r="J34" s="358" t="str">
        <f>IF(C34="Not purchased from the main grid","You can enter a custom factor for EF","")</f>
        <v/>
      </c>
      <c r="K34" s="358"/>
      <c r="L34" s="358"/>
      <c r="M34" s="299">
        <f>E34*I34/1000</f>
        <v>0</v>
      </c>
      <c r="N34" s="300">
        <f>E34*Q35</f>
        <v>0</v>
      </c>
      <c r="Q34" s="4">
        <f>VLOOKUP($C33,'Calculation engine'!$Q$10:$T$19,3,FALSE)</f>
        <v>0</v>
      </c>
    </row>
    <row r="35" spans="2:20" ht="16.5" customHeight="1" x14ac:dyDescent="0.25">
      <c r="B35" s="185"/>
      <c r="C35" s="165"/>
      <c r="D35" s="165"/>
      <c r="E35" s="166"/>
      <c r="F35" s="166"/>
      <c r="G35" s="350" t="s">
        <v>333</v>
      </c>
      <c r="H35" s="350"/>
      <c r="I35" s="350"/>
      <c r="J35" s="350"/>
      <c r="K35" s="350"/>
      <c r="L35" s="350"/>
      <c r="M35" s="301">
        <f>SUM(M33:M34)</f>
        <v>0</v>
      </c>
      <c r="N35" s="302">
        <f>SUM(N33:N34)</f>
        <v>0</v>
      </c>
      <c r="Q35" s="4">
        <f>VLOOKUP($C34,'Calculation engine'!$Q$10:$T$19,3,FALSE)</f>
        <v>0</v>
      </c>
    </row>
    <row r="36" spans="2:20" ht="15" customHeight="1" x14ac:dyDescent="0.25">
      <c r="B36" s="8"/>
      <c r="C36" s="8"/>
      <c r="D36" s="8"/>
      <c r="E36" s="23"/>
      <c r="F36" s="23"/>
      <c r="G36" s="188"/>
      <c r="H36" s="188"/>
      <c r="I36" s="188"/>
      <c r="J36" s="188"/>
      <c r="K36" s="188"/>
      <c r="L36" s="188"/>
      <c r="M36" s="27"/>
      <c r="N36" s="27"/>
    </row>
    <row r="37" spans="2:20" ht="15" customHeight="1" x14ac:dyDescent="0.25">
      <c r="B37" s="178"/>
      <c r="C37" s="353" t="s">
        <v>158</v>
      </c>
      <c r="D37" s="308"/>
      <c r="E37" s="354" t="s">
        <v>0</v>
      </c>
      <c r="F37" s="308"/>
      <c r="G37" s="354" t="s">
        <v>1</v>
      </c>
      <c r="H37" s="179"/>
      <c r="I37" s="355"/>
      <c r="J37" s="355"/>
      <c r="K37" s="355"/>
      <c r="L37" s="179"/>
      <c r="M37" s="308"/>
      <c r="N37" s="69" t="s">
        <v>5</v>
      </c>
    </row>
    <row r="38" spans="2:20" ht="15" customHeight="1" x14ac:dyDescent="0.25">
      <c r="B38" s="180"/>
      <c r="C38" s="334"/>
      <c r="D38" s="309"/>
      <c r="E38" s="352"/>
      <c r="F38" s="309"/>
      <c r="G38" s="352"/>
      <c r="H38" s="74"/>
      <c r="I38" s="1"/>
      <c r="J38" s="1"/>
      <c r="K38" s="74"/>
      <c r="L38" s="309"/>
      <c r="M38" s="1"/>
      <c r="N38" s="181" t="s">
        <v>8</v>
      </c>
    </row>
    <row r="39" spans="2:20" ht="15" customHeight="1" x14ac:dyDescent="0.25">
      <c r="B39" s="182"/>
      <c r="C39" s="161" t="s">
        <v>196</v>
      </c>
      <c r="D39" s="161"/>
      <c r="E39" s="161" t="s">
        <v>120</v>
      </c>
      <c r="F39" s="161"/>
      <c r="G39" s="161"/>
      <c r="H39" s="160"/>
      <c r="I39" s="160"/>
      <c r="J39" s="160"/>
      <c r="K39" s="160"/>
      <c r="L39" s="160"/>
      <c r="M39" s="160"/>
      <c r="N39" s="184"/>
      <c r="Q39" s="11" t="s">
        <v>2</v>
      </c>
      <c r="R39" s="11" t="s">
        <v>3</v>
      </c>
      <c r="S39" s="11" t="s">
        <v>4</v>
      </c>
      <c r="T39" s="11" t="s">
        <v>21</v>
      </c>
    </row>
    <row r="40" spans="2:20" ht="15" customHeight="1" x14ac:dyDescent="0.25">
      <c r="B40" s="182"/>
      <c r="C40" s="157" t="s">
        <v>112</v>
      </c>
      <c r="D40" s="160"/>
      <c r="E40" s="158"/>
      <c r="F40" s="161"/>
      <c r="G40" s="162" t="str">
        <f>VLOOKUP($C40,'Calculation engine'!$AD$8:$AI$78,6,FALSE)</f>
        <v>-</v>
      </c>
      <c r="H40" s="174"/>
      <c r="I40" s="315"/>
      <c r="J40" s="315"/>
      <c r="K40" s="189"/>
      <c r="L40" s="315"/>
      <c r="M40" s="315">
        <f>E40*I40/1000</f>
        <v>0</v>
      </c>
      <c r="N40" s="300">
        <f>T40*E40</f>
        <v>0</v>
      </c>
      <c r="Q40" s="11"/>
      <c r="R40" s="11"/>
      <c r="S40" s="11"/>
      <c r="T40" s="11">
        <f>VLOOKUP($C40,'Calculation engine'!$AD$8:$AI$78,5,FALSE)</f>
        <v>0</v>
      </c>
    </row>
    <row r="41" spans="2:20" ht="15" customHeight="1" x14ac:dyDescent="0.25">
      <c r="B41" s="182"/>
      <c r="C41" s="157" t="s">
        <v>112</v>
      </c>
      <c r="D41" s="160"/>
      <c r="E41" s="190"/>
      <c r="F41" s="161"/>
      <c r="G41" s="162" t="str">
        <f>VLOOKUP($C41,'Calculation engine'!$AD$8:$AI$78,6,FALSE)</f>
        <v>-</v>
      </c>
      <c r="H41" s="174"/>
      <c r="I41" s="315"/>
      <c r="J41" s="315"/>
      <c r="K41" s="189"/>
      <c r="L41" s="315"/>
      <c r="M41" s="315"/>
      <c r="N41" s="300">
        <f>T41*E41</f>
        <v>0</v>
      </c>
      <c r="Q41" s="11"/>
      <c r="R41" s="11"/>
      <c r="S41" s="11"/>
      <c r="T41" s="11">
        <f>VLOOKUP($C41,'Calculation engine'!$AD$8:$AI$78,5,FALSE)</f>
        <v>0</v>
      </c>
    </row>
    <row r="42" spans="2:20" ht="15" customHeight="1" x14ac:dyDescent="0.25">
      <c r="B42" s="182"/>
      <c r="C42" s="157" t="s">
        <v>112</v>
      </c>
      <c r="D42" s="160"/>
      <c r="E42" s="187"/>
      <c r="F42" s="161"/>
      <c r="G42" s="162" t="str">
        <f>VLOOKUP($C42,'Calculation engine'!$AD$8:$AI$78,6,FALSE)</f>
        <v>-</v>
      </c>
      <c r="H42" s="174"/>
      <c r="I42" s="315"/>
      <c r="J42" s="349"/>
      <c r="K42" s="349"/>
      <c r="L42" s="315"/>
      <c r="M42" s="315">
        <f>E42*I42/1000</f>
        <v>0</v>
      </c>
      <c r="N42" s="300">
        <f>T42*E42</f>
        <v>0</v>
      </c>
      <c r="Q42" s="11"/>
      <c r="R42" s="11"/>
      <c r="S42" s="11"/>
      <c r="T42" s="11">
        <f>VLOOKUP($C42,'Calculation engine'!$AD$8:$AI$78,5,FALSE)</f>
        <v>0</v>
      </c>
    </row>
    <row r="43" spans="2:20" ht="15" customHeight="1" x14ac:dyDescent="0.25">
      <c r="B43" s="185"/>
      <c r="C43" s="165"/>
      <c r="D43" s="165"/>
      <c r="E43" s="166"/>
      <c r="F43" s="166"/>
      <c r="G43" s="350" t="s">
        <v>173</v>
      </c>
      <c r="H43" s="350"/>
      <c r="I43" s="350"/>
      <c r="J43" s="350"/>
      <c r="K43" s="350"/>
      <c r="L43" s="350"/>
      <c r="M43" s="191"/>
      <c r="N43" s="302">
        <f>SUM(N40:N42)</f>
        <v>0</v>
      </c>
    </row>
    <row r="44" spans="2:20" ht="15" customHeight="1" x14ac:dyDescent="0.25">
      <c r="B44" s="8"/>
      <c r="C44" s="8"/>
      <c r="D44" s="8"/>
      <c r="E44" s="23"/>
      <c r="F44" s="23"/>
      <c r="G44" s="188"/>
      <c r="H44" s="188"/>
      <c r="I44" s="188"/>
      <c r="J44" s="188"/>
      <c r="K44" s="188"/>
      <c r="L44" s="188"/>
      <c r="M44" s="27"/>
      <c r="N44" s="27"/>
    </row>
    <row r="45" spans="2:20" ht="15" customHeight="1" x14ac:dyDescent="0.25">
      <c r="B45" s="178"/>
      <c r="C45" s="353" t="s">
        <v>202</v>
      </c>
      <c r="D45" s="308"/>
      <c r="E45" s="354" t="s">
        <v>0</v>
      </c>
      <c r="F45" s="308"/>
      <c r="G45" s="354" t="s">
        <v>1</v>
      </c>
      <c r="H45" s="179"/>
      <c r="I45" s="355"/>
      <c r="J45" s="355"/>
      <c r="K45" s="355"/>
      <c r="L45" s="179"/>
      <c r="M45" s="308"/>
      <c r="N45" s="69" t="s">
        <v>5</v>
      </c>
    </row>
    <row r="46" spans="2:20" ht="15" customHeight="1" x14ac:dyDescent="0.25">
      <c r="B46" s="180"/>
      <c r="C46" s="334"/>
      <c r="D46" s="309"/>
      <c r="E46" s="352"/>
      <c r="F46" s="309"/>
      <c r="G46" s="352"/>
      <c r="H46" s="74"/>
      <c r="I46" s="1"/>
      <c r="J46" s="1"/>
      <c r="K46" s="74"/>
      <c r="L46" s="309"/>
      <c r="M46" s="1"/>
      <c r="N46" s="181" t="s">
        <v>8</v>
      </c>
    </row>
    <row r="47" spans="2:20" ht="15" customHeight="1" x14ac:dyDescent="0.25">
      <c r="B47" s="182"/>
      <c r="C47" s="161" t="s">
        <v>197</v>
      </c>
      <c r="D47" s="161"/>
      <c r="E47" s="161" t="s">
        <v>120</v>
      </c>
      <c r="F47" s="161"/>
      <c r="G47" s="161"/>
      <c r="H47" s="160"/>
      <c r="I47" s="160"/>
      <c r="J47" s="160"/>
      <c r="K47" s="160"/>
      <c r="L47" s="160"/>
      <c r="M47" s="160"/>
      <c r="N47" s="184"/>
      <c r="Q47" s="11" t="s">
        <v>2</v>
      </c>
      <c r="R47" s="11" t="s">
        <v>3</v>
      </c>
      <c r="S47" s="11" t="s">
        <v>4</v>
      </c>
      <c r="T47" s="11" t="s">
        <v>21</v>
      </c>
    </row>
    <row r="48" spans="2:20" ht="15" customHeight="1" x14ac:dyDescent="0.25">
      <c r="B48" s="182"/>
      <c r="C48" s="157" t="s">
        <v>112</v>
      </c>
      <c r="D48" s="160"/>
      <c r="E48" s="158"/>
      <c r="F48" s="161"/>
      <c r="G48" s="162" t="str">
        <f>VLOOKUP($C48,'Calculation engine'!$W$8:$AB$72,6,FALSE)</f>
        <v>-</v>
      </c>
      <c r="H48" s="174"/>
      <c r="I48" s="315"/>
      <c r="J48" s="315"/>
      <c r="K48" s="189"/>
      <c r="L48" s="315"/>
      <c r="M48" s="315">
        <f>E48*I48/1000</f>
        <v>0</v>
      </c>
      <c r="N48" s="300">
        <f>T48*E48</f>
        <v>0</v>
      </c>
      <c r="Q48" s="11"/>
      <c r="R48" s="11"/>
      <c r="S48" s="11"/>
      <c r="T48" s="11">
        <f>VLOOKUP($C48,'Calculation engine'!$W$8:$AB$72,5,FALSE)</f>
        <v>0</v>
      </c>
    </row>
    <row r="49" spans="2:20" ht="15" customHeight="1" x14ac:dyDescent="0.25">
      <c r="B49" s="182"/>
      <c r="C49" s="157" t="s">
        <v>112</v>
      </c>
      <c r="D49" s="160"/>
      <c r="E49" s="190"/>
      <c r="F49" s="161"/>
      <c r="G49" s="162" t="str">
        <f>VLOOKUP($C49,'Calculation engine'!$W$8:$AB$72,6,FALSE)</f>
        <v>-</v>
      </c>
      <c r="H49" s="174"/>
      <c r="I49" s="315"/>
      <c r="J49" s="315"/>
      <c r="K49" s="189"/>
      <c r="L49" s="315"/>
      <c r="M49" s="315"/>
      <c r="N49" s="300">
        <f>T49*E49</f>
        <v>0</v>
      </c>
      <c r="Q49" s="11"/>
      <c r="R49" s="11"/>
      <c r="S49" s="11"/>
      <c r="T49" s="11">
        <f>VLOOKUP($C49,'Calculation engine'!$W$8:$AB$72,5,FALSE)</f>
        <v>0</v>
      </c>
    </row>
    <row r="50" spans="2:20" ht="15" customHeight="1" x14ac:dyDescent="0.25">
      <c r="B50" s="182"/>
      <c r="C50" s="157" t="s">
        <v>112</v>
      </c>
      <c r="D50" s="160"/>
      <c r="E50" s="187"/>
      <c r="F50" s="161"/>
      <c r="G50" s="162" t="str">
        <f>VLOOKUP($C50,'Calculation engine'!$W$8:$AB$72,6,FALSE)</f>
        <v>-</v>
      </c>
      <c r="H50" s="174"/>
      <c r="I50" s="315"/>
      <c r="J50" s="349"/>
      <c r="K50" s="349"/>
      <c r="L50" s="315"/>
      <c r="M50" s="315">
        <f>E50*I50/1000</f>
        <v>0</v>
      </c>
      <c r="N50" s="300">
        <f>T50*E50</f>
        <v>0</v>
      </c>
      <c r="Q50" s="11"/>
      <c r="R50" s="11"/>
      <c r="S50" s="11"/>
      <c r="T50" s="11">
        <f>VLOOKUP($C50,'Calculation engine'!$W$8:$AB$72,5,FALSE)</f>
        <v>0</v>
      </c>
    </row>
    <row r="51" spans="2:20" ht="15" customHeight="1" x14ac:dyDescent="0.25">
      <c r="B51" s="185"/>
      <c r="C51" s="165"/>
      <c r="D51" s="165"/>
      <c r="E51" s="166"/>
      <c r="F51" s="166"/>
      <c r="G51" s="350" t="s">
        <v>174</v>
      </c>
      <c r="H51" s="350"/>
      <c r="I51" s="350"/>
      <c r="J51" s="350"/>
      <c r="K51" s="350"/>
      <c r="L51" s="350"/>
      <c r="M51" s="191"/>
      <c r="N51" s="302">
        <f>SUM(N48:N50)</f>
        <v>0</v>
      </c>
    </row>
    <row r="52" spans="2:20" ht="15" customHeight="1" x14ac:dyDescent="0.25">
      <c r="B52" s="174"/>
      <c r="C52" s="174"/>
      <c r="D52" s="174"/>
      <c r="E52" s="162"/>
      <c r="F52" s="162"/>
      <c r="G52" s="188"/>
      <c r="H52" s="188"/>
      <c r="I52" s="188"/>
      <c r="J52" s="188"/>
      <c r="K52" s="188"/>
      <c r="L52" s="188"/>
      <c r="M52" s="27"/>
      <c r="N52" s="232"/>
    </row>
    <row r="53" spans="2:20" ht="15" customHeight="1" x14ac:dyDescent="0.35">
      <c r="B53" s="178"/>
      <c r="C53" s="353" t="s">
        <v>337</v>
      </c>
      <c r="D53" s="308"/>
      <c r="E53" s="354"/>
      <c r="F53" s="308"/>
      <c r="G53" s="354"/>
      <c r="H53" s="179"/>
      <c r="I53" s="355" t="s">
        <v>338</v>
      </c>
      <c r="J53" s="355"/>
      <c r="K53" s="355"/>
      <c r="L53" s="179"/>
      <c r="M53" s="308" t="s">
        <v>7</v>
      </c>
      <c r="N53" s="69"/>
    </row>
    <row r="54" spans="2:20" ht="15" customHeight="1" x14ac:dyDescent="0.25">
      <c r="B54" s="180"/>
      <c r="C54" s="334"/>
      <c r="D54" s="309"/>
      <c r="E54" s="352"/>
      <c r="F54" s="309"/>
      <c r="G54" s="352"/>
      <c r="H54" s="74"/>
      <c r="I54" s="1" t="s">
        <v>329</v>
      </c>
      <c r="J54" s="1" t="s">
        <v>330</v>
      </c>
      <c r="K54" s="1" t="s">
        <v>331</v>
      </c>
      <c r="L54" s="309"/>
      <c r="M54" s="1" t="s">
        <v>332</v>
      </c>
      <c r="N54" s="181"/>
    </row>
    <row r="55" spans="2:20" ht="15" customHeight="1" x14ac:dyDescent="0.25">
      <c r="B55" s="182"/>
      <c r="C55" s="161" t="s">
        <v>339</v>
      </c>
      <c r="D55" s="161"/>
      <c r="E55" s="161"/>
      <c r="F55" s="161"/>
      <c r="G55" s="161"/>
      <c r="H55" s="160"/>
      <c r="I55" s="233"/>
      <c r="J55" s="233"/>
      <c r="K55" s="233"/>
      <c r="L55" s="160"/>
      <c r="M55" s="234"/>
      <c r="N55" s="184"/>
      <c r="Q55" s="2">
        <v>0</v>
      </c>
    </row>
    <row r="56" spans="2:20" s="12" customFormat="1" ht="15" customHeight="1" x14ac:dyDescent="0.25">
      <c r="B56" s="182"/>
      <c r="C56" s="186"/>
      <c r="D56" s="160"/>
      <c r="E56" s="261"/>
      <c r="F56" s="161"/>
      <c r="G56" s="161"/>
      <c r="H56" s="183"/>
      <c r="I56" s="235">
        <v>0</v>
      </c>
      <c r="J56" s="235">
        <v>0</v>
      </c>
      <c r="K56" s="235">
        <v>0</v>
      </c>
      <c r="L56" s="312"/>
      <c r="M56" s="299">
        <f>SUM(I56:K56)</f>
        <v>0</v>
      </c>
      <c r="N56" s="164"/>
      <c r="Q56" s="12">
        <v>25000</v>
      </c>
    </row>
    <row r="57" spans="2:20" s="12" customFormat="1" ht="15" customHeight="1" x14ac:dyDescent="0.25">
      <c r="B57" s="182"/>
      <c r="C57" s="186"/>
      <c r="D57" s="160"/>
      <c r="E57" s="261"/>
      <c r="F57" s="161"/>
      <c r="G57" s="161"/>
      <c r="H57" s="183"/>
      <c r="I57" s="235">
        <v>0</v>
      </c>
      <c r="J57" s="235">
        <v>0</v>
      </c>
      <c r="K57" s="235">
        <v>0</v>
      </c>
      <c r="L57" s="312"/>
      <c r="M57" s="299">
        <f>SUM(I57:K57)</f>
        <v>0</v>
      </c>
      <c r="N57" s="164">
        <f t="shared" ref="N57" si="6">T57*E57</f>
        <v>0</v>
      </c>
    </row>
    <row r="58" spans="2:20" s="12" customFormat="1" ht="15" customHeight="1" x14ac:dyDescent="0.25">
      <c r="B58" s="185"/>
      <c r="C58" s="165"/>
      <c r="D58" s="165"/>
      <c r="E58" s="166"/>
      <c r="F58" s="166"/>
      <c r="G58" s="350" t="s">
        <v>340</v>
      </c>
      <c r="H58" s="350"/>
      <c r="I58" s="350"/>
      <c r="J58" s="350"/>
      <c r="K58" s="350"/>
      <c r="L58" s="350"/>
      <c r="M58" s="301">
        <f>SUM(M56:M57)</f>
        <v>0</v>
      </c>
      <c r="N58" s="167"/>
    </row>
    <row r="59" spans="2:20" s="12" customFormat="1" ht="15" customHeight="1" x14ac:dyDescent="0.25">
      <c r="B59" s="8"/>
      <c r="C59" s="8"/>
      <c r="D59" s="8"/>
      <c r="E59" s="8"/>
      <c r="F59" s="8"/>
      <c r="G59" s="8"/>
      <c r="H59" s="8"/>
      <c r="I59" s="8"/>
      <c r="J59" s="8"/>
      <c r="K59" s="8"/>
      <c r="L59" s="8"/>
      <c r="M59" s="8"/>
      <c r="N59" s="8"/>
    </row>
    <row r="60" spans="2:20" s="12" customFormat="1" ht="15" customHeight="1" x14ac:dyDescent="0.25">
      <c r="B60" s="192"/>
      <c r="C60" s="332" t="s">
        <v>194</v>
      </c>
      <c r="D60" s="351" t="s">
        <v>318</v>
      </c>
      <c r="E60" s="351"/>
      <c r="F60" s="351"/>
      <c r="G60" s="351"/>
      <c r="H60" s="193"/>
      <c r="I60" s="194"/>
      <c r="J60" s="195"/>
      <c r="K60" s="195"/>
      <c r="L60" s="351" t="s">
        <v>319</v>
      </c>
      <c r="M60" s="351"/>
      <c r="N60" s="196"/>
    </row>
    <row r="61" spans="2:20" s="12" customFormat="1" ht="15" customHeight="1" x14ac:dyDescent="0.25">
      <c r="B61" s="168"/>
      <c r="C61" s="334"/>
      <c r="D61" s="352"/>
      <c r="E61" s="352"/>
      <c r="F61" s="352"/>
      <c r="G61" s="352"/>
      <c r="H61" s="74"/>
      <c r="I61" s="1"/>
      <c r="J61" s="197"/>
      <c r="K61" s="197"/>
      <c r="L61" s="352"/>
      <c r="M61" s="352"/>
      <c r="N61" s="198"/>
    </row>
    <row r="62" spans="2:20" s="12" customFormat="1" ht="15" customHeight="1" x14ac:dyDescent="0.25">
      <c r="B62" s="168"/>
      <c r="C62" s="72" t="s">
        <v>204</v>
      </c>
      <c r="D62" s="336">
        <f>M16+M28+M58</f>
        <v>0</v>
      </c>
      <c r="E62" s="336"/>
      <c r="F62" s="162"/>
      <c r="G62" s="39" t="s">
        <v>335</v>
      </c>
      <c r="H62" s="39"/>
      <c r="I62" s="39"/>
      <c r="J62" s="39"/>
      <c r="K62" s="39"/>
      <c r="L62" s="313">
        <f>IFERROR((D62/'Facility 6'!$N$4)*Output!$N$2,0)</f>
        <v>0</v>
      </c>
      <c r="M62" s="225" t="s">
        <v>335</v>
      </c>
      <c r="N62" s="169"/>
    </row>
    <row r="63" spans="2:20" s="12" customFormat="1" ht="15" customHeight="1" x14ac:dyDescent="0.25">
      <c r="B63" s="170"/>
      <c r="C63" s="72" t="s">
        <v>205</v>
      </c>
      <c r="D63" s="336">
        <f>M35</f>
        <v>0</v>
      </c>
      <c r="E63" s="336"/>
      <c r="F63" s="162"/>
      <c r="G63" s="39" t="s">
        <v>335</v>
      </c>
      <c r="H63" s="39"/>
      <c r="I63" s="39"/>
      <c r="J63" s="39"/>
      <c r="K63" s="39"/>
      <c r="L63" s="313">
        <f>IFERROR((D63/'Facility 6'!$N$4)*Output!$N$2,0)</f>
        <v>0</v>
      </c>
      <c r="M63" s="225" t="s">
        <v>335</v>
      </c>
      <c r="N63" s="55"/>
    </row>
    <row r="64" spans="2:20" ht="15" customHeight="1" x14ac:dyDescent="0.25">
      <c r="B64" s="170"/>
      <c r="C64" s="17" t="s">
        <v>122</v>
      </c>
      <c r="D64" s="342">
        <f>D62+D63</f>
        <v>0</v>
      </c>
      <c r="E64" s="343"/>
      <c r="F64" s="162"/>
      <c r="G64" s="226" t="s">
        <v>336</v>
      </c>
      <c r="H64" s="226"/>
      <c r="I64" s="39"/>
      <c r="J64" s="39"/>
      <c r="K64" s="39"/>
      <c r="L64" s="303">
        <f>IFERROR((D64/'Facility 6'!$N$4)*Output!$N$2,0)</f>
        <v>0</v>
      </c>
      <c r="M64" s="227" t="s">
        <v>336</v>
      </c>
      <c r="N64" s="316"/>
    </row>
    <row r="65" spans="2:14" ht="15" customHeight="1" x14ac:dyDescent="0.25">
      <c r="B65" s="170"/>
      <c r="C65" s="18" t="s">
        <v>123</v>
      </c>
      <c r="D65" s="344">
        <f>N16+N28+N35+N43</f>
        <v>0</v>
      </c>
      <c r="E65" s="345"/>
      <c r="F65" s="228"/>
      <c r="G65" s="57" t="s">
        <v>125</v>
      </c>
      <c r="H65" s="57"/>
      <c r="I65" s="229"/>
      <c r="J65" s="229"/>
      <c r="K65" s="229"/>
      <c r="L65" s="303">
        <f>IFERROR((D65/'Facility 6'!$N$4)*Output!$N$2,0)</f>
        <v>0</v>
      </c>
      <c r="M65" s="96" t="s">
        <v>125</v>
      </c>
      <c r="N65" s="61"/>
    </row>
    <row r="66" spans="2:14" ht="15" customHeight="1" x14ac:dyDescent="0.25">
      <c r="B66" s="171"/>
      <c r="C66" s="20" t="s">
        <v>195</v>
      </c>
      <c r="D66" s="346">
        <f>N51</f>
        <v>0</v>
      </c>
      <c r="E66" s="347"/>
      <c r="F66" s="230"/>
      <c r="G66" s="63" t="s">
        <v>125</v>
      </c>
      <c r="H66" s="63"/>
      <c r="I66" s="231"/>
      <c r="J66" s="231"/>
      <c r="K66" s="231"/>
      <c r="L66" s="304">
        <f>IFERROR((D66/'Facility 6'!$N$4)*Output!$N$2,0)</f>
        <v>0</v>
      </c>
      <c r="M66" s="97" t="s">
        <v>125</v>
      </c>
      <c r="N66" s="67"/>
    </row>
    <row r="67" spans="2:14" ht="15" customHeight="1" x14ac:dyDescent="0.25">
      <c r="B67" s="172"/>
      <c r="C67" s="19"/>
      <c r="D67" s="16"/>
      <c r="E67" s="16"/>
      <c r="F67" s="15"/>
      <c r="G67" s="15"/>
      <c r="H67" s="15"/>
      <c r="I67" s="13"/>
      <c r="J67" s="13"/>
      <c r="K67" s="13"/>
      <c r="L67" s="13"/>
      <c r="M67" s="14"/>
      <c r="N67" s="14"/>
    </row>
    <row r="68" spans="2:14" ht="15" customHeight="1" x14ac:dyDescent="0.25">
      <c r="B68" s="173"/>
      <c r="C68" s="332" t="s">
        <v>320</v>
      </c>
      <c r="D68" s="332"/>
      <c r="E68" s="332"/>
      <c r="F68" s="332"/>
      <c r="G68" s="332"/>
      <c r="H68" s="332"/>
      <c r="I68" s="332"/>
      <c r="J68" s="332"/>
      <c r="K68" s="332"/>
      <c r="L68" s="332"/>
      <c r="M68" s="332"/>
      <c r="N68" s="333"/>
    </row>
    <row r="69" spans="2:14" ht="15" customHeight="1" x14ac:dyDescent="0.25">
      <c r="B69" s="21"/>
      <c r="C69" s="334"/>
      <c r="D69" s="334"/>
      <c r="E69" s="334"/>
      <c r="F69" s="334"/>
      <c r="G69" s="334"/>
      <c r="H69" s="334"/>
      <c r="I69" s="334"/>
      <c r="J69" s="334"/>
      <c r="K69" s="334"/>
      <c r="L69" s="334"/>
      <c r="M69" s="334"/>
      <c r="N69" s="335"/>
    </row>
    <row r="70" spans="2:14" ht="15" customHeight="1" x14ac:dyDescent="0.25">
      <c r="B70" s="22"/>
      <c r="C70" s="330" t="s">
        <v>207</v>
      </c>
      <c r="D70" s="33"/>
      <c r="E70" s="34" t="s">
        <v>241</v>
      </c>
      <c r="F70" s="341" t="str">
        <f>IF(L64&gt;=25000,"You may have triggered the emissions reporting threshold for this facility. Please contact the Clean Energy Regulator",IF(L64&gt;21000, "You are close to the emissions reporting threshold for this facility. Please contact the Clean Energy Regulator",""))</f>
        <v/>
      </c>
      <c r="G70" s="341"/>
      <c r="H70" s="341"/>
      <c r="I70" s="341"/>
      <c r="J70" s="341"/>
      <c r="K70" s="341"/>
      <c r="L70" s="341"/>
      <c r="M70" s="341"/>
      <c r="N70" s="35" t="s">
        <v>242</v>
      </c>
    </row>
    <row r="71" spans="2:14" ht="15" customHeight="1" x14ac:dyDescent="0.3">
      <c r="B71" s="168"/>
      <c r="C71" s="330"/>
      <c r="D71" s="36"/>
      <c r="E71" s="337">
        <f>L64</f>
        <v>0</v>
      </c>
      <c r="F71" s="337"/>
      <c r="G71" s="337"/>
      <c r="H71" s="337"/>
      <c r="I71" s="337"/>
      <c r="J71" s="337"/>
      <c r="K71" s="337"/>
      <c r="L71" s="337"/>
      <c r="M71" s="337"/>
      <c r="N71" s="338"/>
    </row>
    <row r="72" spans="2:14" ht="15" customHeight="1" x14ac:dyDescent="0.3">
      <c r="B72" s="168"/>
      <c r="C72" s="330" t="s">
        <v>206</v>
      </c>
      <c r="D72" s="36"/>
      <c r="E72" s="37" t="s">
        <v>203</v>
      </c>
      <c r="F72" s="348" t="str">
        <f>IF(L65&gt;=100000,"You may have triggered the energy reporting threshold for this facility. Please contact the Clean Energy Regulator",IF(L65&gt;90000, "You are close to the energy reporting threshold for this facility. Please contact the Clean Energy Regulator",""))</f>
        <v/>
      </c>
      <c r="G72" s="348"/>
      <c r="H72" s="348"/>
      <c r="I72" s="348"/>
      <c r="J72" s="348"/>
      <c r="K72" s="348"/>
      <c r="L72" s="348"/>
      <c r="M72" s="348"/>
      <c r="N72" s="38" t="s">
        <v>218</v>
      </c>
    </row>
    <row r="73" spans="2:14" ht="17.45" customHeight="1" x14ac:dyDescent="0.25">
      <c r="B73" s="168"/>
      <c r="C73" s="330"/>
      <c r="D73" s="174"/>
      <c r="E73" s="337">
        <f>L65</f>
        <v>0</v>
      </c>
      <c r="F73" s="337"/>
      <c r="G73" s="337"/>
      <c r="H73" s="337"/>
      <c r="I73" s="337"/>
      <c r="J73" s="337"/>
      <c r="K73" s="337"/>
      <c r="L73" s="337"/>
      <c r="M73" s="337"/>
      <c r="N73" s="338"/>
    </row>
    <row r="74" spans="2:14" ht="17.45" customHeight="1" x14ac:dyDescent="0.25">
      <c r="B74" s="168"/>
      <c r="C74" s="330" t="s">
        <v>208</v>
      </c>
      <c r="D74" s="174"/>
      <c r="E74" s="37" t="s">
        <v>203</v>
      </c>
      <c r="F74" s="348" t="str">
        <f>IF(L66&gt;=100000,"You may have triggered the energy reporting threshold for this facility. Please contact the Clean Energy Regulator",IF(L66&gt;90000, "You are close to the energy reporting threshold for this facility. Please contact the Clean Energy Regulator",""))</f>
        <v/>
      </c>
      <c r="G74" s="348"/>
      <c r="H74" s="348"/>
      <c r="I74" s="348"/>
      <c r="J74" s="348"/>
      <c r="K74" s="348"/>
      <c r="L74" s="348"/>
      <c r="M74" s="348"/>
      <c r="N74" s="38" t="s">
        <v>218</v>
      </c>
    </row>
    <row r="75" spans="2:14" ht="17.45" customHeight="1" x14ac:dyDescent="0.25">
      <c r="B75" s="175"/>
      <c r="C75" s="331"/>
      <c r="D75" s="176"/>
      <c r="E75" s="339">
        <f>L66</f>
        <v>0</v>
      </c>
      <c r="F75" s="339"/>
      <c r="G75" s="339"/>
      <c r="H75" s="339"/>
      <c r="I75" s="339"/>
      <c r="J75" s="339"/>
      <c r="K75" s="339"/>
      <c r="L75" s="339"/>
      <c r="M75" s="339"/>
      <c r="N75" s="340"/>
    </row>
    <row r="76" spans="2:14" ht="17.45" customHeight="1" x14ac:dyDescent="0.25">
      <c r="B76" s="6"/>
      <c r="C76" s="6"/>
      <c r="D76" s="6"/>
      <c r="E76" s="6"/>
      <c r="F76" s="6"/>
      <c r="G76" s="6"/>
      <c r="H76" s="6"/>
      <c r="I76" s="6"/>
      <c r="J76" s="6"/>
      <c r="K76" s="6"/>
      <c r="L76" s="6"/>
      <c r="M76" s="6"/>
      <c r="N76" s="6"/>
    </row>
    <row r="77" spans="2:14" ht="17.45" hidden="1" customHeight="1" x14ac:dyDescent="0.25"/>
    <row r="78" spans="2:14" ht="17.45" hidden="1" customHeight="1" x14ac:dyDescent="0.25"/>
    <row r="79" spans="2:14" ht="17.45" hidden="1" customHeight="1" x14ac:dyDescent="0.25"/>
    <row r="80" spans="2:14" ht="17.45" hidden="1" customHeight="1" x14ac:dyDescent="0.25"/>
    <row r="81" ht="17.45" hidden="1" customHeight="1" x14ac:dyDescent="0.25"/>
    <row r="82" ht="17.45" hidden="1" customHeight="1" x14ac:dyDescent="0.25"/>
    <row r="83" ht="17.45" hidden="1" customHeight="1" x14ac:dyDescent="0.25"/>
    <row r="84" ht="17.45" hidden="1" customHeight="1" x14ac:dyDescent="0.25"/>
    <row r="85" ht="17.45" hidden="1" customHeight="1" x14ac:dyDescent="0.25"/>
    <row r="86" ht="17.45" hidden="1" customHeight="1" x14ac:dyDescent="0.25"/>
    <row r="87" ht="17.45" hidden="1" customHeight="1" x14ac:dyDescent="0.25"/>
    <row r="88" ht="17.45" hidden="1" customHeight="1" x14ac:dyDescent="0.25"/>
    <row r="89" ht="17.45" hidden="1" customHeight="1" x14ac:dyDescent="0.25"/>
    <row r="90" ht="17.45" hidden="1" customHeight="1" x14ac:dyDescent="0.25"/>
    <row r="91" ht="17.45" hidden="1" customHeight="1" x14ac:dyDescent="0.25"/>
    <row r="92" ht="17.45" hidden="1" customHeight="1" x14ac:dyDescent="0.25"/>
    <row r="93" ht="17.45" hidden="1" customHeight="1" x14ac:dyDescent="0.25"/>
    <row r="94" ht="17.45" hidden="1" customHeight="1" x14ac:dyDescent="0.25"/>
    <row r="95" ht="17.45" hidden="1" customHeight="1" x14ac:dyDescent="0.25"/>
    <row r="96" ht="17.45" hidden="1" customHeight="1" x14ac:dyDescent="0.25"/>
    <row r="97" ht="17.45" hidden="1" customHeight="1" x14ac:dyDescent="0.25"/>
    <row r="98" ht="17.45" hidden="1" customHeight="1" x14ac:dyDescent="0.25"/>
  </sheetData>
  <sheetProtection algorithmName="SHA-256" hashValue="lrjLcaVcDU/hT447fc+KxoaajycJLJjsc712E0MwdMQ=" saltValue="0SvDvf3j5hQ5U+mbQ9Hpgg==" spinCount="100000" sheet="1" objects="1" scenarios="1" selectLockedCells="1"/>
  <mergeCells count="55">
    <mergeCell ref="C72:C73"/>
    <mergeCell ref="F72:M72"/>
    <mergeCell ref="E73:N73"/>
    <mergeCell ref="C74:C75"/>
    <mergeCell ref="F74:M74"/>
    <mergeCell ref="E75:N75"/>
    <mergeCell ref="D65:E65"/>
    <mergeCell ref="D66:E66"/>
    <mergeCell ref="C68:N69"/>
    <mergeCell ref="C70:C71"/>
    <mergeCell ref="F70:M70"/>
    <mergeCell ref="E71:N71"/>
    <mergeCell ref="D64:E64"/>
    <mergeCell ref="G51:L51"/>
    <mergeCell ref="C53:C54"/>
    <mergeCell ref="E53:E54"/>
    <mergeCell ref="G53:G54"/>
    <mergeCell ref="I53:K53"/>
    <mergeCell ref="G58:L58"/>
    <mergeCell ref="C60:C61"/>
    <mergeCell ref="D60:G61"/>
    <mergeCell ref="L60:M61"/>
    <mergeCell ref="D62:E62"/>
    <mergeCell ref="D63:E63"/>
    <mergeCell ref="J50:K50"/>
    <mergeCell ref="G35:L35"/>
    <mergeCell ref="C37:C38"/>
    <mergeCell ref="E37:E38"/>
    <mergeCell ref="G37:G38"/>
    <mergeCell ref="I37:K37"/>
    <mergeCell ref="J42:K42"/>
    <mergeCell ref="G43:L43"/>
    <mergeCell ref="C45:C46"/>
    <mergeCell ref="E45:E46"/>
    <mergeCell ref="G45:G46"/>
    <mergeCell ref="I45:K45"/>
    <mergeCell ref="J34:L34"/>
    <mergeCell ref="G16:L16"/>
    <mergeCell ref="C18:C19"/>
    <mergeCell ref="E18:E19"/>
    <mergeCell ref="G18:G19"/>
    <mergeCell ref="I18:K18"/>
    <mergeCell ref="G28:L28"/>
    <mergeCell ref="C30:C31"/>
    <mergeCell ref="E30:E31"/>
    <mergeCell ref="G30:G31"/>
    <mergeCell ref="I30:K30"/>
    <mergeCell ref="J33:L33"/>
    <mergeCell ref="C2:N2"/>
    <mergeCell ref="E4:H4"/>
    <mergeCell ref="J4:L4"/>
    <mergeCell ref="C6:C7"/>
    <mergeCell ref="E6:E7"/>
    <mergeCell ref="G6:G7"/>
    <mergeCell ref="I6:K6"/>
  </mergeCells>
  <conditionalFormatting sqref="I41 I33:I34">
    <cfRule type="cellIs" dxfId="30" priority="17" operator="equal">
      <formula>0.64</formula>
    </cfRule>
  </conditionalFormatting>
  <conditionalFormatting sqref="I41:M41 C65 M33:N34 I33:J34">
    <cfRule type="cellIs" dxfId="29" priority="16" operator="equal">
      <formula>0</formula>
    </cfRule>
  </conditionalFormatting>
  <conditionalFormatting sqref="I40:N40 J42 L42:M42 N41:N42">
    <cfRule type="cellIs" dxfId="28" priority="15" operator="equal">
      <formula>0</formula>
    </cfRule>
  </conditionalFormatting>
  <conditionalFormatting sqref="I49:M49">
    <cfRule type="aboveAverage" dxfId="27" priority="14"/>
  </conditionalFormatting>
  <conditionalFormatting sqref="I48:N48 J50 L50:M50 N49:N50">
    <cfRule type="cellIs" dxfId="26" priority="13" operator="equal">
      <formula>0</formula>
    </cfRule>
  </conditionalFormatting>
  <conditionalFormatting sqref="G64:I64 G62:G63">
    <cfRule type="dataBar" priority="12">
      <dataBar>
        <cfvo type="min"/>
        <cfvo type="max"/>
        <color rgb="FF638EC6"/>
      </dataBar>
      <extLst>
        <ext xmlns:x14="http://schemas.microsoft.com/office/spreadsheetml/2009/9/main" uri="{B025F937-C7B1-47D3-B67F-A62EFF666E3E}">
          <x14:id>{62051158-3A57-4F67-B2A8-38EA94296E29}</x14:id>
        </ext>
      </extLst>
    </cfRule>
  </conditionalFormatting>
  <conditionalFormatting sqref="I9:N15">
    <cfRule type="cellIs" dxfId="25" priority="11" operator="equal">
      <formula>0</formula>
    </cfRule>
  </conditionalFormatting>
  <conditionalFormatting sqref="E71:N71">
    <cfRule type="dataBar" priority="10">
      <dataBar>
        <cfvo type="num" val="0"/>
        <cfvo type="num" val="25000"/>
        <color rgb="FF638EC6"/>
      </dataBar>
      <extLst>
        <ext xmlns:x14="http://schemas.microsoft.com/office/spreadsheetml/2009/9/main" uri="{B025F937-C7B1-47D3-B67F-A62EFF666E3E}">
          <x14:id>{46621C47-0491-4CE1-BA16-C011BA505E8D}</x14:id>
        </ext>
      </extLst>
    </cfRule>
  </conditionalFormatting>
  <conditionalFormatting sqref="E73:N73">
    <cfRule type="dataBar" priority="9">
      <dataBar>
        <cfvo type="num" val="0"/>
        <cfvo type="num" val="100000"/>
        <color rgb="FF638EC6"/>
      </dataBar>
      <extLst>
        <ext xmlns:x14="http://schemas.microsoft.com/office/spreadsheetml/2009/9/main" uri="{B025F937-C7B1-47D3-B67F-A62EFF666E3E}">
          <x14:id>{B46AEC80-F7C4-4303-90E8-A4B8FCBEF824}</x14:id>
        </ext>
      </extLst>
    </cfRule>
  </conditionalFormatting>
  <conditionalFormatting sqref="E75:N75">
    <cfRule type="dataBar" priority="8">
      <dataBar>
        <cfvo type="num" val="0"/>
        <cfvo type="num" val="100000"/>
        <color rgb="FF638EC6"/>
      </dataBar>
      <extLst>
        <ext xmlns:x14="http://schemas.microsoft.com/office/spreadsheetml/2009/9/main" uri="{B025F937-C7B1-47D3-B67F-A62EFF666E3E}">
          <x14:id>{CA251556-7E55-4818-8AF6-6B0C7D3C945D}</x14:id>
        </ext>
      </extLst>
    </cfRule>
  </conditionalFormatting>
  <conditionalFormatting sqref="G21:N27">
    <cfRule type="cellIs" dxfId="24" priority="7" operator="equal">
      <formula>0</formula>
    </cfRule>
  </conditionalFormatting>
  <conditionalFormatting sqref="H40:N42">
    <cfRule type="cellIs" dxfId="23" priority="6" operator="equal">
      <formula>0</formula>
    </cfRule>
  </conditionalFormatting>
  <conditionalFormatting sqref="H48:N50">
    <cfRule type="cellIs" dxfId="22" priority="5" operator="equal">
      <formula>0</formula>
    </cfRule>
  </conditionalFormatting>
  <conditionalFormatting sqref="N4">
    <cfRule type="expression" dxfId="21" priority="3">
      <formula>M4="No specific period"</formula>
    </cfRule>
    <cfRule type="cellIs" dxfId="20" priority="4" operator="equal">
      <formula>"# of days?"</formula>
    </cfRule>
  </conditionalFormatting>
  <conditionalFormatting sqref="M62:M64">
    <cfRule type="dataBar" priority="2">
      <dataBar>
        <cfvo type="min"/>
        <cfvo type="max"/>
        <color rgb="FF638EC6"/>
      </dataBar>
      <extLst>
        <ext xmlns:x14="http://schemas.microsoft.com/office/spreadsheetml/2009/9/main" uri="{B025F937-C7B1-47D3-B67F-A62EFF666E3E}">
          <x14:id>{83B137CC-FBC5-4188-8E8E-6E10568E6EAF}</x14:id>
        </ext>
      </extLst>
    </cfRule>
  </conditionalFormatting>
  <conditionalFormatting sqref="L57 N57">
    <cfRule type="cellIs" dxfId="19" priority="1" operator="equal">
      <formula>0</formula>
    </cfRule>
  </conditionalFormatting>
  <dataValidations count="1">
    <dataValidation type="list" allowBlank="1" showInputMessage="1" showErrorMessage="1" sqref="M4" xr:uid="{00000000-0002-0000-0600-000000000000}">
      <formula1>$Q$3:$Q$4</formula1>
    </dataValidation>
  </dataValidations>
  <pageMargins left="0.7" right="0.7" top="0.75" bottom="0.75" header="0.3" footer="0.3"/>
  <pageSetup paperSize="9" scale="66" orientation="landscape" r:id="rId1"/>
  <drawing r:id="rId2"/>
  <extLst>
    <ext xmlns:x14="http://schemas.microsoft.com/office/spreadsheetml/2009/9/main" uri="{78C0D931-6437-407d-A8EE-F0AAD7539E65}">
      <x14:conditionalFormattings>
        <x14:conditionalFormatting xmlns:xm="http://schemas.microsoft.com/office/excel/2006/main">
          <x14:cfRule type="dataBar" id="{62051158-3A57-4F67-B2A8-38EA94296E29}">
            <x14:dataBar minLength="0" maxLength="100" border="1" negativeBarBorderColorSameAsPositive="0">
              <x14:cfvo type="autoMin"/>
              <x14:cfvo type="autoMax"/>
              <x14:borderColor rgb="FF638EC6"/>
              <x14:negativeFillColor rgb="FFFF0000"/>
              <x14:negativeBorderColor rgb="FFFF0000"/>
              <x14:axisColor rgb="FF000000"/>
            </x14:dataBar>
          </x14:cfRule>
          <xm:sqref>G64:I64 G62:G63</xm:sqref>
        </x14:conditionalFormatting>
        <x14:conditionalFormatting xmlns:xm="http://schemas.microsoft.com/office/excel/2006/main">
          <x14:cfRule type="dataBar" id="{46621C47-0491-4CE1-BA16-C011BA505E8D}">
            <x14:dataBar minLength="0" maxLength="100" gradient="0">
              <x14:cfvo type="num">
                <xm:f>0</xm:f>
              </x14:cfvo>
              <x14:cfvo type="num">
                <xm:f>25000</xm:f>
              </x14:cfvo>
              <x14:negativeFillColor rgb="FFFF0000"/>
              <x14:axisColor rgb="FF000000"/>
            </x14:dataBar>
          </x14:cfRule>
          <xm:sqref>E71:N71</xm:sqref>
        </x14:conditionalFormatting>
        <x14:conditionalFormatting xmlns:xm="http://schemas.microsoft.com/office/excel/2006/main">
          <x14:cfRule type="dataBar" id="{B46AEC80-F7C4-4303-90E8-A4B8FCBEF824}">
            <x14:dataBar minLength="0" maxLength="100" gradient="0">
              <x14:cfvo type="num">
                <xm:f>0</xm:f>
              </x14:cfvo>
              <x14:cfvo type="num">
                <xm:f>100000</xm:f>
              </x14:cfvo>
              <x14:negativeFillColor rgb="FFFF0000"/>
              <x14:axisColor rgb="FF000000"/>
            </x14:dataBar>
          </x14:cfRule>
          <xm:sqref>E73:N73</xm:sqref>
        </x14:conditionalFormatting>
        <x14:conditionalFormatting xmlns:xm="http://schemas.microsoft.com/office/excel/2006/main">
          <x14:cfRule type="dataBar" id="{CA251556-7E55-4818-8AF6-6B0C7D3C945D}">
            <x14:dataBar minLength="0" maxLength="100" gradient="0">
              <x14:cfvo type="num">
                <xm:f>0</xm:f>
              </x14:cfvo>
              <x14:cfvo type="num">
                <xm:f>100000</xm:f>
              </x14:cfvo>
              <x14:negativeFillColor rgb="FFFF0000"/>
              <x14:axisColor rgb="FF000000"/>
            </x14:dataBar>
          </x14:cfRule>
          <xm:sqref>E75:N75</xm:sqref>
        </x14:conditionalFormatting>
        <x14:conditionalFormatting xmlns:xm="http://schemas.microsoft.com/office/excel/2006/main">
          <x14:cfRule type="dataBar" id="{83B137CC-FBC5-4188-8E8E-6E10568E6EAF}">
            <x14:dataBar minLength="0" maxLength="100" border="1" negativeBarBorderColorSameAsPositive="0">
              <x14:cfvo type="autoMin"/>
              <x14:cfvo type="autoMax"/>
              <x14:borderColor rgb="FF638EC6"/>
              <x14:negativeFillColor rgb="FFFF0000"/>
              <x14:negativeBorderColor rgb="FFFF0000"/>
              <x14:axisColor rgb="FF000000"/>
            </x14:dataBar>
          </x14:cfRule>
          <xm:sqref>M62:M64</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600-000001000000}">
          <x14:formula1>
            <xm:f>'Calculation engine'!$W$8:$W$72</xm:f>
          </x14:formula1>
          <xm:sqref>C48:C50</xm:sqref>
        </x14:dataValidation>
        <x14:dataValidation type="list" allowBlank="1" showInputMessage="1" showErrorMessage="1" xr:uid="{00000000-0002-0000-0600-000002000000}">
          <x14:formula1>
            <xm:f>'Calculation engine'!$AD$8:$AD$78</xm:f>
          </x14:formula1>
          <xm:sqref>C40:C42</xm:sqref>
        </x14:dataValidation>
        <x14:dataValidation type="list" allowBlank="1" showInputMessage="1" showErrorMessage="1" xr:uid="{00000000-0002-0000-0600-000003000000}">
          <x14:formula1>
            <xm:f>'Calculation engine'!$Q$10:$Q$19</xm:f>
          </x14:formula1>
          <xm:sqref>C33:C34</xm:sqref>
        </x14:dataValidation>
        <x14:dataValidation type="list" allowBlank="1" showInputMessage="1" showErrorMessage="1" xr:uid="{00000000-0002-0000-0600-000004000000}">
          <x14:formula1>
            <xm:f>'Calculation engine'!$I$8:$I$62</xm:f>
          </x14:formula1>
          <xm:sqref>C21:C27</xm:sqref>
        </x14:dataValidation>
        <x14:dataValidation type="list" allowBlank="1" showInputMessage="1" showErrorMessage="1" xr:uid="{00000000-0002-0000-0600-000005000000}">
          <x14:formula1>
            <xm:f>'Calculation engine'!$B$8:$B$28</xm:f>
          </x14:formula1>
          <xm:sqref>C9:C15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C130"/>
  <sheetViews>
    <sheetView showRowColHeaders="0" zoomScaleNormal="100" workbookViewId="0"/>
  </sheetViews>
  <sheetFormatPr defaultColWidth="0" defaultRowHeight="15" zeroHeight="1" x14ac:dyDescent="0.25"/>
  <cols>
    <col min="1" max="2" width="4" style="2" customWidth="1"/>
    <col min="3" max="3" width="67.5703125" style="2" customWidth="1"/>
    <col min="4" max="4" width="3.42578125" style="2" customWidth="1"/>
    <col min="5" max="5" width="19.7109375" style="2" customWidth="1"/>
    <col min="6" max="6" width="3.7109375" style="2" customWidth="1"/>
    <col min="7" max="7" width="9.140625" style="2" customWidth="1"/>
    <col min="8" max="8" width="10.5703125" style="2" customWidth="1"/>
    <col min="9" max="9" width="13.5703125" style="2" customWidth="1"/>
    <col min="10" max="10" width="12.140625" style="2" customWidth="1"/>
    <col min="11" max="11" width="11.85546875" style="2" customWidth="1"/>
    <col min="12" max="12" width="22.5703125" style="2" customWidth="1"/>
    <col min="13" max="13" width="23.85546875" style="2" customWidth="1"/>
    <col min="14" max="14" width="23.28515625" style="2" customWidth="1"/>
    <col min="15" max="15" width="4.5703125" style="2" customWidth="1"/>
    <col min="16" max="16" width="9.140625" style="2" hidden="1" customWidth="1"/>
    <col min="17" max="21" width="18.85546875" style="2" hidden="1" customWidth="1"/>
    <col min="22" max="22" width="18" style="2" hidden="1" customWidth="1"/>
    <col min="23" max="27" width="16.5703125" style="2" hidden="1" customWidth="1"/>
    <col min="28" max="28" width="7.28515625" style="2" hidden="1" customWidth="1"/>
    <col min="29" max="29" width="64.28515625" style="8" hidden="1" customWidth="1"/>
    <col min="30" max="30" width="14.42578125" style="8" hidden="1" customWidth="1"/>
    <col min="31" max="31" width="15.140625" style="8" hidden="1" customWidth="1"/>
    <col min="32" max="32" width="16.85546875" style="8" hidden="1" customWidth="1"/>
    <col min="33" max="33" width="12.42578125" style="8" hidden="1" customWidth="1"/>
    <col min="34" max="34" width="20.85546875" style="8" hidden="1" customWidth="1"/>
    <col min="35" max="36" width="3.5703125" style="2" hidden="1" customWidth="1"/>
    <col min="37" max="37" width="32.28515625" style="2" hidden="1" customWidth="1"/>
    <col min="38" max="40" width="9.140625" style="2" hidden="1" customWidth="1"/>
    <col min="41" max="41" width="4.42578125" style="2" hidden="1" customWidth="1"/>
    <col min="42" max="42" width="2.85546875" style="2" hidden="1" customWidth="1"/>
    <col min="43" max="43" width="40.42578125" style="2" hidden="1" customWidth="1"/>
    <col min="44" max="48" width="9.140625" style="2" hidden="1" customWidth="1"/>
    <col min="49" max="49" width="5.7109375" style="2" hidden="1" customWidth="1"/>
    <col min="50" max="50" width="46.7109375" style="2" hidden="1" customWidth="1"/>
    <col min="51" max="55" width="0" style="2" hidden="1" customWidth="1"/>
    <col min="56" max="16384" width="9.140625" style="2" hidden="1"/>
  </cols>
  <sheetData>
    <row r="1" spans="1:14" ht="147.75" customHeight="1" x14ac:dyDescent="0.25">
      <c r="B1" s="364"/>
      <c r="C1" s="364"/>
      <c r="D1" s="364"/>
      <c r="E1" s="364"/>
      <c r="F1" s="364"/>
      <c r="G1" s="364"/>
      <c r="H1" s="364"/>
      <c r="I1" s="364"/>
      <c r="J1" s="364"/>
      <c r="K1" s="364"/>
      <c r="L1" s="364"/>
      <c r="M1" s="364"/>
      <c r="N1" s="364"/>
    </row>
    <row r="2" spans="1:14" ht="33" customHeight="1" x14ac:dyDescent="0.25">
      <c r="A2" s="70"/>
      <c r="B2" s="374" t="s">
        <v>237</v>
      </c>
      <c r="C2" s="375"/>
      <c r="D2" s="375"/>
      <c r="E2" s="375"/>
      <c r="F2" s="375"/>
      <c r="G2" s="375"/>
      <c r="H2" s="375"/>
      <c r="I2" s="375"/>
      <c r="J2" s="375"/>
      <c r="K2" s="375"/>
      <c r="L2" s="383"/>
      <c r="M2" s="383"/>
      <c r="N2" s="209">
        <v>365</v>
      </c>
    </row>
    <row r="3" spans="1:14" ht="15" customHeight="1" x14ac:dyDescent="0.25">
      <c r="B3" s="177"/>
      <c r="C3" s="177"/>
      <c r="D3" s="177"/>
      <c r="E3" s="177"/>
      <c r="F3" s="177"/>
      <c r="G3" s="177"/>
      <c r="H3" s="177"/>
      <c r="I3" s="177"/>
      <c r="J3" s="177"/>
      <c r="K3" s="177"/>
      <c r="L3" s="177"/>
      <c r="M3" s="177"/>
      <c r="N3" s="177"/>
    </row>
    <row r="4" spans="1:14" ht="33" customHeight="1" x14ac:dyDescent="0.25">
      <c r="B4" s="210"/>
      <c r="C4" s="211" t="s">
        <v>228</v>
      </c>
      <c r="D4" s="246"/>
      <c r="E4" s="238" t="s">
        <v>210</v>
      </c>
      <c r="F4" s="246"/>
      <c r="G4" s="354" t="s">
        <v>211</v>
      </c>
      <c r="H4" s="378"/>
      <c r="I4" s="246"/>
      <c r="J4" s="354" t="s">
        <v>122</v>
      </c>
      <c r="K4" s="378"/>
      <c r="L4" s="238" t="s">
        <v>212</v>
      </c>
      <c r="M4" s="238" t="s">
        <v>213</v>
      </c>
      <c r="N4" s="69" t="s">
        <v>229</v>
      </c>
    </row>
    <row r="5" spans="1:14" ht="15" customHeight="1" x14ac:dyDescent="0.25">
      <c r="B5" s="212"/>
      <c r="C5" s="237" t="s">
        <v>214</v>
      </c>
      <c r="D5" s="213"/>
      <c r="E5" s="327">
        <f>'Facility 1'!$D$62</f>
        <v>0</v>
      </c>
      <c r="F5" s="280"/>
      <c r="G5" s="365">
        <f>'Facility 1'!$M$35</f>
        <v>0</v>
      </c>
      <c r="H5" s="366"/>
      <c r="I5" s="281"/>
      <c r="J5" s="367">
        <f>E5+G5</f>
        <v>0</v>
      </c>
      <c r="K5" s="368"/>
      <c r="L5" s="282">
        <f>'Facility 1'!$D$65</f>
        <v>0</v>
      </c>
      <c r="M5" s="283">
        <f>'Facility 1'!$D$66</f>
        <v>0</v>
      </c>
      <c r="N5" s="68">
        <f>IF('Facility 1'!$M$4="Full year",$N$2,'Facility 1'!$N$4)</f>
        <v>365</v>
      </c>
    </row>
    <row r="6" spans="1:14" ht="15" customHeight="1" x14ac:dyDescent="0.25">
      <c r="B6" s="212"/>
      <c r="C6" s="237" t="s">
        <v>215</v>
      </c>
      <c r="D6" s="214"/>
      <c r="E6" s="327">
        <f>'Facility 2'!$D$62</f>
        <v>0</v>
      </c>
      <c r="F6" s="284"/>
      <c r="G6" s="365">
        <f>'Facility 2'!$M$35</f>
        <v>0</v>
      </c>
      <c r="H6" s="366"/>
      <c r="I6" s="285"/>
      <c r="J6" s="367">
        <f t="shared" ref="J6:J10" si="0">E6+G6</f>
        <v>0</v>
      </c>
      <c r="K6" s="368"/>
      <c r="L6" s="314">
        <f>'Facility 2'!$D$65</f>
        <v>0</v>
      </c>
      <c r="M6" s="283">
        <f>'Facility 2'!$D$66</f>
        <v>0</v>
      </c>
      <c r="N6" s="68">
        <f>IF('Facility 2'!$M$4="Full year",$N$2,'Facility 2'!$N$4)</f>
        <v>365</v>
      </c>
    </row>
    <row r="7" spans="1:14" ht="15" customHeight="1" x14ac:dyDescent="0.25">
      <c r="B7" s="212"/>
      <c r="C7" s="237" t="s">
        <v>216</v>
      </c>
      <c r="D7" s="214"/>
      <c r="E7" s="327">
        <f>'Facility 3'!$D$62</f>
        <v>0</v>
      </c>
      <c r="F7" s="284"/>
      <c r="G7" s="365">
        <f>'Facility 3'!$M$35</f>
        <v>0</v>
      </c>
      <c r="H7" s="366"/>
      <c r="I7" s="285"/>
      <c r="J7" s="367">
        <f t="shared" si="0"/>
        <v>0</v>
      </c>
      <c r="K7" s="368"/>
      <c r="L7" s="314">
        <f>'Facility 3'!$D$65</f>
        <v>0</v>
      </c>
      <c r="M7" s="283">
        <f>'Facility 3'!$D$66</f>
        <v>0</v>
      </c>
      <c r="N7" s="68">
        <f>IF('Facility 3'!$M$4="Full year",$N$2,'Facility 3'!$N$4)</f>
        <v>365</v>
      </c>
    </row>
    <row r="8" spans="1:14" ht="15" customHeight="1" x14ac:dyDescent="0.25">
      <c r="B8" s="212"/>
      <c r="C8" s="237" t="s">
        <v>217</v>
      </c>
      <c r="D8" s="214"/>
      <c r="E8" s="327">
        <f>'Facility 4'!$D$62</f>
        <v>0</v>
      </c>
      <c r="F8" s="284"/>
      <c r="G8" s="365">
        <f>'Facility 4'!$M$35</f>
        <v>0</v>
      </c>
      <c r="H8" s="366"/>
      <c r="I8" s="285"/>
      <c r="J8" s="367">
        <f t="shared" si="0"/>
        <v>0</v>
      </c>
      <c r="K8" s="368"/>
      <c r="L8" s="314">
        <f>'Facility 4'!$D$65</f>
        <v>0</v>
      </c>
      <c r="M8" s="283">
        <f>'Facility 4'!$D$66</f>
        <v>0</v>
      </c>
      <c r="N8" s="68">
        <f>IF('Facility 4'!$M$4="Full year",$N$2,'Facility 4'!$N$4)</f>
        <v>365</v>
      </c>
    </row>
    <row r="9" spans="1:14" ht="15" customHeight="1" x14ac:dyDescent="0.25">
      <c r="B9" s="180"/>
      <c r="C9" s="237" t="s">
        <v>234</v>
      </c>
      <c r="D9" s="214"/>
      <c r="E9" s="327">
        <f>'Facility 5'!$D$62</f>
        <v>0</v>
      </c>
      <c r="F9" s="284"/>
      <c r="G9" s="365">
        <f>'Facility 5'!$M$35</f>
        <v>0</v>
      </c>
      <c r="H9" s="366"/>
      <c r="I9" s="285"/>
      <c r="J9" s="367">
        <f t="shared" si="0"/>
        <v>0</v>
      </c>
      <c r="K9" s="368"/>
      <c r="L9" s="314">
        <f>'Facility 5'!$D$65</f>
        <v>0</v>
      </c>
      <c r="M9" s="283">
        <f>'Facility 5'!$D$66</f>
        <v>0</v>
      </c>
      <c r="N9" s="68">
        <f>IF('Facility 5'!$M$4="Full year",$N$2,'Facility 5'!$N$4)</f>
        <v>365</v>
      </c>
    </row>
    <row r="10" spans="1:14" ht="15" customHeight="1" x14ac:dyDescent="0.25">
      <c r="B10" s="180"/>
      <c r="C10" s="237" t="s">
        <v>235</v>
      </c>
      <c r="D10" s="215"/>
      <c r="E10" s="327">
        <f>'Facility 6'!$D$62</f>
        <v>0</v>
      </c>
      <c r="F10" s="286"/>
      <c r="G10" s="365">
        <f>'Facility 6'!$M$35</f>
        <v>0</v>
      </c>
      <c r="H10" s="366"/>
      <c r="I10" s="287"/>
      <c r="J10" s="367">
        <f t="shared" si="0"/>
        <v>0</v>
      </c>
      <c r="K10" s="368"/>
      <c r="L10" s="314">
        <f>'Facility 6'!$D$65</f>
        <v>0</v>
      </c>
      <c r="M10" s="283">
        <f>'Facility 6'!$D$66</f>
        <v>0</v>
      </c>
      <c r="N10" s="68">
        <f>IF('Facility 6'!$M$4="Full year",$N$2,'Facility 6'!$N$4)</f>
        <v>365</v>
      </c>
    </row>
    <row r="11" spans="1:14" ht="15" customHeight="1" x14ac:dyDescent="0.25">
      <c r="B11" s="180"/>
      <c r="C11" s="199"/>
      <c r="D11" s="74"/>
      <c r="E11" s="74"/>
      <c r="F11" s="74"/>
      <c r="G11" s="237"/>
      <c r="H11" s="237"/>
      <c r="I11" s="74"/>
      <c r="J11" s="75"/>
      <c r="K11" s="75"/>
      <c r="L11" s="74"/>
      <c r="M11" s="74"/>
      <c r="N11" s="200"/>
    </row>
    <row r="12" spans="1:14" ht="15" customHeight="1" x14ac:dyDescent="0.25">
      <c r="B12" s="216"/>
      <c r="C12" s="199" t="s">
        <v>231</v>
      </c>
      <c r="D12" s="201"/>
      <c r="E12" s="328">
        <f>SUM(E5:E10)</f>
        <v>0</v>
      </c>
      <c r="F12" s="288"/>
      <c r="G12" s="365">
        <f>SUM(G5:H10)</f>
        <v>0</v>
      </c>
      <c r="H12" s="366"/>
      <c r="I12" s="289"/>
      <c r="J12" s="369">
        <f>SUM(J5:K10)</f>
        <v>0</v>
      </c>
      <c r="K12" s="370"/>
      <c r="L12" s="290">
        <f>SUM(L5:L10)</f>
        <v>0</v>
      </c>
      <c r="M12" s="291">
        <f>SUM(M5:M10)</f>
        <v>0</v>
      </c>
      <c r="N12" s="202"/>
    </row>
    <row r="13" spans="1:14" ht="31.7" customHeight="1" x14ac:dyDescent="0.25">
      <c r="B13" s="212"/>
      <c r="C13" s="203"/>
      <c r="D13" s="43"/>
      <c r="E13" s="42"/>
      <c r="F13" s="43"/>
      <c r="G13" s="44"/>
      <c r="H13" s="45"/>
      <c r="I13" s="43"/>
      <c r="J13" s="46"/>
      <c r="K13" s="47"/>
      <c r="L13" s="48"/>
      <c r="M13" s="48"/>
      <c r="N13" s="204"/>
    </row>
    <row r="14" spans="1:14" ht="15" customHeight="1" x14ac:dyDescent="0.25">
      <c r="B14" s="217"/>
      <c r="C14" s="177"/>
      <c r="D14" s="177"/>
      <c r="E14" s="177"/>
      <c r="F14" s="177"/>
      <c r="G14" s="177"/>
      <c r="H14" s="177"/>
      <c r="I14" s="177"/>
      <c r="J14" s="177"/>
      <c r="K14" s="177"/>
      <c r="L14" s="177"/>
      <c r="M14" s="177"/>
      <c r="N14" s="177"/>
    </row>
    <row r="15" spans="1:14" ht="30.2" customHeight="1" x14ac:dyDescent="0.25">
      <c r="B15" s="212"/>
      <c r="C15" s="211" t="s">
        <v>230</v>
      </c>
      <c r="D15" s="246"/>
      <c r="E15" s="238" t="s">
        <v>210</v>
      </c>
      <c r="F15" s="246"/>
      <c r="G15" s="354" t="s">
        <v>211</v>
      </c>
      <c r="H15" s="378"/>
      <c r="I15" s="246"/>
      <c r="J15" s="354" t="s">
        <v>122</v>
      </c>
      <c r="K15" s="378"/>
      <c r="L15" s="238" t="s">
        <v>212</v>
      </c>
      <c r="M15" s="238" t="s">
        <v>213</v>
      </c>
      <c r="N15" s="218"/>
    </row>
    <row r="16" spans="1:14" ht="15" customHeight="1" x14ac:dyDescent="0.25">
      <c r="B16" s="212"/>
      <c r="C16" s="237" t="s">
        <v>214</v>
      </c>
      <c r="D16" s="213"/>
      <c r="E16" s="327">
        <f>'Facility 1'!$L$62</f>
        <v>0</v>
      </c>
      <c r="F16" s="280"/>
      <c r="G16" s="365">
        <f>'Facility 1'!$L$63</f>
        <v>0</v>
      </c>
      <c r="H16" s="366"/>
      <c r="I16" s="281"/>
      <c r="J16" s="367">
        <f>E16+G16</f>
        <v>0</v>
      </c>
      <c r="K16" s="368"/>
      <c r="L16" s="282">
        <f>'Facility 1'!$L$65</f>
        <v>0</v>
      </c>
      <c r="M16" s="282">
        <f>'Facility 1'!$L$66</f>
        <v>0</v>
      </c>
      <c r="N16" s="219"/>
    </row>
    <row r="17" spans="2:55" ht="15" customHeight="1" x14ac:dyDescent="0.25">
      <c r="B17" s="212"/>
      <c r="C17" s="237" t="s">
        <v>215</v>
      </c>
      <c r="D17" s="214"/>
      <c r="E17" s="327">
        <f>'Facility 2'!$L$62</f>
        <v>0</v>
      </c>
      <c r="F17" s="284"/>
      <c r="G17" s="365">
        <f>'Facility 2'!$L$63</f>
        <v>0</v>
      </c>
      <c r="H17" s="366"/>
      <c r="I17" s="285"/>
      <c r="J17" s="367">
        <f t="shared" ref="J17:J21" si="1">E17+G17</f>
        <v>0</v>
      </c>
      <c r="K17" s="368"/>
      <c r="L17" s="314">
        <f>'Facility 2'!$L$65</f>
        <v>0</v>
      </c>
      <c r="M17" s="314">
        <f>'Facility 2'!$L$66</f>
        <v>0</v>
      </c>
      <c r="N17" s="219"/>
    </row>
    <row r="18" spans="2:55" ht="15" customHeight="1" x14ac:dyDescent="0.25">
      <c r="B18" s="180"/>
      <c r="C18" s="237" t="s">
        <v>216</v>
      </c>
      <c r="D18" s="214"/>
      <c r="E18" s="327">
        <f>'Facility 3'!$L$62</f>
        <v>0</v>
      </c>
      <c r="F18" s="284"/>
      <c r="G18" s="365">
        <f>'Facility 3'!$L$63</f>
        <v>0</v>
      </c>
      <c r="H18" s="366"/>
      <c r="I18" s="285"/>
      <c r="J18" s="367">
        <f t="shared" si="1"/>
        <v>0</v>
      </c>
      <c r="K18" s="368"/>
      <c r="L18" s="314">
        <f>'Facility 3'!$L$65</f>
        <v>0</v>
      </c>
      <c r="M18" s="314">
        <f>'Facility 3'!$L$66</f>
        <v>0</v>
      </c>
      <c r="N18" s="219"/>
    </row>
    <row r="19" spans="2:55" ht="15" customHeight="1" x14ac:dyDescent="0.25">
      <c r="B19" s="180"/>
      <c r="C19" s="237" t="s">
        <v>217</v>
      </c>
      <c r="D19" s="214"/>
      <c r="E19" s="327">
        <f>'Facility 4'!$L$62</f>
        <v>0</v>
      </c>
      <c r="F19" s="284"/>
      <c r="G19" s="365">
        <f>'Facility 4'!$L$63</f>
        <v>0</v>
      </c>
      <c r="H19" s="366"/>
      <c r="I19" s="285"/>
      <c r="J19" s="367">
        <f t="shared" si="1"/>
        <v>0</v>
      </c>
      <c r="K19" s="368"/>
      <c r="L19" s="314">
        <f>'Facility 4'!$L$65</f>
        <v>0</v>
      </c>
      <c r="M19" s="314">
        <f>'Facility 4'!$L$66</f>
        <v>0</v>
      </c>
      <c r="N19" s="219"/>
    </row>
    <row r="20" spans="2:55" ht="15" customHeight="1" x14ac:dyDescent="0.25">
      <c r="B20" s="180"/>
      <c r="C20" s="237" t="s">
        <v>234</v>
      </c>
      <c r="D20" s="214"/>
      <c r="E20" s="327">
        <f>'Facility 5'!$L$62</f>
        <v>0</v>
      </c>
      <c r="F20" s="284"/>
      <c r="G20" s="365">
        <f>'Facility 5'!$L$63</f>
        <v>0</v>
      </c>
      <c r="H20" s="366"/>
      <c r="I20" s="285"/>
      <c r="J20" s="367">
        <f t="shared" si="1"/>
        <v>0</v>
      </c>
      <c r="K20" s="368"/>
      <c r="L20" s="314">
        <f>'Facility 5'!$L$65</f>
        <v>0</v>
      </c>
      <c r="M20" s="314">
        <f>'Facility 5'!$L$66</f>
        <v>0</v>
      </c>
      <c r="N20" s="219"/>
    </row>
    <row r="21" spans="2:55" ht="15" customHeight="1" x14ac:dyDescent="0.25">
      <c r="B21" s="29"/>
      <c r="C21" s="237" t="s">
        <v>235</v>
      </c>
      <c r="D21" s="215"/>
      <c r="E21" s="327">
        <f>'Facility 6'!$L$62</f>
        <v>0</v>
      </c>
      <c r="F21" s="286"/>
      <c r="G21" s="365">
        <f>'Facility 6'!$L$63</f>
        <v>0</v>
      </c>
      <c r="H21" s="366"/>
      <c r="I21" s="287"/>
      <c r="J21" s="367">
        <f t="shared" si="1"/>
        <v>0</v>
      </c>
      <c r="K21" s="368"/>
      <c r="L21" s="314">
        <f>'Facility 6'!$L$65</f>
        <v>0</v>
      </c>
      <c r="M21" s="314">
        <f>'Facility 6'!$L$66</f>
        <v>0</v>
      </c>
      <c r="N21" s="219"/>
    </row>
    <row r="22" spans="2:55" ht="15" customHeight="1" x14ac:dyDescent="0.25">
      <c r="B22" s="240"/>
      <c r="C22" s="199"/>
      <c r="D22" s="74"/>
      <c r="E22" s="74"/>
      <c r="F22" s="74"/>
      <c r="G22" s="237"/>
      <c r="H22" s="237"/>
      <c r="I22" s="74"/>
      <c r="J22" s="75"/>
      <c r="K22" s="75"/>
      <c r="L22" s="74"/>
      <c r="M22" s="74"/>
      <c r="N22" s="205"/>
    </row>
    <row r="23" spans="2:55" ht="15" customHeight="1" x14ac:dyDescent="0.25">
      <c r="B23" s="240"/>
      <c r="C23" s="199" t="s">
        <v>232</v>
      </c>
      <c r="D23" s="206"/>
      <c r="E23" s="329">
        <f>SUM(E16:E21)</f>
        <v>0</v>
      </c>
      <c r="F23" s="292"/>
      <c r="G23" s="379">
        <f>SUM(G16:H21)</f>
        <v>0</v>
      </c>
      <c r="H23" s="380"/>
      <c r="I23" s="293"/>
      <c r="J23" s="370">
        <f>SUM(J16:K21)</f>
        <v>0</v>
      </c>
      <c r="K23" s="370"/>
      <c r="L23" s="290">
        <f>SUM(L16:L21)</f>
        <v>0</v>
      </c>
      <c r="M23" s="290">
        <f>SUM(M16:M21)</f>
        <v>0</v>
      </c>
      <c r="N23" s="205"/>
      <c r="Q23" s="12"/>
      <c r="R23" s="12"/>
      <c r="S23" s="12"/>
      <c r="T23" s="12"/>
      <c r="U23" s="12"/>
      <c r="V23" s="12"/>
    </row>
    <row r="24" spans="2:55" ht="15" customHeight="1" x14ac:dyDescent="0.25">
      <c r="B24" s="240"/>
      <c r="C24" s="203"/>
      <c r="D24" s="43"/>
      <c r="E24" s="42"/>
      <c r="F24" s="43"/>
      <c r="G24" s="44"/>
      <c r="H24" s="45"/>
      <c r="I24" s="43"/>
      <c r="J24" s="46"/>
      <c r="K24" s="47"/>
      <c r="L24" s="48"/>
      <c r="M24" s="48"/>
      <c r="N24" s="204"/>
      <c r="Q24" s="12"/>
      <c r="R24" s="12"/>
      <c r="S24" s="12"/>
      <c r="T24" s="12"/>
      <c r="U24" s="12"/>
      <c r="V24" s="12"/>
    </row>
    <row r="25" spans="2:55" ht="15" customHeight="1" x14ac:dyDescent="0.25">
      <c r="B25" s="220"/>
      <c r="C25" s="207"/>
      <c r="D25" s="8"/>
      <c r="E25" s="25"/>
      <c r="F25" s="8"/>
      <c r="G25" s="24"/>
      <c r="H25" s="23"/>
      <c r="I25" s="8"/>
      <c r="J25" s="14"/>
      <c r="K25" s="26"/>
      <c r="L25" s="27"/>
      <c r="M25" s="27"/>
      <c r="N25" s="8"/>
      <c r="Q25" s="12"/>
      <c r="R25" s="12"/>
      <c r="S25" s="12"/>
      <c r="T25" s="12"/>
      <c r="U25" s="12"/>
      <c r="V25" s="12"/>
    </row>
    <row r="26" spans="2:55" ht="30.2" customHeight="1" x14ac:dyDescent="0.25">
      <c r="B26" s="240"/>
      <c r="C26" s="242" t="s">
        <v>321</v>
      </c>
      <c r="D26" s="240"/>
      <c r="E26" s="239"/>
      <c r="F26" s="240"/>
      <c r="G26" s="356"/>
      <c r="H26" s="357"/>
      <c r="I26" s="240"/>
      <c r="J26" s="384" t="s">
        <v>221</v>
      </c>
      <c r="K26" s="357"/>
      <c r="L26" s="248" t="s">
        <v>222</v>
      </c>
      <c r="M26" s="248" t="s">
        <v>223</v>
      </c>
      <c r="N26" s="240"/>
      <c r="Q26" s="12"/>
      <c r="R26" s="12"/>
      <c r="S26" s="12"/>
      <c r="T26" s="12"/>
      <c r="U26" s="12"/>
      <c r="V26" s="12"/>
    </row>
    <row r="27" spans="2:55" ht="15" customHeight="1" x14ac:dyDescent="0.25">
      <c r="B27" s="29"/>
      <c r="C27" s="239" t="s">
        <v>214</v>
      </c>
      <c r="D27" s="240"/>
      <c r="E27" s="245"/>
      <c r="F27" s="239"/>
      <c r="G27" s="373"/>
      <c r="H27" s="356"/>
      <c r="I27" s="239"/>
      <c r="J27" s="381" t="str">
        <f t="shared" ref="J27:J32" si="2">IF(J16&gt;=25000,"Threshold met","Not met")</f>
        <v>Not met</v>
      </c>
      <c r="K27" s="382"/>
      <c r="L27" s="247" t="str">
        <f t="shared" ref="L27:M29" si="3">IF(L16&gt;=100000,"Threshold met","Not met")</f>
        <v>Not met</v>
      </c>
      <c r="M27" s="247" t="str">
        <f t="shared" si="3"/>
        <v>Not met</v>
      </c>
      <c r="N27" s="240"/>
      <c r="Q27" s="12"/>
      <c r="R27" s="12"/>
      <c r="S27" s="12"/>
      <c r="T27" s="12"/>
      <c r="U27" s="12"/>
      <c r="V27" s="12"/>
    </row>
    <row r="28" spans="2:55" ht="15" customHeight="1" x14ac:dyDescent="0.25">
      <c r="B28" s="29"/>
      <c r="C28" s="239" t="s">
        <v>215</v>
      </c>
      <c r="D28" s="240"/>
      <c r="E28" s="239"/>
      <c r="F28" s="239"/>
      <c r="G28" s="356"/>
      <c r="H28" s="356"/>
      <c r="I28" s="239"/>
      <c r="J28" s="381" t="str">
        <f t="shared" si="2"/>
        <v>Not met</v>
      </c>
      <c r="K28" s="382"/>
      <c r="L28" s="247" t="str">
        <f t="shared" si="3"/>
        <v>Not met</v>
      </c>
      <c r="M28" s="247" t="str">
        <f t="shared" si="3"/>
        <v>Not met</v>
      </c>
      <c r="N28" s="240"/>
      <c r="Q28" s="12"/>
      <c r="R28" s="12"/>
      <c r="S28" s="12"/>
      <c r="T28" s="12"/>
      <c r="U28" s="12"/>
      <c r="V28" s="12"/>
    </row>
    <row r="29" spans="2:55" ht="15" customHeight="1" x14ac:dyDescent="0.25">
      <c r="B29" s="29"/>
      <c r="C29" s="239" t="s">
        <v>216</v>
      </c>
      <c r="D29" s="240"/>
      <c r="E29" s="239"/>
      <c r="F29" s="239"/>
      <c r="G29" s="356"/>
      <c r="H29" s="356"/>
      <c r="I29" s="239"/>
      <c r="J29" s="381" t="str">
        <f t="shared" si="2"/>
        <v>Not met</v>
      </c>
      <c r="K29" s="382"/>
      <c r="L29" s="247" t="str">
        <f t="shared" si="3"/>
        <v>Not met</v>
      </c>
      <c r="M29" s="247" t="str">
        <f t="shared" si="3"/>
        <v>Not met</v>
      </c>
      <c r="N29" s="240"/>
      <c r="Q29" s="12"/>
      <c r="R29" s="12"/>
      <c r="S29" s="12"/>
      <c r="T29" s="12"/>
      <c r="U29" s="12"/>
      <c r="V29" s="12"/>
    </row>
    <row r="30" spans="2:55" ht="15" customHeight="1" x14ac:dyDescent="0.25">
      <c r="B30" s="75"/>
      <c r="C30" s="239" t="s">
        <v>217</v>
      </c>
      <c r="D30" s="240"/>
      <c r="E30" s="239"/>
      <c r="F30" s="239"/>
      <c r="G30" s="239"/>
      <c r="H30" s="239"/>
      <c r="I30" s="239"/>
      <c r="J30" s="381" t="str">
        <f t="shared" si="2"/>
        <v>Not met</v>
      </c>
      <c r="K30" s="382"/>
      <c r="L30" s="247" t="str">
        <f t="shared" ref="L30:M32" si="4">IF(L19&gt;=100000,"Threshold met","Not met")</f>
        <v>Not met</v>
      </c>
      <c r="M30" s="247" t="str">
        <f t="shared" si="4"/>
        <v>Not met</v>
      </c>
      <c r="N30" s="240"/>
      <c r="Q30" s="12"/>
      <c r="R30" s="12"/>
      <c r="S30" s="12"/>
      <c r="T30" s="12"/>
      <c r="U30" s="12"/>
      <c r="V30" s="12"/>
      <c r="AC30" s="103" t="s">
        <v>82</v>
      </c>
      <c r="AD30" s="103">
        <v>34.4</v>
      </c>
      <c r="AE30" s="103">
        <v>69.7</v>
      </c>
      <c r="AF30" s="103">
        <v>0.02</v>
      </c>
      <c r="AG30" s="103">
        <v>0.2</v>
      </c>
      <c r="AH30" s="10" t="s">
        <v>40</v>
      </c>
      <c r="AI30" s="6"/>
      <c r="AQ30" s="105" t="s">
        <v>146</v>
      </c>
      <c r="AR30" s="106">
        <v>0</v>
      </c>
      <c r="AS30" s="106">
        <v>0</v>
      </c>
      <c r="AT30" s="106">
        <v>0</v>
      </c>
      <c r="AU30" s="106" t="s">
        <v>93</v>
      </c>
      <c r="AV30" s="107" t="s">
        <v>40</v>
      </c>
      <c r="AX30" s="108" t="s">
        <v>146</v>
      </c>
      <c r="AY30" s="109">
        <v>0</v>
      </c>
      <c r="AZ30" s="109">
        <v>0</v>
      </c>
      <c r="BA30" s="109">
        <v>0</v>
      </c>
      <c r="BB30" s="109" t="s">
        <v>93</v>
      </c>
      <c r="BC30" s="110" t="s">
        <v>40</v>
      </c>
    </row>
    <row r="31" spans="2:55" ht="15" customHeight="1" x14ac:dyDescent="0.25">
      <c r="B31" s="170"/>
      <c r="C31" s="239" t="s">
        <v>234</v>
      </c>
      <c r="D31" s="240"/>
      <c r="E31" s="239"/>
      <c r="F31" s="239"/>
      <c r="G31" s="239"/>
      <c r="H31" s="239"/>
      <c r="I31" s="239"/>
      <c r="J31" s="381" t="str">
        <f t="shared" si="2"/>
        <v>Not met</v>
      </c>
      <c r="K31" s="382"/>
      <c r="L31" s="247" t="str">
        <f t="shared" si="4"/>
        <v>Not met</v>
      </c>
      <c r="M31" s="247" t="str">
        <f t="shared" si="4"/>
        <v>Not met</v>
      </c>
      <c r="N31" s="240"/>
      <c r="AC31" s="103" t="s">
        <v>71</v>
      </c>
      <c r="AD31" s="103">
        <v>25.7</v>
      </c>
      <c r="AE31" s="103">
        <v>60.2</v>
      </c>
      <c r="AF31" s="103">
        <v>0.2</v>
      </c>
      <c r="AG31" s="103">
        <v>0.2</v>
      </c>
      <c r="AH31" s="10" t="s">
        <v>40</v>
      </c>
      <c r="AI31" s="6"/>
      <c r="AQ31" s="125" t="s">
        <v>147</v>
      </c>
      <c r="AR31" s="106">
        <v>0</v>
      </c>
      <c r="AS31" s="106">
        <v>0</v>
      </c>
      <c r="AT31" s="106">
        <v>0</v>
      </c>
      <c r="AU31" s="106" t="s">
        <v>70</v>
      </c>
      <c r="AV31" s="107" t="s">
        <v>40</v>
      </c>
      <c r="AX31" s="126" t="s">
        <v>147</v>
      </c>
      <c r="AY31" s="109">
        <v>0</v>
      </c>
      <c r="AZ31" s="109">
        <v>0</v>
      </c>
      <c r="BA31" s="109">
        <v>0</v>
      </c>
      <c r="BB31" s="109" t="s">
        <v>70</v>
      </c>
      <c r="BC31" s="110" t="s">
        <v>40</v>
      </c>
    </row>
    <row r="32" spans="2:55" ht="15" customHeight="1" x14ac:dyDescent="0.25">
      <c r="B32" s="21"/>
      <c r="C32" s="239" t="s">
        <v>235</v>
      </c>
      <c r="D32" s="240"/>
      <c r="E32" s="239"/>
      <c r="F32" s="239"/>
      <c r="G32" s="356"/>
      <c r="H32" s="356"/>
      <c r="I32" s="239"/>
      <c r="J32" s="371" t="str">
        <f t="shared" si="2"/>
        <v>Not met</v>
      </c>
      <c r="K32" s="372"/>
      <c r="L32" s="244" t="str">
        <f t="shared" si="4"/>
        <v>Not met</v>
      </c>
      <c r="M32" s="244" t="str">
        <f t="shared" si="4"/>
        <v>Not met</v>
      </c>
      <c r="N32" s="240"/>
      <c r="AC32" s="103" t="s">
        <v>73</v>
      </c>
      <c r="AD32" s="103">
        <v>31.4</v>
      </c>
      <c r="AE32" s="103">
        <v>69.8</v>
      </c>
      <c r="AF32" s="103">
        <v>0</v>
      </c>
      <c r="AG32" s="103">
        <v>0.01</v>
      </c>
      <c r="AH32" s="10" t="s">
        <v>40</v>
      </c>
      <c r="AI32" s="6"/>
      <c r="AQ32" s="105" t="s">
        <v>78</v>
      </c>
      <c r="AR32" s="106">
        <v>0</v>
      </c>
      <c r="AS32" s="106">
        <v>0</v>
      </c>
      <c r="AT32" s="106">
        <v>0</v>
      </c>
      <c r="AU32" s="106" t="s">
        <v>62</v>
      </c>
      <c r="AV32" s="107" t="s">
        <v>53</v>
      </c>
      <c r="AX32" s="108" t="s">
        <v>78</v>
      </c>
      <c r="AY32" s="109">
        <v>0</v>
      </c>
      <c r="AZ32" s="109">
        <v>0</v>
      </c>
      <c r="BA32" s="109">
        <v>0</v>
      </c>
      <c r="BB32" s="109" t="s">
        <v>62</v>
      </c>
      <c r="BC32" s="110" t="s">
        <v>53</v>
      </c>
    </row>
    <row r="33" spans="2:55" s="12" customFormat="1" ht="15" customHeight="1" x14ac:dyDescent="0.25">
      <c r="B33" s="22"/>
      <c r="C33" s="208"/>
      <c r="D33" s="29"/>
      <c r="E33" s="29"/>
      <c r="F33" s="29"/>
      <c r="G33" s="239"/>
      <c r="H33" s="239"/>
      <c r="I33" s="29"/>
      <c r="J33" s="76"/>
      <c r="K33" s="76"/>
      <c r="L33" s="77"/>
      <c r="M33" s="77"/>
      <c r="N33" s="29"/>
      <c r="Q33" s="2"/>
      <c r="R33" s="2"/>
      <c r="S33" s="2"/>
      <c r="T33" s="2"/>
      <c r="U33" s="2"/>
      <c r="V33" s="2"/>
      <c r="AC33" s="103" t="s">
        <v>78</v>
      </c>
      <c r="AD33" s="103">
        <v>34.200000000000003</v>
      </c>
      <c r="AE33" s="103">
        <v>92.6</v>
      </c>
      <c r="AF33" s="103">
        <v>7.0000000000000007E-2</v>
      </c>
      <c r="AG33" s="103">
        <v>0.2</v>
      </c>
      <c r="AH33" s="112" t="s">
        <v>53</v>
      </c>
      <c r="AI33" s="53"/>
      <c r="AQ33" s="127" t="s">
        <v>148</v>
      </c>
      <c r="AR33" s="128">
        <v>0</v>
      </c>
      <c r="AS33" s="128">
        <v>0</v>
      </c>
      <c r="AT33" s="128">
        <v>0</v>
      </c>
      <c r="AU33" s="128" t="s">
        <v>102</v>
      </c>
      <c r="AV33" s="129" t="s">
        <v>53</v>
      </c>
      <c r="AX33" s="130" t="s">
        <v>148</v>
      </c>
      <c r="AY33" s="131">
        <v>0</v>
      </c>
      <c r="AZ33" s="131">
        <v>0</v>
      </c>
      <c r="BA33" s="131">
        <v>0</v>
      </c>
      <c r="BB33" s="131" t="s">
        <v>102</v>
      </c>
      <c r="BC33" s="132" t="s">
        <v>53</v>
      </c>
    </row>
    <row r="34" spans="2:55" s="12" customFormat="1" ht="15" customHeight="1" x14ac:dyDescent="0.25">
      <c r="B34" s="168"/>
      <c r="C34" s="208" t="s">
        <v>220</v>
      </c>
      <c r="D34" s="29"/>
      <c r="E34" s="28"/>
      <c r="F34" s="29"/>
      <c r="G34" s="373"/>
      <c r="H34" s="356"/>
      <c r="I34" s="29"/>
      <c r="J34" s="376" t="str">
        <f>IF(J23&gt;=50000,"Threshold met","Not met")</f>
        <v>Not met</v>
      </c>
      <c r="K34" s="377"/>
      <c r="L34" s="50" t="str">
        <f>IF(L23&gt;=200000,"Threshold met","Not met")</f>
        <v>Not met</v>
      </c>
      <c r="M34" s="50" t="str">
        <f>IF(M23&gt;=200000,"Threshold met","Not met")</f>
        <v>Not met</v>
      </c>
      <c r="N34" s="29"/>
      <c r="Q34" s="2"/>
      <c r="R34" s="2"/>
      <c r="S34" s="2"/>
      <c r="T34" s="2"/>
      <c r="U34" s="2"/>
      <c r="V34" s="2"/>
      <c r="AC34" s="103" t="s">
        <v>80</v>
      </c>
      <c r="AD34" s="103">
        <v>42.9</v>
      </c>
      <c r="AE34" s="103">
        <v>54.7</v>
      </c>
      <c r="AF34" s="103">
        <v>0.02</v>
      </c>
      <c r="AG34" s="103">
        <v>0</v>
      </c>
      <c r="AH34" s="112" t="s">
        <v>53</v>
      </c>
      <c r="AI34" s="53"/>
      <c r="AQ34" s="127" t="s">
        <v>79</v>
      </c>
      <c r="AR34" s="128">
        <v>0</v>
      </c>
      <c r="AS34" s="128">
        <v>0</v>
      </c>
      <c r="AT34" s="128">
        <v>0</v>
      </c>
      <c r="AU34" s="128" t="s">
        <v>62</v>
      </c>
      <c r="AV34" s="129" t="s">
        <v>53</v>
      </c>
      <c r="AX34" s="130" t="s">
        <v>79</v>
      </c>
      <c r="AY34" s="131">
        <v>0</v>
      </c>
      <c r="AZ34" s="131">
        <v>0</v>
      </c>
      <c r="BA34" s="131">
        <v>0</v>
      </c>
      <c r="BB34" s="131" t="s">
        <v>62</v>
      </c>
      <c r="BC34" s="132" t="s">
        <v>53</v>
      </c>
    </row>
    <row r="35" spans="2:55" s="12" customFormat="1" ht="15" customHeight="1" x14ac:dyDescent="0.25">
      <c r="B35" s="168"/>
      <c r="C35" s="208"/>
      <c r="D35" s="29"/>
      <c r="E35" s="28"/>
      <c r="F35" s="29"/>
      <c r="G35" s="245"/>
      <c r="H35" s="239"/>
      <c r="I35" s="29"/>
      <c r="J35" s="30"/>
      <c r="K35" s="31"/>
      <c r="L35" s="32"/>
      <c r="M35" s="32"/>
      <c r="N35" s="29"/>
      <c r="Q35" s="2"/>
      <c r="R35" s="2"/>
      <c r="S35" s="2"/>
      <c r="T35" s="2"/>
      <c r="U35" s="2"/>
      <c r="V35" s="2"/>
      <c r="AC35" s="103" t="s">
        <v>79</v>
      </c>
      <c r="AD35" s="103">
        <v>34.200000000000003</v>
      </c>
      <c r="AE35" s="103">
        <v>92.6</v>
      </c>
      <c r="AF35" s="103">
        <v>7.0000000000000007E-2</v>
      </c>
      <c r="AG35" s="103">
        <v>0.2</v>
      </c>
      <c r="AH35" s="112" t="s">
        <v>53</v>
      </c>
      <c r="AI35" s="53"/>
      <c r="AQ35" s="127" t="s">
        <v>80</v>
      </c>
      <c r="AR35" s="128">
        <v>0</v>
      </c>
      <c r="AS35" s="128">
        <v>0</v>
      </c>
      <c r="AT35" s="128">
        <v>0</v>
      </c>
      <c r="AU35" s="128" t="s">
        <v>81</v>
      </c>
      <c r="AV35" s="129" t="s">
        <v>53</v>
      </c>
      <c r="AX35" s="130" t="s">
        <v>80</v>
      </c>
      <c r="AY35" s="131">
        <v>0</v>
      </c>
      <c r="AZ35" s="131">
        <v>0</v>
      </c>
      <c r="BA35" s="131">
        <v>0</v>
      </c>
      <c r="BB35" s="131" t="s">
        <v>81</v>
      </c>
      <c r="BC35" s="132" t="s">
        <v>53</v>
      </c>
    </row>
    <row r="36" spans="2:55" s="12" customFormat="1" ht="15" customHeight="1" x14ac:dyDescent="0.25">
      <c r="B36" s="174"/>
      <c r="C36" s="19"/>
      <c r="D36" s="16"/>
      <c r="E36" s="16"/>
      <c r="F36" s="15"/>
      <c r="G36" s="15"/>
      <c r="H36" s="15"/>
      <c r="I36" s="13"/>
      <c r="J36" s="13"/>
      <c r="K36" s="13"/>
      <c r="L36" s="13"/>
      <c r="M36" s="14"/>
      <c r="N36" s="14"/>
      <c r="Q36" s="2"/>
      <c r="R36" s="2"/>
      <c r="S36" s="2"/>
      <c r="T36" s="2"/>
      <c r="U36" s="2"/>
      <c r="V36" s="2"/>
      <c r="AC36" s="103" t="s">
        <v>117</v>
      </c>
      <c r="AD36" s="103">
        <v>34.4</v>
      </c>
      <c r="AE36" s="103">
        <v>69.8</v>
      </c>
      <c r="AF36" s="103">
        <v>0</v>
      </c>
      <c r="AG36" s="103">
        <v>0.2</v>
      </c>
      <c r="AH36" s="112" t="s">
        <v>40</v>
      </c>
      <c r="AI36" s="53"/>
      <c r="AQ36" s="127" t="s">
        <v>149</v>
      </c>
      <c r="AR36" s="128">
        <v>0</v>
      </c>
      <c r="AS36" s="128">
        <v>0</v>
      </c>
      <c r="AT36" s="128">
        <v>0</v>
      </c>
      <c r="AU36" s="128" t="s">
        <v>37</v>
      </c>
      <c r="AV36" s="129" t="s">
        <v>24</v>
      </c>
      <c r="AX36" s="130" t="s">
        <v>149</v>
      </c>
      <c r="AY36" s="131">
        <v>0</v>
      </c>
      <c r="AZ36" s="131">
        <v>0</v>
      </c>
      <c r="BA36" s="131">
        <v>0</v>
      </c>
      <c r="BB36" s="131" t="s">
        <v>37</v>
      </c>
      <c r="BC36" s="132" t="s">
        <v>24</v>
      </c>
    </row>
    <row r="37" spans="2:55" s="12" customFormat="1" ht="15" customHeight="1" x14ac:dyDescent="0.25">
      <c r="B37" s="168"/>
      <c r="C37" s="332" t="s">
        <v>322</v>
      </c>
      <c r="D37" s="332"/>
      <c r="E37" s="332"/>
      <c r="F37" s="332"/>
      <c r="G37" s="332"/>
      <c r="H37" s="332"/>
      <c r="I37" s="332"/>
      <c r="J37" s="332"/>
      <c r="K37" s="332"/>
      <c r="L37" s="332"/>
      <c r="M37" s="332"/>
      <c r="N37" s="333"/>
      <c r="Q37" s="2"/>
      <c r="R37" s="2"/>
      <c r="S37" s="2"/>
      <c r="T37" s="2"/>
      <c r="U37" s="2"/>
      <c r="V37" s="2"/>
      <c r="AC37" s="103" t="s">
        <v>48</v>
      </c>
      <c r="AD37" s="103">
        <v>34.6</v>
      </c>
      <c r="AE37" s="103">
        <v>0</v>
      </c>
      <c r="AF37" s="103">
        <v>7.0000000000000007E-2</v>
      </c>
      <c r="AG37" s="103">
        <v>0.2</v>
      </c>
      <c r="AH37" s="112" t="s">
        <v>40</v>
      </c>
      <c r="AI37" s="53"/>
      <c r="AQ37" s="127" t="s">
        <v>150</v>
      </c>
      <c r="AR37" s="128">
        <v>0</v>
      </c>
      <c r="AS37" s="128">
        <v>0</v>
      </c>
      <c r="AT37" s="128">
        <v>0</v>
      </c>
      <c r="AU37" s="128" t="s">
        <v>103</v>
      </c>
      <c r="AV37" s="129" t="s">
        <v>53</v>
      </c>
      <c r="AX37" s="130" t="s">
        <v>209</v>
      </c>
      <c r="AY37" s="131">
        <v>0</v>
      </c>
      <c r="AZ37" s="131">
        <v>0</v>
      </c>
      <c r="BA37" s="131">
        <v>0</v>
      </c>
      <c r="BB37" s="131" t="s">
        <v>103</v>
      </c>
      <c r="BC37" s="132" t="s">
        <v>53</v>
      </c>
    </row>
    <row r="38" spans="2:55" s="12" customFormat="1" ht="15" customHeight="1" x14ac:dyDescent="0.25">
      <c r="B38" s="168"/>
      <c r="C38" s="334"/>
      <c r="D38" s="334"/>
      <c r="E38" s="334"/>
      <c r="F38" s="334"/>
      <c r="G38" s="334"/>
      <c r="H38" s="334"/>
      <c r="I38" s="334"/>
      <c r="J38" s="334"/>
      <c r="K38" s="334"/>
      <c r="L38" s="334"/>
      <c r="M38" s="334"/>
      <c r="N38" s="335"/>
      <c r="Q38" s="2"/>
      <c r="R38" s="2"/>
      <c r="S38" s="2"/>
      <c r="T38" s="2"/>
      <c r="U38" s="2"/>
      <c r="V38" s="2"/>
      <c r="AC38" s="103" t="s">
        <v>135</v>
      </c>
      <c r="AD38" s="103">
        <v>23.4</v>
      </c>
      <c r="AE38" s="103">
        <v>0</v>
      </c>
      <c r="AF38" s="103">
        <v>7.0000000000000007E-2</v>
      </c>
      <c r="AG38" s="103">
        <v>0.2</v>
      </c>
      <c r="AH38" s="10" t="s">
        <v>40</v>
      </c>
      <c r="AI38" s="53"/>
      <c r="AQ38" s="105" t="s">
        <v>151</v>
      </c>
      <c r="AR38" s="106">
        <v>0</v>
      </c>
      <c r="AS38" s="106">
        <v>0</v>
      </c>
      <c r="AT38" s="106">
        <v>0</v>
      </c>
      <c r="AU38" s="106" t="s">
        <v>70</v>
      </c>
      <c r="AV38" s="107" t="s">
        <v>40</v>
      </c>
      <c r="AX38" s="108" t="s">
        <v>151</v>
      </c>
      <c r="AY38" s="109">
        <v>0</v>
      </c>
      <c r="AZ38" s="109">
        <v>0</v>
      </c>
      <c r="BA38" s="109">
        <v>0</v>
      </c>
      <c r="BB38" s="109" t="s">
        <v>70</v>
      </c>
      <c r="BC38" s="110" t="s">
        <v>40</v>
      </c>
    </row>
    <row r="39" spans="2:55" s="12" customFormat="1" ht="15" customHeight="1" x14ac:dyDescent="0.25">
      <c r="B39" s="74"/>
      <c r="C39" s="330" t="s">
        <v>244</v>
      </c>
      <c r="D39" s="33"/>
      <c r="E39" s="34" t="s">
        <v>240</v>
      </c>
      <c r="F39" s="341" t="str">
        <f>IF(J23&gt;=50000,"You may have triggered the emissions reporting threshold for the corporation. Please contact the Clean Energy Regulator",IF(J23&gt;44000, "You are close to the emissions reporting threshold for the corporation. Please contact the Clean Energy Regulator",""))</f>
        <v/>
      </c>
      <c r="G39" s="341"/>
      <c r="H39" s="341"/>
      <c r="I39" s="341"/>
      <c r="J39" s="341"/>
      <c r="K39" s="341"/>
      <c r="L39" s="341"/>
      <c r="M39" s="341"/>
      <c r="N39" s="35" t="s">
        <v>243</v>
      </c>
      <c r="Q39" s="2"/>
      <c r="R39" s="2"/>
      <c r="S39" s="2"/>
      <c r="T39" s="2"/>
      <c r="U39" s="2"/>
      <c r="V39" s="2"/>
      <c r="AC39" s="103" t="s">
        <v>170</v>
      </c>
      <c r="AD39" s="103">
        <v>23.4</v>
      </c>
      <c r="AE39" s="103">
        <v>0</v>
      </c>
      <c r="AF39" s="103">
        <v>7.0000000000000007E-2</v>
      </c>
      <c r="AG39" s="103">
        <v>0.2</v>
      </c>
      <c r="AH39" s="10" t="s">
        <v>40</v>
      </c>
      <c r="AI39" s="53"/>
      <c r="AQ39" s="105" t="s">
        <v>82</v>
      </c>
      <c r="AR39" s="106">
        <v>0</v>
      </c>
      <c r="AS39" s="106">
        <v>0</v>
      </c>
      <c r="AT39" s="106">
        <v>0</v>
      </c>
      <c r="AU39" s="106" t="s">
        <v>70</v>
      </c>
      <c r="AV39" s="107" t="s">
        <v>40</v>
      </c>
      <c r="AX39" s="108" t="s">
        <v>82</v>
      </c>
      <c r="AY39" s="109">
        <v>0</v>
      </c>
      <c r="AZ39" s="109">
        <v>0</v>
      </c>
      <c r="BA39" s="109">
        <v>0</v>
      </c>
      <c r="BB39" s="109" t="s">
        <v>70</v>
      </c>
      <c r="BC39" s="110" t="s">
        <v>40</v>
      </c>
    </row>
    <row r="40" spans="2:55" s="12" customFormat="1" ht="15" customHeight="1" x14ac:dyDescent="0.3">
      <c r="B40" s="29"/>
      <c r="C40" s="330"/>
      <c r="D40" s="36"/>
      <c r="E40" s="337">
        <f>J23</f>
        <v>0</v>
      </c>
      <c r="F40" s="337"/>
      <c r="G40" s="337"/>
      <c r="H40" s="337"/>
      <c r="I40" s="337"/>
      <c r="J40" s="337"/>
      <c r="K40" s="337"/>
      <c r="L40" s="337"/>
      <c r="M40" s="337"/>
      <c r="N40" s="338"/>
      <c r="Q40" s="2"/>
      <c r="R40" s="2"/>
      <c r="S40" s="2"/>
      <c r="T40" s="2"/>
      <c r="U40" s="2"/>
      <c r="V40" s="2"/>
      <c r="AC40" s="8"/>
      <c r="AD40" s="8"/>
      <c r="AE40" s="8"/>
      <c r="AF40" s="8"/>
      <c r="AG40" s="8"/>
      <c r="AH40" s="8"/>
      <c r="AI40" s="53"/>
      <c r="AQ40" s="105" t="s">
        <v>152</v>
      </c>
      <c r="AR40" s="106">
        <v>0</v>
      </c>
      <c r="AS40" s="106">
        <v>0</v>
      </c>
      <c r="AT40" s="106">
        <v>0</v>
      </c>
      <c r="AU40" s="106" t="s">
        <v>153</v>
      </c>
      <c r="AV40" s="107" t="s">
        <v>53</v>
      </c>
      <c r="AX40" s="108" t="s">
        <v>152</v>
      </c>
      <c r="AY40" s="109">
        <v>0</v>
      </c>
      <c r="AZ40" s="109">
        <v>0</v>
      </c>
      <c r="BA40" s="109">
        <v>0</v>
      </c>
      <c r="BB40" s="109" t="s">
        <v>153</v>
      </c>
      <c r="BC40" s="110" t="s">
        <v>53</v>
      </c>
    </row>
    <row r="41" spans="2:55" ht="15" customHeight="1" x14ac:dyDescent="0.3">
      <c r="B41" s="29"/>
      <c r="C41" s="330" t="s">
        <v>245</v>
      </c>
      <c r="D41" s="36"/>
      <c r="E41" s="37" t="s">
        <v>203</v>
      </c>
      <c r="F41" s="348" t="str">
        <f>IF(L23&gt;=200000,"You may have triggered the energy reporting threshold for the corporation. Please contact the Clean Energy Regulator",IF(L23&gt;190000, "You are close to the energy reporting threshold for the corporation. Please contact the Clean Energy Regulator",""))</f>
        <v/>
      </c>
      <c r="G41" s="348"/>
      <c r="H41" s="348"/>
      <c r="I41" s="348"/>
      <c r="J41" s="348"/>
      <c r="K41" s="348"/>
      <c r="L41" s="348"/>
      <c r="M41" s="348"/>
      <c r="N41" s="38" t="s">
        <v>233</v>
      </c>
      <c r="AC41" s="8" t="s">
        <v>163</v>
      </c>
      <c r="AI41" s="6"/>
      <c r="AQ41" s="105" t="s">
        <v>154</v>
      </c>
      <c r="AR41" s="106">
        <v>0</v>
      </c>
      <c r="AS41" s="106">
        <v>0</v>
      </c>
      <c r="AT41" s="106">
        <v>0</v>
      </c>
      <c r="AU41" s="106" t="s">
        <v>155</v>
      </c>
      <c r="AV41" s="107" t="s">
        <v>53</v>
      </c>
      <c r="AX41" s="108" t="s">
        <v>154</v>
      </c>
      <c r="AY41" s="109">
        <v>0</v>
      </c>
      <c r="AZ41" s="109">
        <v>0</v>
      </c>
      <c r="BA41" s="109">
        <v>0</v>
      </c>
      <c r="BB41" s="109" t="s">
        <v>155</v>
      </c>
      <c r="BC41" s="110" t="s">
        <v>53</v>
      </c>
    </row>
    <row r="42" spans="2:55" ht="15" customHeight="1" x14ac:dyDescent="0.25">
      <c r="B42" s="29"/>
      <c r="C42" s="330"/>
      <c r="D42" s="174"/>
      <c r="E42" s="337">
        <f>L23</f>
        <v>0</v>
      </c>
      <c r="F42" s="337"/>
      <c r="G42" s="337"/>
      <c r="H42" s="337"/>
      <c r="I42" s="337"/>
      <c r="J42" s="337"/>
      <c r="K42" s="337"/>
      <c r="L42" s="337"/>
      <c r="M42" s="337"/>
      <c r="N42" s="338"/>
      <c r="AQ42" s="105" t="s">
        <v>42</v>
      </c>
      <c r="AR42" s="106">
        <v>0</v>
      </c>
      <c r="AS42" s="106">
        <v>0</v>
      </c>
      <c r="AT42" s="106">
        <v>0</v>
      </c>
      <c r="AU42" s="106" t="s">
        <v>44</v>
      </c>
      <c r="AV42" s="107" t="s">
        <v>24</v>
      </c>
      <c r="AX42" s="108" t="s">
        <v>42</v>
      </c>
      <c r="AY42" s="109">
        <v>0</v>
      </c>
      <c r="AZ42" s="109">
        <v>0</v>
      </c>
      <c r="BA42" s="109">
        <v>0</v>
      </c>
      <c r="BB42" s="109" t="s">
        <v>44</v>
      </c>
      <c r="BC42" s="110" t="s">
        <v>24</v>
      </c>
    </row>
    <row r="43" spans="2:55" ht="15" customHeight="1" x14ac:dyDescent="0.25">
      <c r="B43" s="29"/>
      <c r="C43" s="330" t="s">
        <v>246</v>
      </c>
      <c r="D43" s="174"/>
      <c r="E43" s="37" t="s">
        <v>203</v>
      </c>
      <c r="F43" s="348" t="str">
        <f>IF(M23&gt;=200000,"You may have triggered the energy reporting threshold for the corporation. Please contact the Clean Energy Regulator",IF(M23&gt;190000, "You are close to the energy reporting threshold for the corporation. Please contact the Clean Energy Regulator",""))</f>
        <v/>
      </c>
      <c r="G43" s="348"/>
      <c r="H43" s="348"/>
      <c r="I43" s="348"/>
      <c r="J43" s="348"/>
      <c r="K43" s="348"/>
      <c r="L43" s="348"/>
      <c r="M43" s="348"/>
      <c r="N43" s="38" t="s">
        <v>233</v>
      </c>
      <c r="AQ43" s="105" t="s">
        <v>45</v>
      </c>
      <c r="AR43" s="106">
        <v>0</v>
      </c>
      <c r="AS43" s="106">
        <v>0</v>
      </c>
      <c r="AT43" s="106">
        <v>0</v>
      </c>
      <c r="AU43" s="106" t="s">
        <v>32</v>
      </c>
      <c r="AV43" s="107" t="s">
        <v>24</v>
      </c>
      <c r="AX43" s="108" t="s">
        <v>45</v>
      </c>
      <c r="AY43" s="109">
        <v>0</v>
      </c>
      <c r="AZ43" s="109">
        <v>0</v>
      </c>
      <c r="BA43" s="109">
        <v>0</v>
      </c>
      <c r="BB43" s="109" t="s">
        <v>32</v>
      </c>
      <c r="BC43" s="110" t="s">
        <v>24</v>
      </c>
    </row>
    <row r="44" spans="2:55" ht="15" customHeight="1" x14ac:dyDescent="0.25">
      <c r="B44" s="43"/>
      <c r="C44" s="331"/>
      <c r="D44" s="176"/>
      <c r="E44" s="339">
        <f>M23</f>
        <v>0</v>
      </c>
      <c r="F44" s="339"/>
      <c r="G44" s="339"/>
      <c r="H44" s="339"/>
      <c r="I44" s="339"/>
      <c r="J44" s="339"/>
      <c r="K44" s="339"/>
      <c r="L44" s="339"/>
      <c r="M44" s="339"/>
      <c r="N44" s="340"/>
      <c r="AQ44" s="105" t="s">
        <v>156</v>
      </c>
      <c r="AR44" s="106">
        <v>0</v>
      </c>
      <c r="AS44" s="106">
        <v>0</v>
      </c>
      <c r="AT44" s="106">
        <v>0</v>
      </c>
      <c r="AU44" s="106" t="s">
        <v>157</v>
      </c>
      <c r="AV44" s="107" t="s">
        <v>53</v>
      </c>
      <c r="AX44" s="133" t="s">
        <v>156</v>
      </c>
      <c r="AY44" s="115">
        <v>0</v>
      </c>
      <c r="AZ44" s="115">
        <v>0</v>
      </c>
      <c r="BA44" s="115">
        <v>0</v>
      </c>
      <c r="BB44" s="115" t="s">
        <v>157</v>
      </c>
      <c r="BC44" s="134" t="s">
        <v>53</v>
      </c>
    </row>
    <row r="45" spans="2:55" ht="15" customHeight="1" x14ac:dyDescent="0.25">
      <c r="C45" s="6"/>
      <c r="D45" s="6"/>
      <c r="E45" s="6"/>
      <c r="F45" s="6"/>
      <c r="G45" s="6"/>
      <c r="H45" s="6"/>
      <c r="I45" s="6"/>
      <c r="J45" s="6"/>
      <c r="K45" s="6"/>
      <c r="L45" s="6"/>
      <c r="M45" s="6"/>
      <c r="N45" s="6"/>
      <c r="AQ45" s="11" t="s">
        <v>183</v>
      </c>
      <c r="AR45" s="11">
        <v>0</v>
      </c>
      <c r="AS45" s="11">
        <v>0</v>
      </c>
      <c r="AT45" s="11">
        <v>0</v>
      </c>
      <c r="AU45" s="11">
        <v>1</v>
      </c>
      <c r="AV45" s="11" t="s">
        <v>125</v>
      </c>
      <c r="AX45" s="114" t="s">
        <v>181</v>
      </c>
      <c r="AY45" s="115">
        <v>0</v>
      </c>
      <c r="AZ45" s="115">
        <v>0</v>
      </c>
      <c r="BA45" s="115">
        <v>0</v>
      </c>
      <c r="BB45" s="114">
        <v>34.4</v>
      </c>
      <c r="BC45" s="10" t="s">
        <v>40</v>
      </c>
    </row>
    <row r="46" spans="2:55" ht="15" hidden="1" customHeight="1" x14ac:dyDescent="0.25">
      <c r="AX46" s="114" t="s">
        <v>176</v>
      </c>
      <c r="AY46" s="115">
        <v>0</v>
      </c>
      <c r="AZ46" s="115">
        <v>0</v>
      </c>
      <c r="BA46" s="115">
        <v>0</v>
      </c>
      <c r="BB46" s="114">
        <v>43.2</v>
      </c>
      <c r="BC46" s="10" t="s">
        <v>53</v>
      </c>
    </row>
    <row r="47" spans="2:55" ht="15" hidden="1" customHeight="1" x14ac:dyDescent="0.25">
      <c r="AX47" s="114" t="s">
        <v>177</v>
      </c>
      <c r="AY47" s="115">
        <v>0</v>
      </c>
      <c r="AZ47" s="115">
        <v>0</v>
      </c>
      <c r="BA47" s="115">
        <v>0</v>
      </c>
      <c r="BB47" s="114">
        <v>45.8</v>
      </c>
      <c r="BC47" s="10" t="s">
        <v>53</v>
      </c>
    </row>
    <row r="48" spans="2:55" ht="15" hidden="1" customHeight="1" x14ac:dyDescent="0.25">
      <c r="AX48" s="114" t="s">
        <v>178</v>
      </c>
      <c r="AY48" s="115">
        <v>0</v>
      </c>
      <c r="AZ48" s="115">
        <v>0</v>
      </c>
      <c r="BA48" s="115">
        <v>0</v>
      </c>
      <c r="BB48" s="114">
        <v>37.1</v>
      </c>
      <c r="BC48" s="10" t="s">
        <v>53</v>
      </c>
    </row>
    <row r="49" spans="50:55" ht="15" hidden="1" customHeight="1" x14ac:dyDescent="0.25">
      <c r="AX49" s="114" t="s">
        <v>179</v>
      </c>
      <c r="AY49" s="115">
        <v>0</v>
      </c>
      <c r="AZ49" s="115">
        <v>0</v>
      </c>
      <c r="BA49" s="115">
        <v>0</v>
      </c>
      <c r="BB49" s="114">
        <v>50.3</v>
      </c>
      <c r="BC49" s="10" t="s">
        <v>53</v>
      </c>
    </row>
    <row r="50" spans="50:55" ht="17.45" hidden="1" customHeight="1" x14ac:dyDescent="0.25">
      <c r="AX50" s="114" t="s">
        <v>180</v>
      </c>
      <c r="AY50" s="115">
        <v>0</v>
      </c>
      <c r="AZ50" s="115">
        <v>0</v>
      </c>
      <c r="BA50" s="115">
        <v>0</v>
      </c>
      <c r="BB50" s="10">
        <v>0</v>
      </c>
      <c r="BC50" s="10" t="s">
        <v>53</v>
      </c>
    </row>
    <row r="51" spans="50:55" ht="17.45" hidden="1" customHeight="1" x14ac:dyDescent="0.25">
      <c r="AX51" s="10" t="s">
        <v>184</v>
      </c>
      <c r="AY51" s="10">
        <v>0</v>
      </c>
      <c r="AZ51" s="10">
        <v>0</v>
      </c>
      <c r="BA51" s="10">
        <v>0</v>
      </c>
      <c r="BB51" s="10">
        <v>3.5999999999999999E-3</v>
      </c>
      <c r="BC51" s="10" t="s">
        <v>23</v>
      </c>
    </row>
    <row r="52" spans="50:55" ht="17.45" hidden="1" customHeight="1" x14ac:dyDescent="0.25">
      <c r="AX52" s="9" t="s">
        <v>185</v>
      </c>
      <c r="AY52" s="9">
        <v>0</v>
      </c>
      <c r="AZ52" s="9">
        <v>0</v>
      </c>
      <c r="BA52" s="9">
        <v>0</v>
      </c>
      <c r="BB52" s="9">
        <v>1</v>
      </c>
      <c r="BC52" s="9" t="s">
        <v>125</v>
      </c>
    </row>
    <row r="53" spans="50:55" ht="17.45" hidden="1" customHeight="1" x14ac:dyDescent="0.25">
      <c r="AX53" s="9" t="s">
        <v>186</v>
      </c>
      <c r="AY53" s="9">
        <v>0</v>
      </c>
      <c r="AZ53" s="9">
        <v>0</v>
      </c>
      <c r="BA53" s="9">
        <v>0</v>
      </c>
      <c r="BB53" s="9">
        <v>1</v>
      </c>
      <c r="BC53" s="9" t="s">
        <v>125</v>
      </c>
    </row>
    <row r="54" spans="50:55" ht="17.45" hidden="1" customHeight="1" x14ac:dyDescent="0.25">
      <c r="AX54" s="9" t="s">
        <v>187</v>
      </c>
      <c r="AY54" s="9">
        <v>0</v>
      </c>
      <c r="AZ54" s="9">
        <v>0</v>
      </c>
      <c r="BA54" s="9">
        <v>0</v>
      </c>
      <c r="BB54" s="9">
        <v>1</v>
      </c>
      <c r="BC54" s="9" t="s">
        <v>125</v>
      </c>
    </row>
    <row r="55" spans="50:55" ht="17.45" hidden="1" customHeight="1" x14ac:dyDescent="0.25">
      <c r="AX55" s="9" t="s">
        <v>188</v>
      </c>
      <c r="AY55" s="9">
        <v>0</v>
      </c>
      <c r="AZ55" s="9">
        <v>0</v>
      </c>
      <c r="BA55" s="9">
        <v>0</v>
      </c>
      <c r="BB55" s="9">
        <v>1</v>
      </c>
      <c r="BC55" s="9" t="s">
        <v>125</v>
      </c>
    </row>
    <row r="56" spans="50:55" ht="17.45" hidden="1" customHeight="1" x14ac:dyDescent="0.25"/>
    <row r="57" spans="50:55" ht="17.45" hidden="1" customHeight="1" x14ac:dyDescent="0.25"/>
    <row r="58" spans="50:55" ht="17.45" hidden="1" customHeight="1" x14ac:dyDescent="0.25"/>
    <row r="59" spans="50:55" ht="17.45" hidden="1" customHeight="1" x14ac:dyDescent="0.25"/>
    <row r="60" spans="50:55" ht="17.45" hidden="1" customHeight="1" x14ac:dyDescent="0.25"/>
    <row r="61" spans="50:55" ht="17.45" hidden="1" customHeight="1" x14ac:dyDescent="0.25"/>
    <row r="62" spans="50:55" ht="17.45" hidden="1" customHeight="1" x14ac:dyDescent="0.25"/>
    <row r="63" spans="50:55" ht="17.45" hidden="1" customHeight="1" x14ac:dyDescent="0.25"/>
    <row r="64" spans="50:55" ht="17.45" hidden="1" customHeight="1" x14ac:dyDescent="0.25"/>
    <row r="65" ht="17.45" hidden="1" customHeight="1" x14ac:dyDescent="0.25"/>
    <row r="66" ht="17.45" hidden="1" customHeight="1" x14ac:dyDescent="0.25"/>
    <row r="67" ht="17.45" hidden="1" customHeight="1" x14ac:dyDescent="0.25"/>
    <row r="68" ht="17.45" hidden="1" customHeight="1" x14ac:dyDescent="0.25"/>
    <row r="69" ht="17.45" hidden="1" customHeight="1" x14ac:dyDescent="0.25"/>
    <row r="70" ht="17.45" hidden="1" customHeight="1" x14ac:dyDescent="0.25"/>
    <row r="71" ht="17.45" hidden="1" customHeight="1" x14ac:dyDescent="0.25"/>
    <row r="72" ht="17.45" hidden="1" customHeight="1" x14ac:dyDescent="0.25"/>
    <row r="73" ht="17.45" hidden="1" customHeight="1" x14ac:dyDescent="0.25"/>
    <row r="74" ht="17.45" hidden="1" customHeight="1" x14ac:dyDescent="0.25"/>
    <row r="75" ht="17.45" hidden="1" customHeight="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sheetData>
  <sheetProtection algorithmName="SHA-256" hashValue="oNAbUf0O/7kCEPmWL4NHlVkJ9l3IEiHOGUevBpTrzK8=" saltValue="7v/cAZ3WI93GUseRL3KaUg==" spinCount="100000" sheet="1" objects="1" scenarios="1" selectLockedCells="1" selectUnlockedCells="1"/>
  <mergeCells count="59">
    <mergeCell ref="G19:H19"/>
    <mergeCell ref="G20:H20"/>
    <mergeCell ref="J19:K19"/>
    <mergeCell ref="J20:K20"/>
    <mergeCell ref="J30:K30"/>
    <mergeCell ref="G26:H26"/>
    <mergeCell ref="G27:H27"/>
    <mergeCell ref="G28:H28"/>
    <mergeCell ref="J31:K31"/>
    <mergeCell ref="J8:K8"/>
    <mergeCell ref="J9:K9"/>
    <mergeCell ref="J29:K29"/>
    <mergeCell ref="L2:M2"/>
    <mergeCell ref="J26:K26"/>
    <mergeCell ref="J27:K27"/>
    <mergeCell ref="J28:K28"/>
    <mergeCell ref="J16:K16"/>
    <mergeCell ref="J17:K17"/>
    <mergeCell ref="J18:K18"/>
    <mergeCell ref="J7:K7"/>
    <mergeCell ref="C43:C44"/>
    <mergeCell ref="F43:M43"/>
    <mergeCell ref="E44:N44"/>
    <mergeCell ref="G15:H15"/>
    <mergeCell ref="J15:K15"/>
    <mergeCell ref="G16:H16"/>
    <mergeCell ref="G17:H17"/>
    <mergeCell ref="G18:H18"/>
    <mergeCell ref="C39:C40"/>
    <mergeCell ref="F39:M39"/>
    <mergeCell ref="E40:N40"/>
    <mergeCell ref="C41:C42"/>
    <mergeCell ref="F41:M41"/>
    <mergeCell ref="E42:N42"/>
    <mergeCell ref="G29:H29"/>
    <mergeCell ref="C37:N38"/>
    <mergeCell ref="G32:H32"/>
    <mergeCell ref="J32:K32"/>
    <mergeCell ref="G34:H34"/>
    <mergeCell ref="B2:K2"/>
    <mergeCell ref="J34:K34"/>
    <mergeCell ref="G4:H4"/>
    <mergeCell ref="J4:K4"/>
    <mergeCell ref="G5:H5"/>
    <mergeCell ref="J5:K5"/>
    <mergeCell ref="G6:H6"/>
    <mergeCell ref="J6:K6"/>
    <mergeCell ref="G7:H7"/>
    <mergeCell ref="J21:K21"/>
    <mergeCell ref="J23:K23"/>
    <mergeCell ref="G23:H23"/>
    <mergeCell ref="G21:H21"/>
    <mergeCell ref="B1:N1"/>
    <mergeCell ref="G10:H10"/>
    <mergeCell ref="J10:K10"/>
    <mergeCell ref="G12:H12"/>
    <mergeCell ref="J12:K12"/>
    <mergeCell ref="G8:H8"/>
    <mergeCell ref="G9:H9"/>
  </mergeCells>
  <conditionalFormatting sqref="E40:N40">
    <cfRule type="dataBar" priority="8">
      <dataBar>
        <cfvo type="num" val="0"/>
        <cfvo type="num" val="50000"/>
        <color rgb="FF638EC6"/>
      </dataBar>
      <extLst>
        <ext xmlns:x14="http://schemas.microsoft.com/office/spreadsheetml/2009/9/main" uri="{B025F937-C7B1-47D3-B67F-A62EFF666E3E}">
          <x14:id>{20581967-097F-482C-B147-4C1DF7BF5C1B}</x14:id>
        </ext>
      </extLst>
    </cfRule>
  </conditionalFormatting>
  <conditionalFormatting sqref="E42:N42">
    <cfRule type="dataBar" priority="7">
      <dataBar>
        <cfvo type="num" val="0"/>
        <cfvo type="num" val="200000"/>
        <color rgb="FF638EC6"/>
      </dataBar>
      <extLst>
        <ext xmlns:x14="http://schemas.microsoft.com/office/spreadsheetml/2009/9/main" uri="{B025F937-C7B1-47D3-B67F-A62EFF666E3E}">
          <x14:id>{2593AF23-3C8D-4314-BB74-09B9BE59373F}</x14:id>
        </ext>
      </extLst>
    </cfRule>
  </conditionalFormatting>
  <conditionalFormatting sqref="E44:N44">
    <cfRule type="dataBar" priority="6">
      <dataBar>
        <cfvo type="num" val="0"/>
        <cfvo type="num" val="200000"/>
        <color rgb="FF638EC6"/>
      </dataBar>
      <extLst>
        <ext xmlns:x14="http://schemas.microsoft.com/office/spreadsheetml/2009/9/main" uri="{B025F937-C7B1-47D3-B67F-A62EFF666E3E}">
          <x14:id>{355865DD-1AC9-4874-89E0-12A19338BA4F}</x14:id>
        </ext>
      </extLst>
    </cfRule>
  </conditionalFormatting>
  <conditionalFormatting sqref="J27:M34">
    <cfRule type="cellIs" dxfId="18" priority="1" operator="equal">
      <formula>"Threshold met"</formula>
    </cfRule>
  </conditionalFormatting>
  <pageMargins left="0.7" right="0.7" top="0.75" bottom="0.75" header="0.3" footer="0.3"/>
  <pageSetup paperSize="9" scale="66" orientation="landscape" r:id="rId1"/>
  <drawing r:id="rId2"/>
  <extLst>
    <ext xmlns:x14="http://schemas.microsoft.com/office/spreadsheetml/2009/9/main" uri="{78C0D931-6437-407d-A8EE-F0AAD7539E65}">
      <x14:conditionalFormattings>
        <x14:conditionalFormatting xmlns:xm="http://schemas.microsoft.com/office/excel/2006/main">
          <x14:cfRule type="dataBar" id="{20581967-097F-482C-B147-4C1DF7BF5C1B}">
            <x14:dataBar minLength="0" maxLength="100" gradient="0">
              <x14:cfvo type="num">
                <xm:f>0</xm:f>
              </x14:cfvo>
              <x14:cfvo type="num">
                <xm:f>50000</xm:f>
              </x14:cfvo>
              <x14:negativeFillColor rgb="FFFF0000"/>
              <x14:axisColor rgb="FF000000"/>
            </x14:dataBar>
          </x14:cfRule>
          <xm:sqref>E40:N40</xm:sqref>
        </x14:conditionalFormatting>
        <x14:conditionalFormatting xmlns:xm="http://schemas.microsoft.com/office/excel/2006/main">
          <x14:cfRule type="dataBar" id="{2593AF23-3C8D-4314-BB74-09B9BE59373F}">
            <x14:dataBar minLength="0" maxLength="100" gradient="0">
              <x14:cfvo type="num">
                <xm:f>0</xm:f>
              </x14:cfvo>
              <x14:cfvo type="num">
                <xm:f>200000</xm:f>
              </x14:cfvo>
              <x14:negativeFillColor rgb="FFFF0000"/>
              <x14:axisColor rgb="FF000000"/>
            </x14:dataBar>
          </x14:cfRule>
          <xm:sqref>E42:N42</xm:sqref>
        </x14:conditionalFormatting>
        <x14:conditionalFormatting xmlns:xm="http://schemas.microsoft.com/office/excel/2006/main">
          <x14:cfRule type="dataBar" id="{355865DD-1AC9-4874-89E0-12A19338BA4F}">
            <x14:dataBar minLength="0" maxLength="100" gradient="0">
              <x14:cfvo type="num">
                <xm:f>0</xm:f>
              </x14:cfvo>
              <x14:cfvo type="num">
                <xm:f>200000</xm:f>
              </x14:cfvo>
              <x14:negativeFillColor rgb="FFFF0000"/>
              <x14:axisColor rgb="FF000000"/>
            </x14:dataBar>
          </x14:cfRule>
          <xm:sqref>E44:N44</xm:sqref>
        </x14:conditionalFormatting>
        <x14:conditionalFormatting xmlns:xm="http://schemas.microsoft.com/office/excel/2006/main">
          <x14:cfRule type="expression" priority="2" id="{74728CB6-8079-4FF4-8CD1-AD20C71DF2D0}">
            <xm:f>'Facility 1'!$M$4="No specific period"</xm:f>
            <x14:dxf>
              <font>
                <color theme="0"/>
              </font>
            </x14:dxf>
          </x14:cfRule>
          <xm:sqref>N5:N10</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BE98"/>
  <sheetViews>
    <sheetView showRowColHeaders="0" zoomScaleNormal="100" workbookViewId="0"/>
  </sheetViews>
  <sheetFormatPr defaultColWidth="0" defaultRowHeight="15" zeroHeight="1" x14ac:dyDescent="0.25"/>
  <cols>
    <col min="1" max="1" width="4" style="2" customWidth="1"/>
    <col min="2" max="2" width="4" style="8" customWidth="1"/>
    <col min="3" max="3" width="67.5703125" style="8" customWidth="1"/>
    <col min="4" max="4" width="3.42578125" style="8" customWidth="1"/>
    <col min="5" max="5" width="20.5703125" style="8" customWidth="1"/>
    <col min="6" max="6" width="3.7109375" style="8" customWidth="1"/>
    <col min="7" max="8" width="9.140625" style="8" customWidth="1"/>
    <col min="9" max="9" width="13.5703125" style="8" customWidth="1"/>
    <col min="10" max="10" width="12.140625" style="8" customWidth="1"/>
    <col min="11" max="11" width="11.85546875" style="8" customWidth="1"/>
    <col min="12" max="12" width="23" style="8" customWidth="1"/>
    <col min="13" max="13" width="25.28515625" style="8" customWidth="1"/>
    <col min="14" max="14" width="23.28515625" style="8" customWidth="1"/>
    <col min="15" max="15" width="5" style="2" customWidth="1"/>
    <col min="16" max="16" width="48.85546875" style="2" customWidth="1"/>
    <col min="17" max="17" width="4.42578125" style="2" customWidth="1"/>
    <col min="18" max="30" width="9.140625" style="2" hidden="1" customWidth="1"/>
    <col min="31" max="36" width="9.140625" style="8" hidden="1" customWidth="1"/>
    <col min="37" max="57" width="0" style="2" hidden="1" customWidth="1"/>
    <col min="58" max="16384" width="9.140625" style="2" hidden="1"/>
  </cols>
  <sheetData>
    <row r="1" spans="2:57" ht="203.1" customHeight="1" x14ac:dyDescent="0.25">
      <c r="B1" s="2"/>
      <c r="C1" s="2"/>
      <c r="D1" s="2"/>
      <c r="E1" s="2"/>
      <c r="F1" s="2"/>
      <c r="G1" s="2"/>
      <c r="H1" s="2"/>
      <c r="I1" s="2"/>
      <c r="J1" s="2"/>
      <c r="K1" s="2"/>
      <c r="L1" s="2"/>
      <c r="M1" s="2"/>
      <c r="N1" s="2"/>
    </row>
    <row r="2" spans="2:57" ht="33" customHeight="1" x14ac:dyDescent="0.25">
      <c r="B2" s="240"/>
      <c r="C2" s="360" t="s">
        <v>236</v>
      </c>
      <c r="D2" s="360"/>
      <c r="E2" s="360"/>
      <c r="F2" s="360"/>
      <c r="G2" s="360"/>
      <c r="H2" s="360"/>
      <c r="I2" s="360"/>
      <c r="J2" s="360"/>
      <c r="K2" s="360"/>
      <c r="L2" s="360"/>
      <c r="M2" s="360"/>
      <c r="N2" s="360"/>
      <c r="O2" s="83"/>
      <c r="P2" s="83"/>
    </row>
    <row r="3" spans="2:57" ht="15" customHeight="1" x14ac:dyDescent="0.25">
      <c r="B3" s="177"/>
      <c r="C3" s="177"/>
      <c r="D3" s="177"/>
      <c r="E3" s="177"/>
      <c r="F3" s="177"/>
      <c r="G3" s="177"/>
      <c r="H3" s="177"/>
      <c r="I3" s="177"/>
      <c r="J3" s="177"/>
      <c r="K3" s="177"/>
      <c r="L3" s="177"/>
      <c r="M3" s="177"/>
      <c r="N3" s="23" t="str">
        <f>IF(M4="Part year","Enter days below","")</f>
        <v/>
      </c>
      <c r="O3" s="23"/>
      <c r="P3" s="23"/>
      <c r="S3" s="2" t="s">
        <v>226</v>
      </c>
    </row>
    <row r="4" spans="2:57" ht="15" customHeight="1" x14ac:dyDescent="0.25">
      <c r="B4" s="240"/>
      <c r="C4" s="239" t="s">
        <v>224</v>
      </c>
      <c r="D4" s="177"/>
      <c r="E4" s="403"/>
      <c r="F4" s="404"/>
      <c r="G4" s="404"/>
      <c r="H4" s="405"/>
      <c r="I4" s="177"/>
      <c r="J4" s="356" t="s">
        <v>225</v>
      </c>
      <c r="K4" s="357"/>
      <c r="L4" s="357"/>
      <c r="M4" s="306" t="s">
        <v>226</v>
      </c>
      <c r="N4" s="252">
        <f>Output!N2</f>
        <v>365</v>
      </c>
      <c r="O4" s="162"/>
      <c r="P4" s="253" t="s">
        <v>334</v>
      </c>
      <c r="S4" s="2" t="s">
        <v>227</v>
      </c>
    </row>
    <row r="5" spans="2:57" x14ac:dyDescent="0.25">
      <c r="P5" s="223"/>
    </row>
    <row r="6" spans="2:57" x14ac:dyDescent="0.25">
      <c r="B6" s="178"/>
      <c r="C6" s="353" t="s">
        <v>199</v>
      </c>
      <c r="D6" s="238"/>
      <c r="E6" s="352" t="s">
        <v>0</v>
      </c>
      <c r="F6" s="238"/>
      <c r="G6" s="352" t="s">
        <v>1</v>
      </c>
      <c r="H6" s="179"/>
      <c r="I6" s="401" t="s">
        <v>6</v>
      </c>
      <c r="J6" s="401"/>
      <c r="K6" s="401"/>
      <c r="L6" s="179"/>
      <c r="M6" s="305" t="s">
        <v>7</v>
      </c>
      <c r="N6" s="305" t="s">
        <v>5</v>
      </c>
      <c r="O6" s="51"/>
      <c r="P6" s="385" t="s">
        <v>344</v>
      </c>
      <c r="S6" s="2" t="s">
        <v>190</v>
      </c>
      <c r="X6" s="2" t="s">
        <v>191</v>
      </c>
      <c r="AE6" s="8" t="s">
        <v>192</v>
      </c>
      <c r="AM6" s="2" t="s">
        <v>189</v>
      </c>
      <c r="AS6" s="2" t="s">
        <v>175</v>
      </c>
      <c r="AZ6" s="2" t="s">
        <v>182</v>
      </c>
    </row>
    <row r="7" spans="2:57" ht="14.25" customHeight="1" x14ac:dyDescent="0.25">
      <c r="B7" s="180"/>
      <c r="C7" s="334"/>
      <c r="D7" s="237"/>
      <c r="E7" s="352"/>
      <c r="F7" s="237"/>
      <c r="G7" s="352"/>
      <c r="H7" s="74"/>
      <c r="I7" s="1" t="s">
        <v>329</v>
      </c>
      <c r="J7" s="1" t="s">
        <v>330</v>
      </c>
      <c r="K7" s="1" t="s">
        <v>331</v>
      </c>
      <c r="L7" s="237"/>
      <c r="M7" s="1" t="s">
        <v>332</v>
      </c>
      <c r="N7" s="181" t="s">
        <v>8</v>
      </c>
      <c r="O7" s="84"/>
      <c r="P7" s="385"/>
    </row>
    <row r="8" spans="2:57" x14ac:dyDescent="0.25">
      <c r="B8" s="182"/>
      <c r="C8" s="183" t="s">
        <v>119</v>
      </c>
      <c r="D8" s="183"/>
      <c r="E8" s="161" t="s">
        <v>120</v>
      </c>
      <c r="F8" s="161"/>
      <c r="G8" s="161"/>
      <c r="H8" s="160"/>
      <c r="I8" s="160"/>
      <c r="J8" s="160"/>
      <c r="K8" s="160"/>
      <c r="L8" s="160"/>
      <c r="M8" s="160"/>
      <c r="N8" s="184"/>
      <c r="O8" s="71"/>
      <c r="P8" s="386"/>
      <c r="S8" s="11" t="s">
        <v>2</v>
      </c>
      <c r="T8" s="11" t="s">
        <v>3</v>
      </c>
      <c r="U8" s="11" t="s">
        <v>4</v>
      </c>
      <c r="V8" s="11" t="s">
        <v>21</v>
      </c>
      <c r="X8" s="98" t="s">
        <v>112</v>
      </c>
      <c r="Y8" s="98">
        <v>0</v>
      </c>
      <c r="Z8" s="98">
        <v>0</v>
      </c>
      <c r="AA8" s="98">
        <v>0</v>
      </c>
      <c r="AB8" s="98">
        <v>0</v>
      </c>
      <c r="AC8" s="98" t="s">
        <v>112</v>
      </c>
      <c r="AD8" s="89"/>
      <c r="AE8" s="99" t="s">
        <v>112</v>
      </c>
      <c r="AF8" s="99">
        <v>0</v>
      </c>
      <c r="AG8" s="99">
        <v>0</v>
      </c>
      <c r="AH8" s="99">
        <v>0</v>
      </c>
      <c r="AI8" s="10">
        <v>0</v>
      </c>
      <c r="AJ8" s="10" t="s">
        <v>112</v>
      </c>
      <c r="AS8" s="11" t="s">
        <v>112</v>
      </c>
      <c r="AT8" s="11">
        <v>0</v>
      </c>
      <c r="AU8" s="11">
        <v>0</v>
      </c>
      <c r="AV8" s="11">
        <v>0</v>
      </c>
      <c r="AW8" s="11">
        <v>0</v>
      </c>
      <c r="AX8" s="11" t="s">
        <v>112</v>
      </c>
      <c r="AZ8" s="9" t="s">
        <v>112</v>
      </c>
      <c r="BA8" s="9">
        <v>0</v>
      </c>
      <c r="BB8" s="9">
        <v>0</v>
      </c>
      <c r="BC8" s="9">
        <v>0</v>
      </c>
      <c r="BD8" s="9">
        <v>0</v>
      </c>
      <c r="BE8" s="9" t="s">
        <v>112</v>
      </c>
    </row>
    <row r="9" spans="2:57" ht="15" customHeight="1" x14ac:dyDescent="0.25">
      <c r="B9" s="182"/>
      <c r="C9" s="254" t="s">
        <v>54</v>
      </c>
      <c r="D9" s="160"/>
      <c r="E9" s="255">
        <v>500</v>
      </c>
      <c r="F9" s="161"/>
      <c r="G9" s="162" t="str">
        <f>VLOOKUP(C9,Example!$X$8:$AC$28,6,FALSE)</f>
        <v>kL</v>
      </c>
      <c r="H9" s="163"/>
      <c r="I9" s="276">
        <f t="shared" ref="I9:K15" si="0">S9*$N9/1000</f>
        <v>1349.07</v>
      </c>
      <c r="J9" s="276">
        <f t="shared" si="0"/>
        <v>1.93</v>
      </c>
      <c r="K9" s="276">
        <f t="shared" si="0"/>
        <v>9.65</v>
      </c>
      <c r="L9" s="276"/>
      <c r="M9" s="276">
        <f>SUM(I9:K9)</f>
        <v>1360.65</v>
      </c>
      <c r="N9" s="277">
        <f>V9*E9</f>
        <v>19300</v>
      </c>
      <c r="O9" s="78"/>
      <c r="P9" s="78"/>
      <c r="S9" s="11" t="str">
        <f>VLOOKUP(C9,Example!$X$8:$AC$28,3,FALSE)</f>
        <v>69.9</v>
      </c>
      <c r="T9" s="11" t="str">
        <f>VLOOKUP(C9,Example!$X$8:$AC$28,4,FALSE)</f>
        <v>0.1</v>
      </c>
      <c r="U9" s="11">
        <f>VLOOKUP(C9,Example!$X$8:$AC$28,5,FALSE)</f>
        <v>0.5</v>
      </c>
      <c r="V9" s="11" t="str">
        <f>VLOOKUP(C9,Example!$X$8:$AC$28,2,FALSE)</f>
        <v>38.6</v>
      </c>
      <c r="X9" s="100" t="s">
        <v>48</v>
      </c>
      <c r="Y9" s="101">
        <v>34.6</v>
      </c>
      <c r="Z9" s="102">
        <v>0</v>
      </c>
      <c r="AA9" s="102" t="s">
        <v>83</v>
      </c>
      <c r="AB9" s="102" t="s">
        <v>84</v>
      </c>
      <c r="AC9" s="100" t="s">
        <v>40</v>
      </c>
      <c r="AE9" s="103" t="s">
        <v>94</v>
      </c>
      <c r="AF9" s="103">
        <v>29</v>
      </c>
      <c r="AG9" s="103">
        <v>90</v>
      </c>
      <c r="AH9" s="103">
        <v>0.03</v>
      </c>
      <c r="AI9" s="103">
        <v>0.2</v>
      </c>
      <c r="AJ9" s="10" t="s">
        <v>53</v>
      </c>
      <c r="AK9" s="6"/>
      <c r="AM9" s="98" t="s">
        <v>19</v>
      </c>
      <c r="AN9" s="104" t="s">
        <v>20</v>
      </c>
      <c r="AO9" s="104" t="s">
        <v>21</v>
      </c>
      <c r="AP9" s="104" t="s">
        <v>22</v>
      </c>
      <c r="AS9" s="105" t="s">
        <v>124</v>
      </c>
      <c r="AT9" s="106">
        <v>0</v>
      </c>
      <c r="AU9" s="106">
        <v>0</v>
      </c>
      <c r="AV9" s="106">
        <v>0</v>
      </c>
      <c r="AW9" s="106">
        <v>3.7699999999999997E-2</v>
      </c>
      <c r="AX9" s="107" t="s">
        <v>24</v>
      </c>
      <c r="AZ9" s="108" t="s">
        <v>124</v>
      </c>
      <c r="BA9" s="109">
        <v>0</v>
      </c>
      <c r="BB9" s="109">
        <v>0</v>
      </c>
      <c r="BC9" s="109">
        <v>0</v>
      </c>
      <c r="BD9" s="109">
        <v>3.7699999999999997E-2</v>
      </c>
      <c r="BE9" s="110" t="s">
        <v>24</v>
      </c>
    </row>
    <row r="10" spans="2:57" ht="15" customHeight="1" x14ac:dyDescent="0.25">
      <c r="B10" s="182"/>
      <c r="C10" s="254" t="s">
        <v>172</v>
      </c>
      <c r="D10" s="160"/>
      <c r="E10" s="256">
        <v>1000</v>
      </c>
      <c r="F10" s="161"/>
      <c r="G10" s="162" t="str">
        <f>VLOOKUP(C10,Example!$X$8:$AC$28,6,FALSE)</f>
        <v>kL</v>
      </c>
      <c r="H10" s="163"/>
      <c r="I10" s="276">
        <f t="shared" si="0"/>
        <v>2217.6999999999998</v>
      </c>
      <c r="J10" s="276">
        <f t="shared" si="0"/>
        <v>1.655</v>
      </c>
      <c r="K10" s="276">
        <f t="shared" si="0"/>
        <v>23.17</v>
      </c>
      <c r="L10" s="276"/>
      <c r="M10" s="276">
        <f t="shared" ref="M10:M15" si="1">SUM(I10:K10)</f>
        <v>2242.5250000000001</v>
      </c>
      <c r="N10" s="277">
        <f t="shared" ref="N10:N15" si="2">V10*E10</f>
        <v>33100</v>
      </c>
      <c r="O10" s="78"/>
      <c r="P10" s="78"/>
      <c r="S10" s="11" t="str">
        <f>VLOOKUP(C10,Example!$X$8:$AC$28,3,FALSE)</f>
        <v>67.0</v>
      </c>
      <c r="T10" s="11" t="str">
        <f>VLOOKUP(C10,Example!$X$8:$AC$28,4,FALSE)</f>
        <v>0.05</v>
      </c>
      <c r="U10" s="11">
        <f>VLOOKUP(C10,Example!$X$8:$AC$28,5,FALSE)</f>
        <v>0.7</v>
      </c>
      <c r="V10" s="11" t="str">
        <f>VLOOKUP(C10,Example!$X$8:$AC$28,2,FALSE)</f>
        <v>33.1</v>
      </c>
      <c r="X10" s="100" t="s">
        <v>113</v>
      </c>
      <c r="Y10" s="101">
        <v>23.4</v>
      </c>
      <c r="Z10" s="102">
        <v>0</v>
      </c>
      <c r="AA10" s="102" t="s">
        <v>83</v>
      </c>
      <c r="AB10" s="102" t="s">
        <v>84</v>
      </c>
      <c r="AC10" s="100" t="s">
        <v>40</v>
      </c>
      <c r="AE10" s="103" t="s">
        <v>95</v>
      </c>
      <c r="AF10" s="103">
        <v>9.6</v>
      </c>
      <c r="AG10" s="103">
        <v>0</v>
      </c>
      <c r="AH10" s="103">
        <v>0.2</v>
      </c>
      <c r="AI10" s="103">
        <v>1.2</v>
      </c>
      <c r="AJ10" s="10" t="s">
        <v>53</v>
      </c>
      <c r="AK10" s="6"/>
      <c r="AM10" s="98" t="s">
        <v>112</v>
      </c>
      <c r="AN10" s="98">
        <v>0</v>
      </c>
      <c r="AO10" s="98">
        <v>0</v>
      </c>
      <c r="AP10" s="98">
        <v>0</v>
      </c>
      <c r="AR10" s="2" t="s">
        <v>198</v>
      </c>
      <c r="AS10" s="105" t="s">
        <v>94</v>
      </c>
      <c r="AT10" s="106">
        <v>0</v>
      </c>
      <c r="AU10" s="106">
        <v>0</v>
      </c>
      <c r="AV10" s="106">
        <v>0</v>
      </c>
      <c r="AW10" s="106">
        <v>29</v>
      </c>
      <c r="AX10" s="107" t="s">
        <v>53</v>
      </c>
      <c r="AY10" s="2" t="s">
        <v>198</v>
      </c>
      <c r="AZ10" s="108" t="s">
        <v>94</v>
      </c>
      <c r="BA10" s="109">
        <v>0</v>
      </c>
      <c r="BB10" s="109">
        <v>0</v>
      </c>
      <c r="BC10" s="109">
        <v>0</v>
      </c>
      <c r="BD10" s="109">
        <v>29</v>
      </c>
      <c r="BE10" s="110" t="s">
        <v>53</v>
      </c>
    </row>
    <row r="11" spans="2:57" ht="15" customHeight="1" x14ac:dyDescent="0.25">
      <c r="B11" s="182"/>
      <c r="C11" s="254" t="s">
        <v>112</v>
      </c>
      <c r="D11" s="160"/>
      <c r="E11" s="256"/>
      <c r="F11" s="161"/>
      <c r="G11" s="162" t="str">
        <f>VLOOKUP(C11,Example!$X$8:$AC$28,6,FALSE)</f>
        <v>-</v>
      </c>
      <c r="H11" s="163"/>
      <c r="I11" s="276">
        <f t="shared" si="0"/>
        <v>0</v>
      </c>
      <c r="J11" s="276">
        <f t="shared" si="0"/>
        <v>0</v>
      </c>
      <c r="K11" s="276">
        <f t="shared" si="0"/>
        <v>0</v>
      </c>
      <c r="L11" s="276"/>
      <c r="M11" s="276">
        <f>SUM(I11:K11)</f>
        <v>0</v>
      </c>
      <c r="N11" s="277">
        <f>V11*E11</f>
        <v>0</v>
      </c>
      <c r="O11" s="78"/>
      <c r="P11" s="78"/>
      <c r="S11" s="11">
        <f>VLOOKUP(C11,Example!$X$8:$AC$28,3,FALSE)</f>
        <v>0</v>
      </c>
      <c r="T11" s="11">
        <f>VLOOKUP(C11,Example!$X$8:$AC$28,4,FALSE)</f>
        <v>0</v>
      </c>
      <c r="U11" s="11">
        <f>VLOOKUP(C11,Example!$X$8:$AC$28,5,FALSE)</f>
        <v>0</v>
      </c>
      <c r="V11" s="11">
        <f>VLOOKUP(C11,Example!$X$8:$AC$28,2,FALSE)</f>
        <v>0</v>
      </c>
      <c r="X11" s="100" t="s">
        <v>114</v>
      </c>
      <c r="Y11" s="101" t="s">
        <v>56</v>
      </c>
      <c r="Z11" s="111" t="s">
        <v>55</v>
      </c>
      <c r="AA11" s="111" t="s">
        <v>74</v>
      </c>
      <c r="AB11" s="111" t="s">
        <v>85</v>
      </c>
      <c r="AC11" s="100" t="s">
        <v>40</v>
      </c>
      <c r="AE11" s="103" t="s">
        <v>48</v>
      </c>
      <c r="AF11" s="103">
        <v>34.6</v>
      </c>
      <c r="AG11" s="103">
        <v>0</v>
      </c>
      <c r="AH11" s="103">
        <v>7.0000000000000007E-2</v>
      </c>
      <c r="AI11" s="103">
        <v>0.2</v>
      </c>
      <c r="AJ11" s="112" t="s">
        <v>40</v>
      </c>
      <c r="AK11" s="6"/>
      <c r="AM11" s="98" t="s">
        <v>10</v>
      </c>
      <c r="AN11" s="113">
        <v>0.83</v>
      </c>
      <c r="AO11" s="98">
        <v>3.5999999999999999E-3</v>
      </c>
      <c r="AP11" s="98">
        <f t="shared" ref="AP11:AP19" si="3">AN11/AO11</f>
        <v>230.55555555555554</v>
      </c>
      <c r="AR11" s="2" t="s">
        <v>198</v>
      </c>
      <c r="AS11" s="105" t="s">
        <v>95</v>
      </c>
      <c r="AT11" s="106">
        <v>0</v>
      </c>
      <c r="AU11" s="106">
        <v>0</v>
      </c>
      <c r="AV11" s="106">
        <v>0</v>
      </c>
      <c r="AW11" s="106">
        <v>9.6</v>
      </c>
      <c r="AX11" s="107" t="s">
        <v>53</v>
      </c>
      <c r="AY11" s="2" t="s">
        <v>198</v>
      </c>
      <c r="AZ11" s="108" t="s">
        <v>95</v>
      </c>
      <c r="BA11" s="109">
        <v>0</v>
      </c>
      <c r="BB11" s="109">
        <v>0</v>
      </c>
      <c r="BC11" s="109">
        <v>0</v>
      </c>
      <c r="BD11" s="109">
        <v>9.6</v>
      </c>
      <c r="BE11" s="110" t="s">
        <v>53</v>
      </c>
    </row>
    <row r="12" spans="2:57" ht="15" customHeight="1" x14ac:dyDescent="0.25">
      <c r="B12" s="182"/>
      <c r="C12" s="254" t="s">
        <v>112</v>
      </c>
      <c r="D12" s="160"/>
      <c r="E12" s="256"/>
      <c r="F12" s="161"/>
      <c r="G12" s="162" t="str">
        <f>VLOOKUP(C12,Example!$X$8:$AC$28,6,FALSE)</f>
        <v>-</v>
      </c>
      <c r="H12" s="163"/>
      <c r="I12" s="276">
        <f t="shared" si="0"/>
        <v>0</v>
      </c>
      <c r="J12" s="276">
        <f t="shared" si="0"/>
        <v>0</v>
      </c>
      <c r="K12" s="276">
        <f t="shared" si="0"/>
        <v>0</v>
      </c>
      <c r="L12" s="276"/>
      <c r="M12" s="276">
        <f>SUM(I12:K12)</f>
        <v>0</v>
      </c>
      <c r="N12" s="277">
        <f>V12*E12</f>
        <v>0</v>
      </c>
      <c r="O12" s="78"/>
      <c r="P12" s="78"/>
      <c r="S12" s="11">
        <f>VLOOKUP(C12,Example!$X$8:$AC$28,3,FALSE)</f>
        <v>0</v>
      </c>
      <c r="T12" s="11">
        <f>VLOOKUP(C12,Example!$X$8:$AC$28,4,FALSE)</f>
        <v>0</v>
      </c>
      <c r="U12" s="11">
        <f>VLOOKUP(C12,Example!$X$8:$AC$28,5,FALSE)</f>
        <v>0</v>
      </c>
      <c r="V12" s="11">
        <f>VLOOKUP(C12,Example!$X$8:$AC$28,2,FALSE)</f>
        <v>0</v>
      </c>
      <c r="X12" s="100" t="s">
        <v>54</v>
      </c>
      <c r="Y12" s="101" t="s">
        <v>56</v>
      </c>
      <c r="Z12" s="102" t="s">
        <v>55</v>
      </c>
      <c r="AA12" s="102" t="s">
        <v>86</v>
      </c>
      <c r="AB12" s="102">
        <v>0.5</v>
      </c>
      <c r="AC12" s="100" t="s">
        <v>40</v>
      </c>
      <c r="AE12" s="103" t="s">
        <v>164</v>
      </c>
      <c r="AF12" s="103">
        <v>12.2</v>
      </c>
      <c r="AG12" s="103">
        <v>0</v>
      </c>
      <c r="AH12" s="103">
        <v>0.7</v>
      </c>
      <c r="AI12" s="103">
        <v>1.1000000000000001</v>
      </c>
      <c r="AJ12" s="10" t="s">
        <v>53</v>
      </c>
      <c r="AK12" s="6"/>
      <c r="AM12" s="98" t="s">
        <v>11</v>
      </c>
      <c r="AN12" s="113">
        <v>0.83</v>
      </c>
      <c r="AO12" s="98">
        <v>3.5999999999999999E-3</v>
      </c>
      <c r="AP12" s="98">
        <f t="shared" si="3"/>
        <v>230.55555555555554</v>
      </c>
      <c r="AS12" s="105" t="s">
        <v>48</v>
      </c>
      <c r="AT12" s="106">
        <v>0</v>
      </c>
      <c r="AU12" s="106">
        <v>0</v>
      </c>
      <c r="AV12" s="106">
        <v>0</v>
      </c>
      <c r="AW12" s="106">
        <v>34.6</v>
      </c>
      <c r="AX12" s="107" t="s">
        <v>40</v>
      </c>
      <c r="AZ12" s="108" t="s">
        <v>48</v>
      </c>
      <c r="BA12" s="109">
        <v>0</v>
      </c>
      <c r="BB12" s="109">
        <v>0</v>
      </c>
      <c r="BC12" s="109">
        <v>0</v>
      </c>
      <c r="BD12" s="109">
        <v>34.6</v>
      </c>
      <c r="BE12" s="110" t="s">
        <v>40</v>
      </c>
    </row>
    <row r="13" spans="2:57" ht="15" customHeight="1" x14ac:dyDescent="0.25">
      <c r="B13" s="182"/>
      <c r="C13" s="254" t="s">
        <v>112</v>
      </c>
      <c r="D13" s="160"/>
      <c r="E13" s="256"/>
      <c r="F13" s="161"/>
      <c r="G13" s="162" t="str">
        <f>VLOOKUP(C13,Example!$X$8:$AC$28,6,FALSE)</f>
        <v>-</v>
      </c>
      <c r="H13" s="163"/>
      <c r="I13" s="276">
        <f t="shared" si="0"/>
        <v>0</v>
      </c>
      <c r="J13" s="276">
        <f t="shared" si="0"/>
        <v>0</v>
      </c>
      <c r="K13" s="276">
        <f t="shared" si="0"/>
        <v>0</v>
      </c>
      <c r="L13" s="276"/>
      <c r="M13" s="276">
        <f>SUM(I13:K13)</f>
        <v>0</v>
      </c>
      <c r="N13" s="277">
        <f>V13*E13</f>
        <v>0</v>
      </c>
      <c r="O13" s="78"/>
      <c r="P13" s="78"/>
      <c r="S13" s="11">
        <f>VLOOKUP(C13,Example!$X$8:$AC$28,3,FALSE)</f>
        <v>0</v>
      </c>
      <c r="T13" s="11">
        <f>VLOOKUP(C13,Example!$X$8:$AC$28,4,FALSE)</f>
        <v>0</v>
      </c>
      <c r="U13" s="11">
        <f>VLOOKUP(C13,Example!$X$8:$AC$28,5,FALSE)</f>
        <v>0</v>
      </c>
      <c r="V13" s="11">
        <f>VLOOKUP(C13,Example!$X$8:$AC$28,2,FALSE)</f>
        <v>0</v>
      </c>
      <c r="X13" s="100" t="s">
        <v>104</v>
      </c>
      <c r="Y13" s="101" t="s">
        <v>56</v>
      </c>
      <c r="Z13" s="111" t="s">
        <v>55</v>
      </c>
      <c r="AA13" s="111">
        <v>0.2</v>
      </c>
      <c r="AB13" s="111">
        <v>0.5</v>
      </c>
      <c r="AC13" s="100" t="s">
        <v>40</v>
      </c>
      <c r="AE13" s="103" t="s">
        <v>129</v>
      </c>
      <c r="AF13" s="103">
        <v>27</v>
      </c>
      <c r="AG13" s="103">
        <v>90</v>
      </c>
      <c r="AH13" s="103">
        <v>0.03</v>
      </c>
      <c r="AI13" s="103">
        <v>0.2</v>
      </c>
      <c r="AJ13" s="10" t="s">
        <v>53</v>
      </c>
      <c r="AK13" s="6"/>
      <c r="AM13" s="98" t="s">
        <v>12</v>
      </c>
      <c r="AN13" s="113">
        <v>1.08</v>
      </c>
      <c r="AO13" s="98">
        <v>3.5999999999999999E-3</v>
      </c>
      <c r="AP13" s="98">
        <f t="shared" si="3"/>
        <v>300</v>
      </c>
      <c r="AS13" s="105" t="s">
        <v>126</v>
      </c>
      <c r="AT13" s="106">
        <v>0</v>
      </c>
      <c r="AU13" s="106">
        <v>0</v>
      </c>
      <c r="AV13" s="106">
        <v>0</v>
      </c>
      <c r="AW13" s="106">
        <v>23.4</v>
      </c>
      <c r="AX13" s="107" t="s">
        <v>40</v>
      </c>
      <c r="AZ13" s="108" t="s">
        <v>126</v>
      </c>
      <c r="BA13" s="109">
        <v>0</v>
      </c>
      <c r="BB13" s="109">
        <v>0</v>
      </c>
      <c r="BC13" s="109">
        <v>0</v>
      </c>
      <c r="BD13" s="109">
        <v>23.4</v>
      </c>
      <c r="BE13" s="110" t="s">
        <v>40</v>
      </c>
    </row>
    <row r="14" spans="2:57" ht="15" customHeight="1" x14ac:dyDescent="0.25">
      <c r="B14" s="182"/>
      <c r="C14" s="254" t="s">
        <v>112</v>
      </c>
      <c r="D14" s="160"/>
      <c r="E14" s="256"/>
      <c r="F14" s="161"/>
      <c r="G14" s="162" t="str">
        <f>VLOOKUP(C14,Example!$X$8:$AC$28,6,FALSE)</f>
        <v>-</v>
      </c>
      <c r="H14" s="163"/>
      <c r="I14" s="276">
        <f t="shared" si="0"/>
        <v>0</v>
      </c>
      <c r="J14" s="276">
        <f t="shared" si="0"/>
        <v>0</v>
      </c>
      <c r="K14" s="276">
        <f t="shared" si="0"/>
        <v>0</v>
      </c>
      <c r="L14" s="276"/>
      <c r="M14" s="276">
        <f t="shared" si="1"/>
        <v>0</v>
      </c>
      <c r="N14" s="277">
        <f t="shared" si="2"/>
        <v>0</v>
      </c>
      <c r="O14" s="78"/>
      <c r="P14" s="78"/>
      <c r="S14" s="11">
        <f>VLOOKUP(C14,Example!$X$8:$AC$28,3,FALSE)</f>
        <v>0</v>
      </c>
      <c r="T14" s="11">
        <f>VLOOKUP(C14,Example!$X$8:$AC$28,4,FALSE)</f>
        <v>0</v>
      </c>
      <c r="U14" s="11">
        <f>VLOOKUP(C14,Example!$X$8:$AC$28,5,FALSE)</f>
        <v>0</v>
      </c>
      <c r="V14" s="11">
        <f>VLOOKUP(C14,Example!$X$8:$AC$28,2,FALSE)</f>
        <v>0</v>
      </c>
      <c r="X14" s="100" t="s">
        <v>105</v>
      </c>
      <c r="Y14" s="101" t="s">
        <v>56</v>
      </c>
      <c r="Z14" s="111" t="s">
        <v>55</v>
      </c>
      <c r="AA14" s="111">
        <v>0.1</v>
      </c>
      <c r="AB14" s="111">
        <v>0.5</v>
      </c>
      <c r="AC14" s="100" t="s">
        <v>40</v>
      </c>
      <c r="AE14" s="103" t="s">
        <v>25</v>
      </c>
      <c r="AF14" s="103">
        <v>4.0000000000000001E-3</v>
      </c>
      <c r="AG14" s="103">
        <v>234</v>
      </c>
      <c r="AH14" s="103">
        <v>0</v>
      </c>
      <c r="AI14" s="103">
        <v>0.03</v>
      </c>
      <c r="AJ14" s="10" t="s">
        <v>24</v>
      </c>
      <c r="AK14" s="6"/>
      <c r="AM14" s="98" t="s">
        <v>13</v>
      </c>
      <c r="AN14" s="113">
        <v>0.14000000000000001</v>
      </c>
      <c r="AO14" s="98">
        <v>3.5999999999999999E-3</v>
      </c>
      <c r="AP14" s="98">
        <f t="shared" si="3"/>
        <v>38.888888888888893</v>
      </c>
      <c r="AR14" s="2" t="s">
        <v>198</v>
      </c>
      <c r="AS14" s="105" t="s">
        <v>127</v>
      </c>
      <c r="AT14" s="106">
        <v>0</v>
      </c>
      <c r="AU14" s="106">
        <v>0</v>
      </c>
      <c r="AV14" s="106">
        <v>0</v>
      </c>
      <c r="AW14" s="106">
        <v>12.2</v>
      </c>
      <c r="AX14" s="107" t="s">
        <v>53</v>
      </c>
      <c r="AY14" s="2" t="s">
        <v>198</v>
      </c>
      <c r="AZ14" s="108" t="s">
        <v>127</v>
      </c>
      <c r="BA14" s="109">
        <v>0</v>
      </c>
      <c r="BB14" s="109">
        <v>0</v>
      </c>
      <c r="BC14" s="109">
        <v>0</v>
      </c>
      <c r="BD14" s="109">
        <v>12.2</v>
      </c>
      <c r="BE14" s="110" t="s">
        <v>53</v>
      </c>
    </row>
    <row r="15" spans="2:57" ht="15" customHeight="1" x14ac:dyDescent="0.25">
      <c r="B15" s="182"/>
      <c r="C15" s="254" t="s">
        <v>112</v>
      </c>
      <c r="D15" s="160"/>
      <c r="E15" s="256"/>
      <c r="F15" s="161"/>
      <c r="G15" s="162" t="str">
        <f>VLOOKUP(C15,Example!$X$8:$AC$28,6,FALSE)</f>
        <v>-</v>
      </c>
      <c r="H15" s="163"/>
      <c r="I15" s="276">
        <f t="shared" si="0"/>
        <v>0</v>
      </c>
      <c r="J15" s="276">
        <f t="shared" si="0"/>
        <v>0</v>
      </c>
      <c r="K15" s="276">
        <f t="shared" si="0"/>
        <v>0</v>
      </c>
      <c r="L15" s="276"/>
      <c r="M15" s="276">
        <f t="shared" si="1"/>
        <v>0</v>
      </c>
      <c r="N15" s="277">
        <f t="shared" si="2"/>
        <v>0</v>
      </c>
      <c r="O15" s="78"/>
      <c r="P15" s="78"/>
      <c r="S15" s="11">
        <f>VLOOKUP(C15,Example!$X$8:$AC$28,3,FALSE)</f>
        <v>0</v>
      </c>
      <c r="T15" s="11">
        <f>VLOOKUP(C15,Example!$X$8:$AC$28,4,FALSE)</f>
        <v>0</v>
      </c>
      <c r="U15" s="11">
        <f>VLOOKUP(C15,Example!$X$8:$AC$28,5,FALSE)</f>
        <v>0</v>
      </c>
      <c r="V15" s="11">
        <f>VLOOKUP(C15,Example!$X$8:$AC$28,2,FALSE)</f>
        <v>0</v>
      </c>
      <c r="X15" s="100" t="s">
        <v>106</v>
      </c>
      <c r="Y15" s="101" t="s">
        <v>56</v>
      </c>
      <c r="Z15" s="111" t="s">
        <v>55</v>
      </c>
      <c r="AA15" s="111" t="s">
        <v>87</v>
      </c>
      <c r="AB15" s="111">
        <v>0.5</v>
      </c>
      <c r="AC15" s="100" t="s">
        <v>40</v>
      </c>
      <c r="AE15" s="103" t="s">
        <v>130</v>
      </c>
      <c r="AF15" s="103">
        <v>10.199999999999999</v>
      </c>
      <c r="AG15" s="103">
        <v>93.5</v>
      </c>
      <c r="AH15" s="103">
        <v>0.02</v>
      </c>
      <c r="AI15" s="103">
        <v>0.4</v>
      </c>
      <c r="AJ15" s="10" t="s">
        <v>53</v>
      </c>
      <c r="AK15" s="6"/>
      <c r="AM15" s="98" t="s">
        <v>14</v>
      </c>
      <c r="AN15" s="113">
        <v>0.49</v>
      </c>
      <c r="AO15" s="98">
        <v>3.5999999999999999E-3</v>
      </c>
      <c r="AP15" s="98">
        <f t="shared" si="3"/>
        <v>136.11111111111111</v>
      </c>
      <c r="AS15" s="105" t="s">
        <v>128</v>
      </c>
      <c r="AT15" s="106">
        <v>0</v>
      </c>
      <c r="AU15" s="106">
        <v>0</v>
      </c>
      <c r="AV15" s="106">
        <v>0</v>
      </c>
      <c r="AW15" s="106">
        <v>43.2</v>
      </c>
      <c r="AX15" s="107" t="s">
        <v>53</v>
      </c>
      <c r="AZ15" s="114" t="s">
        <v>176</v>
      </c>
      <c r="BA15" s="115">
        <v>0</v>
      </c>
      <c r="BB15" s="115">
        <v>0</v>
      </c>
      <c r="BC15" s="115">
        <v>0</v>
      </c>
      <c r="BD15" s="114">
        <v>43.2</v>
      </c>
      <c r="BE15" s="10" t="s">
        <v>53</v>
      </c>
    </row>
    <row r="16" spans="2:57" ht="15" customHeight="1" x14ac:dyDescent="0.25">
      <c r="B16" s="185"/>
      <c r="C16" s="165"/>
      <c r="D16" s="165"/>
      <c r="E16" s="166"/>
      <c r="F16" s="166"/>
      <c r="G16" s="350" t="s">
        <v>327</v>
      </c>
      <c r="H16" s="350"/>
      <c r="I16" s="350"/>
      <c r="J16" s="350"/>
      <c r="K16" s="350"/>
      <c r="L16" s="350"/>
      <c r="M16" s="279">
        <f>SUM(M9:M15)</f>
        <v>3603.1750000000002</v>
      </c>
      <c r="N16" s="279">
        <f>SUM(N9:N15)</f>
        <v>52400</v>
      </c>
      <c r="O16" s="7"/>
      <c r="P16" s="7"/>
      <c r="X16" s="100" t="s">
        <v>115</v>
      </c>
      <c r="Y16" s="101" t="s">
        <v>57</v>
      </c>
      <c r="Z16" s="111">
        <v>0</v>
      </c>
      <c r="AA16" s="111">
        <v>0.2</v>
      </c>
      <c r="AB16" s="111">
        <v>0.2</v>
      </c>
      <c r="AC16" s="100" t="s">
        <v>40</v>
      </c>
      <c r="AE16" s="103" t="s">
        <v>96</v>
      </c>
      <c r="AF16" s="103">
        <v>31.1</v>
      </c>
      <c r="AG16" s="103">
        <v>0</v>
      </c>
      <c r="AH16" s="103">
        <v>4.8</v>
      </c>
      <c r="AI16" s="103">
        <v>1.1000000000000001</v>
      </c>
      <c r="AJ16" s="10" t="s">
        <v>53</v>
      </c>
      <c r="AK16" s="6"/>
      <c r="AM16" s="98" t="s">
        <v>15</v>
      </c>
      <c r="AN16" s="113">
        <v>0.7</v>
      </c>
      <c r="AO16" s="98">
        <v>3.5999999999999999E-3</v>
      </c>
      <c r="AP16" s="98">
        <f t="shared" si="3"/>
        <v>194.44444444444443</v>
      </c>
      <c r="AS16" s="105" t="s">
        <v>129</v>
      </c>
      <c r="AT16" s="106">
        <v>0</v>
      </c>
      <c r="AU16" s="106">
        <v>0</v>
      </c>
      <c r="AV16" s="106">
        <v>0</v>
      </c>
      <c r="AW16" s="106">
        <v>27</v>
      </c>
      <c r="AX16" s="107" t="s">
        <v>53</v>
      </c>
      <c r="AZ16" s="108" t="s">
        <v>128</v>
      </c>
      <c r="BA16" s="109">
        <v>0</v>
      </c>
      <c r="BB16" s="109">
        <v>0</v>
      </c>
      <c r="BC16" s="109">
        <v>0</v>
      </c>
      <c r="BD16" s="109">
        <v>43.2</v>
      </c>
      <c r="BE16" s="110" t="s">
        <v>53</v>
      </c>
    </row>
    <row r="17" spans="2:57" ht="15" customHeight="1" x14ac:dyDescent="0.25">
      <c r="E17" s="23"/>
      <c r="F17" s="23"/>
      <c r="G17" s="23"/>
      <c r="O17" s="5"/>
      <c r="P17" s="5"/>
      <c r="X17" s="100" t="s">
        <v>107</v>
      </c>
      <c r="Y17" s="101" t="s">
        <v>57</v>
      </c>
      <c r="Z17" s="111">
        <v>0</v>
      </c>
      <c r="AA17" s="111" t="s">
        <v>83</v>
      </c>
      <c r="AB17" s="111" t="s">
        <v>84</v>
      </c>
      <c r="AC17" s="100" t="s">
        <v>40</v>
      </c>
      <c r="AE17" s="103" t="s">
        <v>97</v>
      </c>
      <c r="AF17" s="103">
        <v>22.1</v>
      </c>
      <c r="AG17" s="103">
        <v>95</v>
      </c>
      <c r="AH17" s="103">
        <v>7.0000000000000007E-2</v>
      </c>
      <c r="AI17" s="103">
        <v>0.3</v>
      </c>
      <c r="AJ17" s="10" t="s">
        <v>53</v>
      </c>
      <c r="AK17" s="6"/>
      <c r="AM17" s="98" t="s">
        <v>16</v>
      </c>
      <c r="AN17" s="113">
        <v>0.64</v>
      </c>
      <c r="AO17" s="98">
        <v>3.5999999999999999E-3</v>
      </c>
      <c r="AP17" s="98">
        <f t="shared" si="3"/>
        <v>177.7777777777778</v>
      </c>
      <c r="AS17" s="105" t="s">
        <v>25</v>
      </c>
      <c r="AT17" s="106">
        <v>0</v>
      </c>
      <c r="AU17" s="106">
        <v>0</v>
      </c>
      <c r="AV17" s="106">
        <v>0</v>
      </c>
      <c r="AW17" s="106">
        <v>4.0000000000000001E-3</v>
      </c>
      <c r="AX17" s="107" t="s">
        <v>24</v>
      </c>
      <c r="AZ17" s="108" t="s">
        <v>129</v>
      </c>
      <c r="BA17" s="109">
        <v>0</v>
      </c>
      <c r="BB17" s="109">
        <v>0</v>
      </c>
      <c r="BC17" s="109">
        <v>0</v>
      </c>
      <c r="BD17" s="109">
        <v>27</v>
      </c>
      <c r="BE17" s="110" t="s">
        <v>53</v>
      </c>
    </row>
    <row r="18" spans="2:57" ht="15" customHeight="1" x14ac:dyDescent="0.25">
      <c r="B18" s="178"/>
      <c r="C18" s="353" t="s">
        <v>200</v>
      </c>
      <c r="D18" s="238"/>
      <c r="E18" s="354" t="s">
        <v>0</v>
      </c>
      <c r="F18" s="238"/>
      <c r="G18" s="352" t="s">
        <v>1</v>
      </c>
      <c r="H18" s="179"/>
      <c r="I18" s="401" t="s">
        <v>6</v>
      </c>
      <c r="J18" s="401"/>
      <c r="K18" s="401"/>
      <c r="L18" s="179"/>
      <c r="M18" s="305" t="s">
        <v>7</v>
      </c>
      <c r="N18" s="305" t="s">
        <v>5</v>
      </c>
      <c r="O18" s="51"/>
      <c r="P18" s="51"/>
      <c r="X18" s="100" t="s">
        <v>58</v>
      </c>
      <c r="Y18" s="101" t="s">
        <v>60</v>
      </c>
      <c r="Z18" s="102" t="s">
        <v>59</v>
      </c>
      <c r="AA18" s="102" t="s">
        <v>49</v>
      </c>
      <c r="AB18" s="102">
        <v>0.6</v>
      </c>
      <c r="AC18" s="100" t="s">
        <v>40</v>
      </c>
      <c r="AE18" s="103" t="s">
        <v>132</v>
      </c>
      <c r="AF18" s="103">
        <v>27</v>
      </c>
      <c r="AG18" s="103">
        <v>107</v>
      </c>
      <c r="AH18" s="103">
        <v>0.04</v>
      </c>
      <c r="AI18" s="103">
        <v>0.2</v>
      </c>
      <c r="AJ18" s="10" t="s">
        <v>53</v>
      </c>
      <c r="AK18" s="6"/>
      <c r="AM18" s="98" t="s">
        <v>17</v>
      </c>
      <c r="AN18" s="113">
        <v>0.79</v>
      </c>
      <c r="AO18" s="98">
        <v>3.5999999999999999E-3</v>
      </c>
      <c r="AP18" s="98">
        <f t="shared" si="3"/>
        <v>219.44444444444446</v>
      </c>
      <c r="AS18" s="105" t="s">
        <v>130</v>
      </c>
      <c r="AT18" s="106">
        <v>0</v>
      </c>
      <c r="AU18" s="106">
        <v>0</v>
      </c>
      <c r="AV18" s="106">
        <v>0</v>
      </c>
      <c r="AW18" s="106">
        <v>10.199999999999999</v>
      </c>
      <c r="AX18" s="107" t="s">
        <v>53</v>
      </c>
      <c r="AZ18" s="108" t="s">
        <v>25</v>
      </c>
      <c r="BA18" s="109">
        <v>0</v>
      </c>
      <c r="BB18" s="109">
        <v>0</v>
      </c>
      <c r="BC18" s="109">
        <v>0</v>
      </c>
      <c r="BD18" s="109">
        <v>4.0000000000000001E-3</v>
      </c>
      <c r="BE18" s="110" t="s">
        <v>24</v>
      </c>
    </row>
    <row r="19" spans="2:57" ht="15.75" customHeight="1" x14ac:dyDescent="0.25">
      <c r="B19" s="180"/>
      <c r="C19" s="334"/>
      <c r="D19" s="237"/>
      <c r="E19" s="352"/>
      <c r="F19" s="237"/>
      <c r="G19" s="352"/>
      <c r="H19" s="74"/>
      <c r="I19" s="1" t="s">
        <v>329</v>
      </c>
      <c r="J19" s="1" t="s">
        <v>330</v>
      </c>
      <c r="K19" s="1" t="s">
        <v>331</v>
      </c>
      <c r="L19" s="237"/>
      <c r="M19" s="1" t="s">
        <v>332</v>
      </c>
      <c r="N19" s="181" t="s">
        <v>8</v>
      </c>
      <c r="O19" s="84"/>
      <c r="P19" s="84"/>
      <c r="X19" s="100" t="s">
        <v>171</v>
      </c>
      <c r="Y19" s="101" t="s">
        <v>62</v>
      </c>
      <c r="Z19" s="102" t="s">
        <v>61</v>
      </c>
      <c r="AA19" s="102">
        <v>0.02</v>
      </c>
      <c r="AB19" s="102">
        <v>0.2</v>
      </c>
      <c r="AC19" s="100" t="s">
        <v>40</v>
      </c>
      <c r="AE19" s="103" t="s">
        <v>26</v>
      </c>
      <c r="AF19" s="103">
        <v>3.7699999999999997E-2</v>
      </c>
      <c r="AG19" s="103">
        <v>51.9</v>
      </c>
      <c r="AH19" s="103">
        <v>4.0999999999999996</v>
      </c>
      <c r="AI19" s="103">
        <v>0.03</v>
      </c>
      <c r="AJ19" s="10" t="s">
        <v>24</v>
      </c>
      <c r="AK19" s="6"/>
      <c r="AM19" s="98" t="s">
        <v>18</v>
      </c>
      <c r="AN19" s="113">
        <v>0.64</v>
      </c>
      <c r="AO19" s="98">
        <v>3.5999999999999999E-3</v>
      </c>
      <c r="AP19" s="98">
        <f t="shared" si="3"/>
        <v>177.7777777777778</v>
      </c>
      <c r="AS19" s="105" t="s">
        <v>131</v>
      </c>
      <c r="AT19" s="106">
        <v>0</v>
      </c>
      <c r="AU19" s="106">
        <v>0</v>
      </c>
      <c r="AV19" s="106">
        <v>0</v>
      </c>
      <c r="AW19" s="106">
        <v>37.1</v>
      </c>
      <c r="AX19" s="107" t="s">
        <v>53</v>
      </c>
      <c r="AZ19" s="108" t="s">
        <v>130</v>
      </c>
      <c r="BA19" s="109">
        <v>0</v>
      </c>
      <c r="BB19" s="109">
        <v>0</v>
      </c>
      <c r="BC19" s="109">
        <v>0</v>
      </c>
      <c r="BD19" s="109">
        <v>10.199999999999999</v>
      </c>
      <c r="BE19" s="110" t="s">
        <v>53</v>
      </c>
    </row>
    <row r="20" spans="2:57" ht="15" customHeight="1" x14ac:dyDescent="0.25">
      <c r="B20" s="182"/>
      <c r="C20" s="183" t="s">
        <v>119</v>
      </c>
      <c r="D20" s="183"/>
      <c r="E20" s="161" t="s">
        <v>120</v>
      </c>
      <c r="F20" s="161"/>
      <c r="G20" s="161"/>
      <c r="H20" s="160"/>
      <c r="I20" s="160"/>
      <c r="J20" s="160"/>
      <c r="K20" s="160"/>
      <c r="L20" s="160"/>
      <c r="M20" s="160"/>
      <c r="N20" s="184"/>
      <c r="O20" s="71"/>
      <c r="P20" s="71"/>
      <c r="S20" s="11" t="s">
        <v>2</v>
      </c>
      <c r="T20" s="11" t="s">
        <v>3</v>
      </c>
      <c r="U20" s="11" t="s">
        <v>4</v>
      </c>
      <c r="V20" s="11" t="s">
        <v>21</v>
      </c>
      <c r="X20" s="100" t="s">
        <v>138</v>
      </c>
      <c r="Y20" s="101" t="s">
        <v>62</v>
      </c>
      <c r="Z20" s="102" t="s">
        <v>61</v>
      </c>
      <c r="AA20" s="102" t="s">
        <v>88</v>
      </c>
      <c r="AB20" s="102" t="s">
        <v>89</v>
      </c>
      <c r="AC20" s="100" t="s">
        <v>40</v>
      </c>
      <c r="AE20" s="103" t="s">
        <v>27</v>
      </c>
      <c r="AF20" s="103">
        <v>3.7699999999999997E-2</v>
      </c>
      <c r="AG20" s="103">
        <v>51.4</v>
      </c>
      <c r="AH20" s="103">
        <v>0.2</v>
      </c>
      <c r="AI20" s="103">
        <v>0.03</v>
      </c>
      <c r="AJ20" s="10" t="s">
        <v>24</v>
      </c>
      <c r="AK20" s="6"/>
      <c r="AS20" s="105" t="s">
        <v>96</v>
      </c>
      <c r="AT20" s="106">
        <v>0</v>
      </c>
      <c r="AU20" s="106">
        <v>0</v>
      </c>
      <c r="AV20" s="106">
        <v>0</v>
      </c>
      <c r="AW20" s="106">
        <v>31.1</v>
      </c>
      <c r="AX20" s="107" t="s">
        <v>53</v>
      </c>
      <c r="AZ20" s="108" t="s">
        <v>131</v>
      </c>
      <c r="BA20" s="109">
        <v>0</v>
      </c>
      <c r="BB20" s="109">
        <v>0</v>
      </c>
      <c r="BC20" s="109">
        <v>0</v>
      </c>
      <c r="BD20" s="109">
        <v>37.1</v>
      </c>
      <c r="BE20" s="110" t="s">
        <v>53</v>
      </c>
    </row>
    <row r="21" spans="2:57" ht="15" customHeight="1" x14ac:dyDescent="0.25">
      <c r="B21" s="182"/>
      <c r="C21" s="254" t="s">
        <v>129</v>
      </c>
      <c r="D21" s="160"/>
      <c r="E21" s="255">
        <v>1000</v>
      </c>
      <c r="F21" s="161"/>
      <c r="G21" s="162" t="str">
        <f>VLOOKUP(C21,Example!$AE$8:$AJ$62,6,FALSE)</f>
        <v>tonnes</v>
      </c>
      <c r="H21" s="163"/>
      <c r="I21" s="276">
        <f t="shared" ref="I21:K27" si="4">S21*$N21/1000</f>
        <v>2430</v>
      </c>
      <c r="J21" s="276">
        <f t="shared" si="4"/>
        <v>0.81</v>
      </c>
      <c r="K21" s="276">
        <f t="shared" si="4"/>
        <v>5.4</v>
      </c>
      <c r="L21" s="276"/>
      <c r="M21" s="276">
        <f t="shared" ref="M21:M27" si="5">SUM(I21:K21)</f>
        <v>2436.21</v>
      </c>
      <c r="N21" s="277">
        <f t="shared" ref="N21:N27" si="6">V21*E21</f>
        <v>27000</v>
      </c>
      <c r="O21" s="78"/>
      <c r="P21" s="78"/>
      <c r="S21" s="11">
        <f>VLOOKUP(C21,Example!$AE$8:$AJ$62,3,FALSE)</f>
        <v>90</v>
      </c>
      <c r="T21" s="11">
        <f>VLOOKUP(C21,Example!$AE$8:$AJ$62,4,FALSE)</f>
        <v>0.03</v>
      </c>
      <c r="U21" s="11">
        <f>VLOOKUP(C21,Example!$AE$8:$AJ$62,5,FALSE)</f>
        <v>0.2</v>
      </c>
      <c r="V21" s="11">
        <f>VLOOKUP(C21,Example!$AE$8:$AJ$62,2,FALSE)</f>
        <v>27</v>
      </c>
      <c r="X21" s="100" t="s">
        <v>172</v>
      </c>
      <c r="Y21" s="101" t="s">
        <v>64</v>
      </c>
      <c r="Z21" s="102" t="s">
        <v>63</v>
      </c>
      <c r="AA21" s="102" t="s">
        <v>30</v>
      </c>
      <c r="AB21" s="102">
        <v>0.7</v>
      </c>
      <c r="AC21" s="100" t="s">
        <v>40</v>
      </c>
      <c r="AE21" s="103" t="s">
        <v>133</v>
      </c>
      <c r="AF21" s="103">
        <v>37.5</v>
      </c>
      <c r="AG21" s="103">
        <v>81.8</v>
      </c>
      <c r="AH21" s="103">
        <v>0.03</v>
      </c>
      <c r="AI21" s="103">
        <v>0.2</v>
      </c>
      <c r="AJ21" s="10" t="s">
        <v>53</v>
      </c>
      <c r="AK21" s="6"/>
      <c r="AS21" s="105" t="s">
        <v>97</v>
      </c>
      <c r="AT21" s="106">
        <v>0</v>
      </c>
      <c r="AU21" s="106">
        <v>0</v>
      </c>
      <c r="AV21" s="106">
        <v>0</v>
      </c>
      <c r="AW21" s="106">
        <v>22.1</v>
      </c>
      <c r="AX21" s="107" t="s">
        <v>53</v>
      </c>
      <c r="AZ21" s="108" t="s">
        <v>96</v>
      </c>
      <c r="BA21" s="109">
        <v>0</v>
      </c>
      <c r="BB21" s="109">
        <v>0</v>
      </c>
      <c r="BC21" s="109">
        <v>0</v>
      </c>
      <c r="BD21" s="109">
        <v>31.1</v>
      </c>
      <c r="BE21" s="110" t="s">
        <v>53</v>
      </c>
    </row>
    <row r="22" spans="2:57" ht="14.25" customHeight="1" x14ac:dyDescent="0.25">
      <c r="B22" s="182"/>
      <c r="C22" s="254" t="s">
        <v>112</v>
      </c>
      <c r="D22" s="160"/>
      <c r="E22" s="256"/>
      <c r="F22" s="161"/>
      <c r="G22" s="162" t="str">
        <f>VLOOKUP(C22,Example!$AE$8:$AJ$62,6,FALSE)</f>
        <v>-</v>
      </c>
      <c r="H22" s="163"/>
      <c r="I22" s="276">
        <f t="shared" si="4"/>
        <v>0</v>
      </c>
      <c r="J22" s="276">
        <f t="shared" si="4"/>
        <v>0</v>
      </c>
      <c r="K22" s="276">
        <f t="shared" si="4"/>
        <v>0</v>
      </c>
      <c r="L22" s="276"/>
      <c r="M22" s="276">
        <f t="shared" si="5"/>
        <v>0</v>
      </c>
      <c r="N22" s="277">
        <f t="shared" si="6"/>
        <v>0</v>
      </c>
      <c r="O22" s="78"/>
      <c r="P22" s="78"/>
      <c r="S22" s="11">
        <f>VLOOKUP(C22,Example!$AE$8:$AJ$62,3,FALSE)</f>
        <v>0</v>
      </c>
      <c r="T22" s="11">
        <f>VLOOKUP(C22,Example!$AE$8:$AJ$62,4,FALSE)</f>
        <v>0</v>
      </c>
      <c r="U22" s="11">
        <f>VLOOKUP(C22,Example!$AE$8:$AJ$62,5,FALSE)</f>
        <v>0</v>
      </c>
      <c r="V22" s="11">
        <f>VLOOKUP(C22,Example!$AE$8:$AJ$62,2,FALSE)</f>
        <v>0</v>
      </c>
      <c r="X22" s="100" t="s">
        <v>108</v>
      </c>
      <c r="Y22" s="101" t="s">
        <v>68</v>
      </c>
      <c r="Z22" s="102" t="s">
        <v>51</v>
      </c>
      <c r="AA22" s="102">
        <v>0.01</v>
      </c>
      <c r="AB22" s="102" t="s">
        <v>85</v>
      </c>
      <c r="AC22" s="100" t="s">
        <v>40</v>
      </c>
      <c r="AE22" s="103" t="s">
        <v>29</v>
      </c>
      <c r="AF22" s="103">
        <v>1.8100000000000002E-2</v>
      </c>
      <c r="AG22" s="103">
        <v>37</v>
      </c>
      <c r="AH22" s="103">
        <v>0.03</v>
      </c>
      <c r="AI22" s="103">
        <v>0.05</v>
      </c>
      <c r="AJ22" s="10" t="s">
        <v>24</v>
      </c>
      <c r="AK22" s="6"/>
      <c r="AS22" s="105" t="s">
        <v>132</v>
      </c>
      <c r="AT22" s="106">
        <v>0</v>
      </c>
      <c r="AU22" s="106">
        <v>0</v>
      </c>
      <c r="AV22" s="106">
        <v>0</v>
      </c>
      <c r="AW22" s="106">
        <v>27</v>
      </c>
      <c r="AX22" s="107" t="s">
        <v>53</v>
      </c>
      <c r="AZ22" s="108" t="s">
        <v>97</v>
      </c>
      <c r="BA22" s="109">
        <v>0</v>
      </c>
      <c r="BB22" s="109">
        <v>0</v>
      </c>
      <c r="BC22" s="109">
        <v>0</v>
      </c>
      <c r="BD22" s="109">
        <v>22.1</v>
      </c>
      <c r="BE22" s="110" t="s">
        <v>53</v>
      </c>
    </row>
    <row r="23" spans="2:57" ht="15" customHeight="1" x14ac:dyDescent="0.25">
      <c r="B23" s="182"/>
      <c r="C23" s="254" t="s">
        <v>112</v>
      </c>
      <c r="D23" s="160"/>
      <c r="E23" s="256"/>
      <c r="F23" s="161"/>
      <c r="G23" s="162" t="str">
        <f>VLOOKUP(C23,Example!$AE$8:$AJ$62,6,FALSE)</f>
        <v>-</v>
      </c>
      <c r="H23" s="163"/>
      <c r="I23" s="276">
        <f t="shared" si="4"/>
        <v>0</v>
      </c>
      <c r="J23" s="276">
        <f t="shared" si="4"/>
        <v>0</v>
      </c>
      <c r="K23" s="276">
        <f t="shared" si="4"/>
        <v>0</v>
      </c>
      <c r="L23" s="276"/>
      <c r="M23" s="276">
        <f t="shared" si="5"/>
        <v>0</v>
      </c>
      <c r="N23" s="277">
        <f t="shared" si="6"/>
        <v>0</v>
      </c>
      <c r="O23" s="78"/>
      <c r="P23" s="78"/>
      <c r="S23" s="11">
        <f>VLOOKUP(C23,Example!$AE$8:$AJ$62,3,FALSE)</f>
        <v>0</v>
      </c>
      <c r="T23" s="11">
        <f>VLOOKUP(C23,Example!$AE$8:$AJ$62,4,FALSE)</f>
        <v>0</v>
      </c>
      <c r="U23" s="11">
        <f>VLOOKUP(C23,Example!$AE$8:$AJ$62,5,FALSE)</f>
        <v>0</v>
      </c>
      <c r="V23" s="11">
        <f>VLOOKUP(C23,Example!$AE$8:$AJ$62,2,FALSE)</f>
        <v>0</v>
      </c>
      <c r="X23" s="100" t="s">
        <v>109</v>
      </c>
      <c r="Y23" s="101" t="s">
        <v>39</v>
      </c>
      <c r="Z23" s="102" t="s">
        <v>28</v>
      </c>
      <c r="AA23" s="102" t="s">
        <v>46</v>
      </c>
      <c r="AB23" s="102">
        <v>0.3</v>
      </c>
      <c r="AC23" s="100" t="s">
        <v>40</v>
      </c>
      <c r="AE23" s="103" t="s">
        <v>134</v>
      </c>
      <c r="AF23" s="103">
        <v>30</v>
      </c>
      <c r="AG23" s="103">
        <v>91.8</v>
      </c>
      <c r="AH23" s="103">
        <v>0.02</v>
      </c>
      <c r="AI23" s="103">
        <v>0.2</v>
      </c>
      <c r="AJ23" s="10" t="s">
        <v>53</v>
      </c>
      <c r="AK23" s="6"/>
      <c r="AS23" s="105" t="s">
        <v>26</v>
      </c>
      <c r="AT23" s="106">
        <v>0</v>
      </c>
      <c r="AU23" s="106">
        <v>0</v>
      </c>
      <c r="AV23" s="106">
        <v>0</v>
      </c>
      <c r="AW23" s="106">
        <v>3.7699999999999997E-2</v>
      </c>
      <c r="AX23" s="107" t="s">
        <v>24</v>
      </c>
      <c r="AZ23" s="108" t="s">
        <v>132</v>
      </c>
      <c r="BA23" s="109">
        <v>0</v>
      </c>
      <c r="BB23" s="109">
        <v>0</v>
      </c>
      <c r="BC23" s="109">
        <v>0</v>
      </c>
      <c r="BD23" s="109">
        <v>27</v>
      </c>
      <c r="BE23" s="110" t="s">
        <v>53</v>
      </c>
    </row>
    <row r="24" spans="2:57" ht="15" customHeight="1" x14ac:dyDescent="0.25">
      <c r="B24" s="182"/>
      <c r="C24" s="254" t="s">
        <v>112</v>
      </c>
      <c r="D24" s="160"/>
      <c r="E24" s="256"/>
      <c r="F24" s="161"/>
      <c r="G24" s="162" t="str">
        <f>VLOOKUP(C24,Example!$AE$8:$AJ$62,6,FALSE)</f>
        <v>-</v>
      </c>
      <c r="H24" s="163"/>
      <c r="I24" s="276">
        <f t="shared" si="4"/>
        <v>0</v>
      </c>
      <c r="J24" s="276">
        <f t="shared" si="4"/>
        <v>0</v>
      </c>
      <c r="K24" s="276">
        <f t="shared" si="4"/>
        <v>0</v>
      </c>
      <c r="L24" s="276"/>
      <c r="M24" s="276">
        <f t="shared" si="5"/>
        <v>0</v>
      </c>
      <c r="N24" s="277">
        <f t="shared" si="6"/>
        <v>0</v>
      </c>
      <c r="O24" s="78"/>
      <c r="P24" s="78"/>
      <c r="S24" s="11">
        <f>VLOOKUP(C24,Example!$AE$8:$AJ$62,3,FALSE)</f>
        <v>0</v>
      </c>
      <c r="T24" s="11">
        <f>VLOOKUP(C24,Example!$AE$8:$AJ$62,4,FALSE)</f>
        <v>0</v>
      </c>
      <c r="U24" s="11">
        <f>VLOOKUP(C24,Example!$AE$8:$AJ$62,5,FALSE)</f>
        <v>0</v>
      </c>
      <c r="V24" s="11">
        <f>VLOOKUP(C24,Example!$AE$8:$AJ$62,2,FALSE)</f>
        <v>0</v>
      </c>
      <c r="X24" s="100" t="s">
        <v>110</v>
      </c>
      <c r="Y24" s="101" t="s">
        <v>39</v>
      </c>
      <c r="Z24" s="102" t="s">
        <v>28</v>
      </c>
      <c r="AA24" s="102" t="s">
        <v>47</v>
      </c>
      <c r="AB24" s="102">
        <v>0.3</v>
      </c>
      <c r="AC24" s="100" t="s">
        <v>40</v>
      </c>
      <c r="AE24" s="103" t="s">
        <v>167</v>
      </c>
      <c r="AF24" s="103">
        <v>3.9300000000000002E-2</v>
      </c>
      <c r="AG24" s="103">
        <v>51.4</v>
      </c>
      <c r="AH24" s="103">
        <v>0.1</v>
      </c>
      <c r="AI24" s="103">
        <v>0.03</v>
      </c>
      <c r="AJ24" s="10" t="s">
        <v>24</v>
      </c>
      <c r="AK24" s="6"/>
      <c r="AS24" s="105" t="s">
        <v>27</v>
      </c>
      <c r="AT24" s="106">
        <v>0</v>
      </c>
      <c r="AU24" s="106">
        <v>0</v>
      </c>
      <c r="AV24" s="106">
        <v>0</v>
      </c>
      <c r="AW24" s="106">
        <v>3.7699999999999997E-2</v>
      </c>
      <c r="AX24" s="107" t="s">
        <v>24</v>
      </c>
      <c r="AZ24" s="108" t="s">
        <v>26</v>
      </c>
      <c r="BA24" s="109">
        <v>0</v>
      </c>
      <c r="BB24" s="109">
        <v>0</v>
      </c>
      <c r="BC24" s="109">
        <v>0</v>
      </c>
      <c r="BD24" s="109">
        <v>3.7699999999999997E-2</v>
      </c>
      <c r="BE24" s="110" t="s">
        <v>24</v>
      </c>
    </row>
    <row r="25" spans="2:57" ht="15" customHeight="1" x14ac:dyDescent="0.25">
      <c r="B25" s="182"/>
      <c r="C25" s="254" t="s">
        <v>112</v>
      </c>
      <c r="D25" s="160"/>
      <c r="E25" s="256"/>
      <c r="F25" s="161"/>
      <c r="G25" s="162" t="str">
        <f>VLOOKUP(C25,Example!$AE$8:$AJ$62,6,FALSE)</f>
        <v>-</v>
      </c>
      <c r="H25" s="163"/>
      <c r="I25" s="276">
        <f t="shared" si="4"/>
        <v>0</v>
      </c>
      <c r="J25" s="276">
        <f t="shared" si="4"/>
        <v>0</v>
      </c>
      <c r="K25" s="276">
        <f t="shared" si="4"/>
        <v>0</v>
      </c>
      <c r="L25" s="276"/>
      <c r="M25" s="276">
        <f t="shared" si="5"/>
        <v>0</v>
      </c>
      <c r="N25" s="277">
        <f t="shared" si="6"/>
        <v>0</v>
      </c>
      <c r="O25" s="78"/>
      <c r="P25" s="78"/>
      <c r="S25" s="11">
        <f>VLOOKUP(C25,Example!$AE$8:$AJ$62,3,FALSE)</f>
        <v>0</v>
      </c>
      <c r="T25" s="11">
        <f>VLOOKUP(C25,Example!$AE$8:$AJ$62,4,FALSE)</f>
        <v>0</v>
      </c>
      <c r="U25" s="11">
        <f>VLOOKUP(C25,Example!$AE$8:$AJ$62,5,FALSE)</f>
        <v>0</v>
      </c>
      <c r="V25" s="11">
        <f>VLOOKUP(C25,Example!$AE$8:$AJ$62,2,FALSE)</f>
        <v>0</v>
      </c>
      <c r="X25" s="100" t="s">
        <v>116</v>
      </c>
      <c r="Y25" s="101" t="s">
        <v>91</v>
      </c>
      <c r="Z25" s="102" t="s">
        <v>43</v>
      </c>
      <c r="AA25" s="102" t="s">
        <v>90</v>
      </c>
      <c r="AB25" s="102">
        <v>0.3</v>
      </c>
      <c r="AC25" s="100" t="s">
        <v>40</v>
      </c>
      <c r="AE25" s="103" t="s">
        <v>50</v>
      </c>
      <c r="AF25" s="103">
        <v>45.3</v>
      </c>
      <c r="AG25" s="103">
        <v>69.599999999999994</v>
      </c>
      <c r="AH25" s="103">
        <v>0.1</v>
      </c>
      <c r="AI25" s="103">
        <v>0.2</v>
      </c>
      <c r="AJ25" s="10" t="s">
        <v>53</v>
      </c>
      <c r="AK25" s="6"/>
      <c r="AS25" s="105" t="s">
        <v>133</v>
      </c>
      <c r="AT25" s="106">
        <v>0</v>
      </c>
      <c r="AU25" s="106">
        <v>0</v>
      </c>
      <c r="AV25" s="106">
        <v>0</v>
      </c>
      <c r="AW25" s="106">
        <v>37.5</v>
      </c>
      <c r="AX25" s="107" t="s">
        <v>53</v>
      </c>
      <c r="AZ25" s="108" t="s">
        <v>27</v>
      </c>
      <c r="BA25" s="109">
        <v>0</v>
      </c>
      <c r="BB25" s="109">
        <v>0</v>
      </c>
      <c r="BC25" s="109">
        <v>0</v>
      </c>
      <c r="BD25" s="109">
        <v>3.7699999999999997E-2</v>
      </c>
      <c r="BE25" s="110" t="s">
        <v>24</v>
      </c>
    </row>
    <row r="26" spans="2:57" ht="15" customHeight="1" x14ac:dyDescent="0.25">
      <c r="B26" s="182"/>
      <c r="C26" s="254" t="s">
        <v>112</v>
      </c>
      <c r="D26" s="160"/>
      <c r="E26" s="256"/>
      <c r="F26" s="161"/>
      <c r="G26" s="162" t="str">
        <f>VLOOKUP(C26,Example!$AE$8:$AJ$62,6,FALSE)</f>
        <v>-</v>
      </c>
      <c r="H26" s="163"/>
      <c r="I26" s="276">
        <f t="shared" si="4"/>
        <v>0</v>
      </c>
      <c r="J26" s="276">
        <f t="shared" si="4"/>
        <v>0</v>
      </c>
      <c r="K26" s="276">
        <f t="shared" si="4"/>
        <v>0</v>
      </c>
      <c r="L26" s="276"/>
      <c r="M26" s="276">
        <f t="shared" si="5"/>
        <v>0</v>
      </c>
      <c r="N26" s="277">
        <f t="shared" si="6"/>
        <v>0</v>
      </c>
      <c r="O26" s="78"/>
      <c r="P26" s="78"/>
      <c r="S26" s="11">
        <f>VLOOKUP(C26,Example!$AE$8:$AJ$62,3,FALSE)</f>
        <v>0</v>
      </c>
      <c r="T26" s="11">
        <f>VLOOKUP(C26,Example!$AE$8:$AJ$62,4,FALSE)</f>
        <v>0</v>
      </c>
      <c r="U26" s="11">
        <f>VLOOKUP(C26,Example!$AE$8:$AJ$62,5,FALSE)</f>
        <v>0</v>
      </c>
      <c r="V26" s="11">
        <f>VLOOKUP(C26,Example!$AE$8:$AJ$62,2,FALSE)</f>
        <v>0</v>
      </c>
      <c r="X26" s="100" t="s">
        <v>71</v>
      </c>
      <c r="Y26" s="101" t="s">
        <v>91</v>
      </c>
      <c r="Z26" s="102" t="s">
        <v>43</v>
      </c>
      <c r="AA26" s="102">
        <v>0.6</v>
      </c>
      <c r="AB26" s="102" t="s">
        <v>83</v>
      </c>
      <c r="AC26" s="100" t="s">
        <v>40</v>
      </c>
      <c r="AE26" s="103" t="s">
        <v>54</v>
      </c>
      <c r="AF26" s="103">
        <v>38.6</v>
      </c>
      <c r="AG26" s="103">
        <v>69.900000000000006</v>
      </c>
      <c r="AH26" s="103">
        <v>0.1</v>
      </c>
      <c r="AI26" s="103">
        <v>0.2</v>
      </c>
      <c r="AJ26" s="10" t="s">
        <v>40</v>
      </c>
      <c r="AK26" s="6"/>
      <c r="AS26" s="105" t="s">
        <v>29</v>
      </c>
      <c r="AT26" s="106">
        <v>0</v>
      </c>
      <c r="AU26" s="106">
        <v>0</v>
      </c>
      <c r="AV26" s="106">
        <v>0</v>
      </c>
      <c r="AW26" s="106">
        <v>1.8100000000000002E-2</v>
      </c>
      <c r="AX26" s="107" t="s">
        <v>24</v>
      </c>
      <c r="AZ26" s="108" t="s">
        <v>133</v>
      </c>
      <c r="BA26" s="109">
        <v>0</v>
      </c>
      <c r="BB26" s="109">
        <v>0</v>
      </c>
      <c r="BC26" s="109">
        <v>0</v>
      </c>
      <c r="BD26" s="109">
        <v>37.5</v>
      </c>
      <c r="BE26" s="110" t="s">
        <v>53</v>
      </c>
    </row>
    <row r="27" spans="2:57" ht="15" customHeight="1" x14ac:dyDescent="0.25">
      <c r="B27" s="182"/>
      <c r="C27" s="254" t="s">
        <v>112</v>
      </c>
      <c r="D27" s="160"/>
      <c r="E27" s="256"/>
      <c r="F27" s="161"/>
      <c r="G27" s="162" t="str">
        <f>VLOOKUP(C27,Example!$AE$8:$AJ$62,6,FALSE)</f>
        <v>-</v>
      </c>
      <c r="H27" s="163"/>
      <c r="I27" s="276">
        <f t="shared" si="4"/>
        <v>0</v>
      </c>
      <c r="J27" s="276">
        <f t="shared" si="4"/>
        <v>0</v>
      </c>
      <c r="K27" s="276">
        <f t="shared" si="4"/>
        <v>0</v>
      </c>
      <c r="L27" s="276"/>
      <c r="M27" s="276">
        <f t="shared" si="5"/>
        <v>0</v>
      </c>
      <c r="N27" s="277">
        <f t="shared" si="6"/>
        <v>0</v>
      </c>
      <c r="O27" s="78"/>
      <c r="P27" s="78"/>
      <c r="S27" s="11">
        <f>VLOOKUP(C27,Example!$AE$8:$AJ$62,3,FALSE)</f>
        <v>0</v>
      </c>
      <c r="T27" s="11">
        <f>VLOOKUP(C27,Example!$AE$8:$AJ$62,4,FALSE)</f>
        <v>0</v>
      </c>
      <c r="U27" s="11">
        <f>VLOOKUP(C27,Example!$AE$8:$AJ$62,5,FALSE)</f>
        <v>0</v>
      </c>
      <c r="V27" s="11">
        <f>VLOOKUP(C27,Example!$AE$8:$AJ$62,2,FALSE)</f>
        <v>0</v>
      </c>
      <c r="X27" s="116" t="s">
        <v>111</v>
      </c>
      <c r="Y27" s="117" t="s">
        <v>32</v>
      </c>
      <c r="Z27" s="117" t="s">
        <v>28</v>
      </c>
      <c r="AA27" s="117" t="s">
        <v>46</v>
      </c>
      <c r="AB27" s="117">
        <v>0.3</v>
      </c>
      <c r="AC27" s="118" t="s">
        <v>24</v>
      </c>
      <c r="AD27" s="119"/>
      <c r="AE27" s="103" t="s">
        <v>98</v>
      </c>
      <c r="AF27" s="103">
        <v>16.2</v>
      </c>
      <c r="AG27" s="103">
        <v>0</v>
      </c>
      <c r="AH27" s="103">
        <v>0.1</v>
      </c>
      <c r="AI27" s="103">
        <v>1.2</v>
      </c>
      <c r="AJ27" s="10" t="s">
        <v>53</v>
      </c>
      <c r="AK27" s="6"/>
      <c r="AS27" s="105" t="s">
        <v>134</v>
      </c>
      <c r="AT27" s="106">
        <v>0</v>
      </c>
      <c r="AU27" s="106">
        <v>0</v>
      </c>
      <c r="AV27" s="106">
        <v>0</v>
      </c>
      <c r="AW27" s="106">
        <v>30</v>
      </c>
      <c r="AX27" s="107" t="s">
        <v>53</v>
      </c>
      <c r="AZ27" s="108" t="s">
        <v>29</v>
      </c>
      <c r="BA27" s="109">
        <v>0</v>
      </c>
      <c r="BB27" s="109">
        <v>0</v>
      </c>
      <c r="BC27" s="109">
        <v>0</v>
      </c>
      <c r="BD27" s="109">
        <v>1.8100000000000002E-2</v>
      </c>
      <c r="BE27" s="110" t="s">
        <v>24</v>
      </c>
    </row>
    <row r="28" spans="2:57" ht="15" customHeight="1" x14ac:dyDescent="0.25">
      <c r="B28" s="185"/>
      <c r="C28" s="165"/>
      <c r="D28" s="165"/>
      <c r="E28" s="166"/>
      <c r="F28" s="166"/>
      <c r="G28" s="350" t="s">
        <v>328</v>
      </c>
      <c r="H28" s="350"/>
      <c r="I28" s="350"/>
      <c r="J28" s="350"/>
      <c r="K28" s="350"/>
      <c r="L28" s="350"/>
      <c r="M28" s="279">
        <f>SUM(M21:M27)</f>
        <v>2436.21</v>
      </c>
      <c r="N28" s="279">
        <f>SUM(N21:N27)</f>
        <v>27000</v>
      </c>
      <c r="O28" s="7"/>
      <c r="P28" s="7"/>
      <c r="X28" s="116" t="s">
        <v>111</v>
      </c>
      <c r="Y28" s="117" t="s">
        <v>32</v>
      </c>
      <c r="Z28" s="117" t="s">
        <v>28</v>
      </c>
      <c r="AA28" s="117" t="s">
        <v>46</v>
      </c>
      <c r="AB28" s="117">
        <v>0.3</v>
      </c>
      <c r="AC28" s="118" t="s">
        <v>24</v>
      </c>
      <c r="AD28" s="119"/>
      <c r="AE28" s="103" t="s">
        <v>33</v>
      </c>
      <c r="AF28" s="103">
        <v>6.2899999999999998E-2</v>
      </c>
      <c r="AG28" s="103">
        <v>56.5</v>
      </c>
      <c r="AH28" s="103">
        <v>0.03</v>
      </c>
      <c r="AI28" s="103">
        <v>0.03</v>
      </c>
      <c r="AJ28" s="10" t="s">
        <v>24</v>
      </c>
      <c r="AK28" s="6"/>
      <c r="AS28" s="105" t="s">
        <v>31</v>
      </c>
      <c r="AT28" s="106">
        <v>0</v>
      </c>
      <c r="AU28" s="106">
        <v>0</v>
      </c>
      <c r="AV28" s="106">
        <v>0</v>
      </c>
      <c r="AW28" s="106">
        <v>3.9899999999999998E-2</v>
      </c>
      <c r="AX28" s="107" t="s">
        <v>24</v>
      </c>
      <c r="AZ28" s="108" t="s">
        <v>134</v>
      </c>
      <c r="BA28" s="109">
        <v>0</v>
      </c>
      <c r="BB28" s="109">
        <v>0</v>
      </c>
      <c r="BC28" s="109">
        <v>0</v>
      </c>
      <c r="BD28" s="109">
        <v>30</v>
      </c>
      <c r="BE28" s="110" t="s">
        <v>53</v>
      </c>
    </row>
    <row r="29" spans="2:57" ht="15" customHeight="1" x14ac:dyDescent="0.25">
      <c r="E29" s="23"/>
      <c r="F29" s="23"/>
      <c r="G29" s="23"/>
      <c r="O29" s="5"/>
      <c r="P29" s="5"/>
      <c r="X29" s="116"/>
      <c r="Y29" s="120"/>
      <c r="Z29" s="116"/>
      <c r="AA29" s="120"/>
      <c r="AB29" s="120"/>
      <c r="AC29" s="121"/>
      <c r="AD29" s="122"/>
      <c r="AE29" s="103" t="s">
        <v>135</v>
      </c>
      <c r="AF29" s="103">
        <v>23.4</v>
      </c>
      <c r="AG29" s="103">
        <v>0</v>
      </c>
      <c r="AH29" s="103">
        <v>7.0000000000000007E-2</v>
      </c>
      <c r="AI29" s="103">
        <v>0.2</v>
      </c>
      <c r="AJ29" s="10" t="s">
        <v>40</v>
      </c>
      <c r="AK29" s="6"/>
      <c r="AS29" s="105" t="s">
        <v>50</v>
      </c>
      <c r="AT29" s="106">
        <v>0</v>
      </c>
      <c r="AU29" s="106">
        <v>0</v>
      </c>
      <c r="AV29" s="106">
        <v>0</v>
      </c>
      <c r="AW29" s="106" t="s">
        <v>52</v>
      </c>
      <c r="AX29" s="107" t="s">
        <v>53</v>
      </c>
      <c r="AZ29" s="108" t="s">
        <v>31</v>
      </c>
      <c r="BA29" s="109">
        <v>0</v>
      </c>
      <c r="BB29" s="109">
        <v>0</v>
      </c>
      <c r="BC29" s="109">
        <v>0</v>
      </c>
      <c r="BD29" s="109">
        <v>3.9899999999999998E-2</v>
      </c>
      <c r="BE29" s="110" t="s">
        <v>24</v>
      </c>
    </row>
    <row r="30" spans="2:57" ht="15" customHeight="1" x14ac:dyDescent="0.25">
      <c r="B30" s="178"/>
      <c r="C30" s="353" t="s">
        <v>201</v>
      </c>
      <c r="D30" s="238"/>
      <c r="E30" s="354" t="s">
        <v>0</v>
      </c>
      <c r="F30" s="238"/>
      <c r="G30" s="352" t="s">
        <v>1</v>
      </c>
      <c r="H30" s="179"/>
      <c r="I30" s="401" t="s">
        <v>121</v>
      </c>
      <c r="J30" s="401"/>
      <c r="K30" s="401"/>
      <c r="L30" s="179"/>
      <c r="M30" s="305" t="s">
        <v>9</v>
      </c>
      <c r="N30" s="305" t="s">
        <v>5</v>
      </c>
      <c r="O30" s="51"/>
      <c r="P30" s="51"/>
      <c r="X30" s="116"/>
      <c r="Y30" s="120"/>
      <c r="Z30" s="116"/>
      <c r="AA30" s="120"/>
      <c r="AB30" s="120"/>
      <c r="AC30" s="121"/>
      <c r="AD30" s="122"/>
      <c r="AE30" s="103" t="s">
        <v>58</v>
      </c>
      <c r="AF30" s="103">
        <v>39.700000000000003</v>
      </c>
      <c r="AG30" s="103">
        <v>73.599999999999994</v>
      </c>
      <c r="AH30" s="103">
        <v>0.04</v>
      </c>
      <c r="AI30" s="103">
        <v>0.2</v>
      </c>
      <c r="AJ30" s="10" t="s">
        <v>40</v>
      </c>
      <c r="AK30" s="6"/>
      <c r="AS30" s="105" t="s">
        <v>54</v>
      </c>
      <c r="AT30" s="106">
        <v>0</v>
      </c>
      <c r="AU30" s="106">
        <v>0</v>
      </c>
      <c r="AV30" s="106">
        <v>0</v>
      </c>
      <c r="AW30" s="106" t="s">
        <v>56</v>
      </c>
      <c r="AX30" s="107" t="s">
        <v>40</v>
      </c>
      <c r="AZ30" s="108" t="s">
        <v>50</v>
      </c>
      <c r="BA30" s="109">
        <v>0</v>
      </c>
      <c r="BB30" s="109">
        <v>0</v>
      </c>
      <c r="BC30" s="109">
        <v>0</v>
      </c>
      <c r="BD30" s="109" t="s">
        <v>52</v>
      </c>
      <c r="BE30" s="110" t="s">
        <v>53</v>
      </c>
    </row>
    <row r="31" spans="2:57" ht="15" customHeight="1" x14ac:dyDescent="0.25">
      <c r="B31" s="180"/>
      <c r="C31" s="334"/>
      <c r="D31" s="237"/>
      <c r="E31" s="352"/>
      <c r="F31" s="237"/>
      <c r="G31" s="352"/>
      <c r="H31" s="74"/>
      <c r="I31" s="1" t="s">
        <v>20</v>
      </c>
      <c r="J31" s="1"/>
      <c r="K31" s="74"/>
      <c r="L31" s="237"/>
      <c r="M31" s="1" t="s">
        <v>332</v>
      </c>
      <c r="N31" s="181" t="s">
        <v>8</v>
      </c>
      <c r="O31" s="84"/>
      <c r="P31" s="224" t="s">
        <v>125</v>
      </c>
      <c r="S31" s="2" t="s">
        <v>193</v>
      </c>
      <c r="X31" s="116"/>
      <c r="Y31" s="120"/>
      <c r="Z31" s="116"/>
      <c r="AA31" s="120"/>
      <c r="AB31" s="120"/>
      <c r="AC31" s="121"/>
      <c r="AD31" s="122"/>
      <c r="AE31" s="103" t="s">
        <v>138</v>
      </c>
      <c r="AF31" s="103">
        <v>34.200000000000003</v>
      </c>
      <c r="AG31" s="103">
        <v>67.400000000000006</v>
      </c>
      <c r="AH31" s="103">
        <v>0.2</v>
      </c>
      <c r="AI31" s="103">
        <v>0.2</v>
      </c>
      <c r="AJ31" s="10" t="s">
        <v>40</v>
      </c>
      <c r="AK31" s="6"/>
      <c r="AS31" s="105" t="s">
        <v>98</v>
      </c>
      <c r="AT31" s="106">
        <v>0</v>
      </c>
      <c r="AU31" s="106">
        <v>0</v>
      </c>
      <c r="AV31" s="106">
        <v>0</v>
      </c>
      <c r="AW31" s="106" t="s">
        <v>99</v>
      </c>
      <c r="AX31" s="107" t="s">
        <v>53</v>
      </c>
      <c r="AZ31" s="108" t="s">
        <v>54</v>
      </c>
      <c r="BA31" s="109">
        <v>0</v>
      </c>
      <c r="BB31" s="109">
        <v>0</v>
      </c>
      <c r="BC31" s="109">
        <v>0</v>
      </c>
      <c r="BD31" s="109" t="s">
        <v>56</v>
      </c>
      <c r="BE31" s="110" t="s">
        <v>40</v>
      </c>
    </row>
    <row r="32" spans="2:57" ht="15" customHeight="1" x14ac:dyDescent="0.25">
      <c r="B32" s="182"/>
      <c r="C32" s="183" t="s">
        <v>118</v>
      </c>
      <c r="D32" s="183"/>
      <c r="E32" s="161" t="s">
        <v>120</v>
      </c>
      <c r="F32" s="161"/>
      <c r="G32" s="161"/>
      <c r="H32" s="160"/>
      <c r="I32" s="160"/>
      <c r="J32" s="160"/>
      <c r="K32" s="160"/>
      <c r="L32" s="160"/>
      <c r="M32" s="160"/>
      <c r="N32" s="184"/>
      <c r="O32" s="71"/>
      <c r="P32" s="71"/>
      <c r="S32" s="1" t="s">
        <v>21</v>
      </c>
      <c r="X32" s="116"/>
      <c r="Y32" s="120"/>
      <c r="Z32" s="116"/>
      <c r="AA32" s="120"/>
      <c r="AB32" s="120"/>
      <c r="AC32" s="121"/>
      <c r="AD32" s="122"/>
      <c r="AE32" s="103" t="s">
        <v>169</v>
      </c>
      <c r="AF32" s="103">
        <v>33.1</v>
      </c>
      <c r="AG32" s="103">
        <v>67</v>
      </c>
      <c r="AH32" s="103">
        <v>0.2</v>
      </c>
      <c r="AI32" s="103">
        <v>0.2</v>
      </c>
      <c r="AJ32" s="10" t="s">
        <v>40</v>
      </c>
      <c r="AK32" s="6"/>
      <c r="AS32" s="11" t="s">
        <v>183</v>
      </c>
      <c r="AT32" s="11">
        <v>0</v>
      </c>
      <c r="AU32" s="11">
        <v>0</v>
      </c>
      <c r="AV32" s="11">
        <v>0</v>
      </c>
      <c r="AW32" s="11">
        <v>1</v>
      </c>
      <c r="AX32" s="11" t="s">
        <v>125</v>
      </c>
      <c r="AZ32" s="108" t="s">
        <v>98</v>
      </c>
      <c r="BA32" s="109">
        <v>0</v>
      </c>
      <c r="BB32" s="109">
        <v>0</v>
      </c>
      <c r="BC32" s="109">
        <v>0</v>
      </c>
      <c r="BD32" s="109" t="s">
        <v>99</v>
      </c>
      <c r="BE32" s="110" t="s">
        <v>53</v>
      </c>
    </row>
    <row r="33" spans="2:57" ht="15" customHeight="1" x14ac:dyDescent="0.25">
      <c r="B33" s="182"/>
      <c r="C33" s="254" t="s">
        <v>10</v>
      </c>
      <c r="D33" s="160"/>
      <c r="E33" s="255">
        <v>1000000</v>
      </c>
      <c r="F33" s="161"/>
      <c r="G33" s="162" t="s">
        <v>23</v>
      </c>
      <c r="H33" s="174"/>
      <c r="I33" s="251">
        <f>VLOOKUP(C33,Example!$AM$10:$AN$19,2,FALSE)</f>
        <v>0.83</v>
      </c>
      <c r="J33" s="402" t="str">
        <f>IF(C33="Not purchased from the main grid","You can enter a custom factor for EF","")</f>
        <v/>
      </c>
      <c r="K33" s="402"/>
      <c r="L33" s="402"/>
      <c r="M33" s="276">
        <f>E33*I33/1000</f>
        <v>830</v>
      </c>
      <c r="N33" s="277">
        <f>E33*S34</f>
        <v>3600</v>
      </c>
      <c r="O33" s="78"/>
      <c r="P33" s="78"/>
      <c r="S33" s="3"/>
      <c r="X33" s="116"/>
      <c r="Y33" s="120"/>
      <c r="Z33" s="116"/>
      <c r="AA33" s="120"/>
      <c r="AB33" s="120"/>
      <c r="AC33" s="121"/>
      <c r="AD33" s="122"/>
      <c r="AE33" s="103" t="s">
        <v>100</v>
      </c>
      <c r="AF33" s="103">
        <v>10.4</v>
      </c>
      <c r="AG33" s="103">
        <v>0</v>
      </c>
      <c r="AH33" s="103">
        <v>0.1</v>
      </c>
      <c r="AI33" s="103">
        <v>1.2</v>
      </c>
      <c r="AJ33" s="10" t="s">
        <v>53</v>
      </c>
      <c r="AK33" s="6"/>
      <c r="AS33" s="105" t="s">
        <v>33</v>
      </c>
      <c r="AT33" s="106">
        <v>0</v>
      </c>
      <c r="AU33" s="106">
        <v>0</v>
      </c>
      <c r="AV33" s="106">
        <v>0</v>
      </c>
      <c r="AW33" s="106" t="s">
        <v>34</v>
      </c>
      <c r="AX33" s="107" t="s">
        <v>24</v>
      </c>
      <c r="AZ33" s="108" t="s">
        <v>33</v>
      </c>
      <c r="BA33" s="109">
        <v>0</v>
      </c>
      <c r="BB33" s="109">
        <v>0</v>
      </c>
      <c r="BC33" s="109">
        <v>0</v>
      </c>
      <c r="BD33" s="109" t="s">
        <v>34</v>
      </c>
      <c r="BE33" s="110" t="s">
        <v>24</v>
      </c>
    </row>
    <row r="34" spans="2:57" ht="15.75" customHeight="1" x14ac:dyDescent="0.25">
      <c r="B34" s="182"/>
      <c r="C34" s="257" t="s">
        <v>18</v>
      </c>
      <c r="D34" s="160"/>
      <c r="E34" s="258">
        <v>277.77777780000002</v>
      </c>
      <c r="F34" s="161"/>
      <c r="G34" s="162" t="s">
        <v>23</v>
      </c>
      <c r="H34" s="174"/>
      <c r="I34" s="251">
        <f>VLOOKUP(C34,Example!$AM$10:$AN$19,2,FALSE)</f>
        <v>0.64</v>
      </c>
      <c r="J34" s="349" t="str">
        <f>IF(C34="Not purchased from the main grid","You can enter a custom factor for EF","")</f>
        <v>You can enter a custom factor for EF</v>
      </c>
      <c r="K34" s="349"/>
      <c r="L34" s="349"/>
      <c r="M34" s="276">
        <f>E34*I34/1000</f>
        <v>0.17777777779200002</v>
      </c>
      <c r="N34" s="277">
        <f>E34*S35</f>
        <v>1.00000000008</v>
      </c>
      <c r="O34" s="78"/>
      <c r="P34" s="78"/>
      <c r="S34" s="4">
        <f>VLOOKUP(C33,Example!$AM$10:$AO$19,3,FALSE)</f>
        <v>3.5999999999999999E-3</v>
      </c>
      <c r="AE34" s="103" t="s">
        <v>65</v>
      </c>
      <c r="AF34" s="103">
        <v>37.299999999999997</v>
      </c>
      <c r="AG34" s="103">
        <v>69.5</v>
      </c>
      <c r="AH34" s="103">
        <v>0.03</v>
      </c>
      <c r="AI34" s="103">
        <v>0.2</v>
      </c>
      <c r="AJ34" s="10" t="s">
        <v>40</v>
      </c>
      <c r="AK34" s="6"/>
      <c r="AS34" s="105" t="s">
        <v>135</v>
      </c>
      <c r="AT34" s="106">
        <v>0</v>
      </c>
      <c r="AU34" s="106">
        <v>0</v>
      </c>
      <c r="AV34" s="106">
        <v>0</v>
      </c>
      <c r="AW34" s="106" t="s">
        <v>57</v>
      </c>
      <c r="AX34" s="107" t="s">
        <v>40</v>
      </c>
      <c r="AZ34" s="108" t="s">
        <v>135</v>
      </c>
      <c r="BA34" s="109">
        <v>0</v>
      </c>
      <c r="BB34" s="109">
        <v>0</v>
      </c>
      <c r="BC34" s="109">
        <v>0</v>
      </c>
      <c r="BD34" s="109" t="s">
        <v>57</v>
      </c>
      <c r="BE34" s="110" t="s">
        <v>40</v>
      </c>
    </row>
    <row r="35" spans="2:57" ht="16.5" customHeight="1" x14ac:dyDescent="0.25">
      <c r="B35" s="185"/>
      <c r="C35" s="165"/>
      <c r="D35" s="165"/>
      <c r="E35" s="166"/>
      <c r="F35" s="166"/>
      <c r="G35" s="350" t="s">
        <v>333</v>
      </c>
      <c r="H35" s="350"/>
      <c r="I35" s="350"/>
      <c r="J35" s="350"/>
      <c r="K35" s="350"/>
      <c r="L35" s="350"/>
      <c r="M35" s="279">
        <f>SUM(M33:M34)</f>
        <v>830.17777777779202</v>
      </c>
      <c r="N35" s="279">
        <f>SUM(N33:N34)</f>
        <v>3601.00000000008</v>
      </c>
      <c r="O35" s="7"/>
      <c r="P35" s="7"/>
      <c r="S35" s="4">
        <f>VLOOKUP(C34,Example!$AM$10:$AO$19,3,FALSE)</f>
        <v>3.5999999999999999E-3</v>
      </c>
      <c r="X35" s="2" t="s">
        <v>163</v>
      </c>
      <c r="AE35" s="103" t="s">
        <v>166</v>
      </c>
      <c r="AF35" s="103">
        <v>26.3</v>
      </c>
      <c r="AG35" s="103">
        <v>81.599999999999994</v>
      </c>
      <c r="AH35" s="103">
        <v>0.02</v>
      </c>
      <c r="AI35" s="103">
        <v>0.2</v>
      </c>
      <c r="AJ35" s="10" t="s">
        <v>53</v>
      </c>
      <c r="AK35" s="6"/>
      <c r="AS35" s="105" t="s">
        <v>136</v>
      </c>
      <c r="AT35" s="106">
        <v>0</v>
      </c>
      <c r="AU35" s="106">
        <v>0</v>
      </c>
      <c r="AV35" s="106">
        <v>0</v>
      </c>
      <c r="AW35" s="106" t="s">
        <v>137</v>
      </c>
      <c r="AX35" s="107" t="s">
        <v>53</v>
      </c>
      <c r="AZ35" s="108" t="s">
        <v>136</v>
      </c>
      <c r="BA35" s="109">
        <v>0</v>
      </c>
      <c r="BB35" s="109">
        <v>0</v>
      </c>
      <c r="BC35" s="109">
        <v>0</v>
      </c>
      <c r="BD35" s="109" t="s">
        <v>137</v>
      </c>
      <c r="BE35" s="110" t="s">
        <v>53</v>
      </c>
    </row>
    <row r="36" spans="2:57" ht="15" customHeight="1" x14ac:dyDescent="0.25">
      <c r="E36" s="23"/>
      <c r="F36" s="23"/>
      <c r="G36" s="188"/>
      <c r="H36" s="188"/>
      <c r="I36" s="188"/>
      <c r="J36" s="188"/>
      <c r="K36" s="188"/>
      <c r="L36" s="188"/>
      <c r="M36" s="27"/>
      <c r="N36" s="27"/>
      <c r="O36" s="7"/>
      <c r="P36" s="7"/>
      <c r="AE36" s="103" t="s">
        <v>142</v>
      </c>
      <c r="AF36" s="103">
        <v>37.5</v>
      </c>
      <c r="AG36" s="103">
        <v>68.900000000000006</v>
      </c>
      <c r="AH36" s="103">
        <v>0</v>
      </c>
      <c r="AI36" s="103">
        <v>0.2</v>
      </c>
      <c r="AJ36" s="10" t="s">
        <v>40</v>
      </c>
      <c r="AK36" s="6"/>
      <c r="AS36" s="105" t="s">
        <v>58</v>
      </c>
      <c r="AT36" s="106">
        <v>0</v>
      </c>
      <c r="AU36" s="106">
        <v>0</v>
      </c>
      <c r="AV36" s="106">
        <v>0</v>
      </c>
      <c r="AW36" s="106" t="s">
        <v>60</v>
      </c>
      <c r="AX36" s="107" t="s">
        <v>40</v>
      </c>
      <c r="AZ36" s="108" t="s">
        <v>58</v>
      </c>
      <c r="BA36" s="109">
        <v>0</v>
      </c>
      <c r="BB36" s="109">
        <v>0</v>
      </c>
      <c r="BC36" s="109">
        <v>0</v>
      </c>
      <c r="BD36" s="109" t="s">
        <v>60</v>
      </c>
      <c r="BE36" s="110" t="s">
        <v>40</v>
      </c>
    </row>
    <row r="37" spans="2:57" ht="15" customHeight="1" x14ac:dyDescent="0.25">
      <c r="B37" s="178"/>
      <c r="C37" s="353" t="s">
        <v>158</v>
      </c>
      <c r="D37" s="238"/>
      <c r="E37" s="354" t="s">
        <v>0</v>
      </c>
      <c r="F37" s="238"/>
      <c r="G37" s="352" t="s">
        <v>1</v>
      </c>
      <c r="H37" s="179"/>
      <c r="I37" s="355"/>
      <c r="J37" s="355"/>
      <c r="K37" s="355"/>
      <c r="L37" s="179"/>
      <c r="M37" s="238"/>
      <c r="N37" s="305" t="s">
        <v>5</v>
      </c>
      <c r="O37" s="51"/>
      <c r="P37" s="51"/>
      <c r="AE37" s="103" t="s">
        <v>143</v>
      </c>
      <c r="AF37" s="103">
        <v>36.799999999999997</v>
      </c>
      <c r="AG37" s="103">
        <v>69.599999999999994</v>
      </c>
      <c r="AH37" s="103">
        <v>0.02</v>
      </c>
      <c r="AI37" s="103">
        <v>0.2</v>
      </c>
      <c r="AJ37" s="10" t="s">
        <v>40</v>
      </c>
      <c r="AK37" s="6"/>
      <c r="AS37" s="105" t="s">
        <v>35</v>
      </c>
      <c r="AT37" s="106">
        <v>0</v>
      </c>
      <c r="AU37" s="106">
        <v>0</v>
      </c>
      <c r="AV37" s="106">
        <v>0</v>
      </c>
      <c r="AW37" s="106" t="s">
        <v>32</v>
      </c>
      <c r="AX37" s="107" t="s">
        <v>24</v>
      </c>
      <c r="AZ37" s="108" t="s">
        <v>35</v>
      </c>
      <c r="BA37" s="109">
        <v>0</v>
      </c>
      <c r="BB37" s="109">
        <v>0</v>
      </c>
      <c r="BC37" s="109">
        <v>0</v>
      </c>
      <c r="BD37" s="109" t="s">
        <v>32</v>
      </c>
      <c r="BE37" s="110" t="s">
        <v>24</v>
      </c>
    </row>
    <row r="38" spans="2:57" ht="15" customHeight="1" x14ac:dyDescent="0.25">
      <c r="B38" s="180"/>
      <c r="C38" s="334"/>
      <c r="D38" s="237"/>
      <c r="E38" s="352"/>
      <c r="F38" s="237"/>
      <c r="G38" s="352"/>
      <c r="H38" s="74"/>
      <c r="I38" s="1"/>
      <c r="J38" s="1"/>
      <c r="K38" s="74"/>
      <c r="L38" s="237"/>
      <c r="M38" s="1"/>
      <c r="N38" s="181" t="s">
        <v>8</v>
      </c>
      <c r="O38" s="84"/>
      <c r="P38" s="84"/>
      <c r="AE38" s="103" t="s">
        <v>36</v>
      </c>
      <c r="AF38" s="103">
        <v>3.7699999999999997E-2</v>
      </c>
      <c r="AG38" s="103">
        <v>0</v>
      </c>
      <c r="AH38" s="103">
        <v>4.8</v>
      </c>
      <c r="AI38" s="103">
        <v>0.03</v>
      </c>
      <c r="AJ38" s="10" t="s">
        <v>24</v>
      </c>
      <c r="AK38" s="6"/>
      <c r="AS38" s="105" t="s">
        <v>138</v>
      </c>
      <c r="AT38" s="106">
        <v>0</v>
      </c>
      <c r="AU38" s="106">
        <v>0</v>
      </c>
      <c r="AV38" s="106">
        <v>0</v>
      </c>
      <c r="AW38" s="106" t="s">
        <v>62</v>
      </c>
      <c r="AX38" s="107" t="s">
        <v>40</v>
      </c>
      <c r="AZ38" s="108" t="s">
        <v>138</v>
      </c>
      <c r="BA38" s="109">
        <v>0</v>
      </c>
      <c r="BB38" s="109">
        <v>0</v>
      </c>
      <c r="BC38" s="109">
        <v>0</v>
      </c>
      <c r="BD38" s="109" t="s">
        <v>62</v>
      </c>
      <c r="BE38" s="110" t="s">
        <v>40</v>
      </c>
    </row>
    <row r="39" spans="2:57" ht="15" customHeight="1" x14ac:dyDescent="0.25">
      <c r="B39" s="182"/>
      <c r="C39" s="183" t="s">
        <v>196</v>
      </c>
      <c r="D39" s="183"/>
      <c r="E39" s="161" t="s">
        <v>120</v>
      </c>
      <c r="F39" s="161"/>
      <c r="G39" s="161"/>
      <c r="H39" s="160"/>
      <c r="I39" s="160"/>
      <c r="J39" s="160"/>
      <c r="K39" s="160"/>
      <c r="L39" s="160"/>
      <c r="M39" s="160"/>
      <c r="N39" s="184"/>
      <c r="O39" s="71"/>
      <c r="P39" s="71"/>
      <c r="S39" s="11" t="s">
        <v>2</v>
      </c>
      <c r="T39" s="11" t="s">
        <v>3</v>
      </c>
      <c r="U39" s="11" t="s">
        <v>4</v>
      </c>
      <c r="V39" s="11" t="s">
        <v>21</v>
      </c>
      <c r="AE39" s="103" t="s">
        <v>69</v>
      </c>
      <c r="AF39" s="103">
        <v>34.4</v>
      </c>
      <c r="AG39" s="103">
        <v>69.7</v>
      </c>
      <c r="AH39" s="103">
        <v>0.02</v>
      </c>
      <c r="AI39" s="103">
        <v>0.2</v>
      </c>
      <c r="AJ39" s="10" t="s">
        <v>40</v>
      </c>
      <c r="AK39" s="6"/>
      <c r="AS39" s="105" t="s">
        <v>139</v>
      </c>
      <c r="AT39" s="106">
        <v>0</v>
      </c>
      <c r="AU39" s="106">
        <v>0</v>
      </c>
      <c r="AV39" s="106">
        <v>0</v>
      </c>
      <c r="AW39" s="106" t="s">
        <v>64</v>
      </c>
      <c r="AX39" s="107" t="s">
        <v>40</v>
      </c>
      <c r="AZ39" s="108" t="s">
        <v>139</v>
      </c>
      <c r="BA39" s="109">
        <v>0</v>
      </c>
      <c r="BB39" s="109">
        <v>0</v>
      </c>
      <c r="BC39" s="109">
        <v>0</v>
      </c>
      <c r="BD39" s="109" t="s">
        <v>64</v>
      </c>
      <c r="BE39" s="110" t="s">
        <v>40</v>
      </c>
    </row>
    <row r="40" spans="2:57" ht="15" customHeight="1" x14ac:dyDescent="0.25">
      <c r="B40" s="182"/>
      <c r="C40" s="254" t="s">
        <v>41</v>
      </c>
      <c r="D40" s="160"/>
      <c r="E40" s="255">
        <v>10000</v>
      </c>
      <c r="F40" s="161"/>
      <c r="G40" s="162" t="str">
        <f>VLOOKUP(C40,Example!$AZ$8:$BE$78,6,FALSE)</f>
        <v>m3</v>
      </c>
      <c r="H40" s="174"/>
      <c r="I40" s="251"/>
      <c r="J40" s="251"/>
      <c r="K40" s="189"/>
      <c r="L40" s="251"/>
      <c r="M40" s="251">
        <f>E40*I40/1000</f>
        <v>0</v>
      </c>
      <c r="N40" s="277">
        <f>V40*E40</f>
        <v>393</v>
      </c>
      <c r="O40" s="78"/>
      <c r="P40" s="78"/>
      <c r="S40" s="11"/>
      <c r="T40" s="11"/>
      <c r="U40" s="11"/>
      <c r="V40" s="11" t="str">
        <f>VLOOKUP(C40,Example!$AZ$8:$BE$78,5,FALSE)</f>
        <v>0.0393</v>
      </c>
      <c r="AE40" s="103" t="s">
        <v>38</v>
      </c>
      <c r="AF40" s="103">
        <v>25.3</v>
      </c>
      <c r="AG40" s="103">
        <v>51.4</v>
      </c>
      <c r="AH40" s="103">
        <v>0.1</v>
      </c>
      <c r="AI40" s="103">
        <v>0.03</v>
      </c>
      <c r="AJ40" s="10" t="s">
        <v>40</v>
      </c>
      <c r="AK40" s="6"/>
      <c r="AS40" s="105" t="s">
        <v>100</v>
      </c>
      <c r="AT40" s="106">
        <v>0</v>
      </c>
      <c r="AU40" s="106">
        <v>0</v>
      </c>
      <c r="AV40" s="106">
        <v>0</v>
      </c>
      <c r="AW40" s="106" t="s">
        <v>101</v>
      </c>
      <c r="AX40" s="107" t="s">
        <v>53</v>
      </c>
      <c r="AZ40" s="108" t="s">
        <v>100</v>
      </c>
      <c r="BA40" s="109">
        <v>0</v>
      </c>
      <c r="BB40" s="109">
        <v>0</v>
      </c>
      <c r="BC40" s="109">
        <v>0</v>
      </c>
      <c r="BD40" s="109" t="s">
        <v>101</v>
      </c>
      <c r="BE40" s="110" t="s">
        <v>53</v>
      </c>
    </row>
    <row r="41" spans="2:57" ht="15" customHeight="1" x14ac:dyDescent="0.25">
      <c r="B41" s="182"/>
      <c r="C41" s="254" t="s">
        <v>112</v>
      </c>
      <c r="D41" s="160"/>
      <c r="E41" s="259"/>
      <c r="F41" s="161"/>
      <c r="G41" s="162" t="str">
        <f>VLOOKUP(C41,Example!$AZ$8:$BE$78,6,FALSE)</f>
        <v>-</v>
      </c>
      <c r="H41" s="174"/>
      <c r="I41" s="251"/>
      <c r="J41" s="251"/>
      <c r="K41" s="189"/>
      <c r="L41" s="251"/>
      <c r="M41" s="251"/>
      <c r="N41" s="277">
        <f>V41*E41</f>
        <v>0</v>
      </c>
      <c r="O41" s="78"/>
      <c r="P41" s="78"/>
      <c r="S41" s="11"/>
      <c r="T41" s="11"/>
      <c r="U41" s="11"/>
      <c r="V41" s="11">
        <f>VLOOKUP(C41,Example!$AZ$8:$BE$78,5,FALSE)</f>
        <v>0</v>
      </c>
      <c r="AE41" s="103" t="s">
        <v>71</v>
      </c>
      <c r="AF41" s="103">
        <v>25.7</v>
      </c>
      <c r="AG41" s="103">
        <v>60.2</v>
      </c>
      <c r="AH41" s="103">
        <v>0.2</v>
      </c>
      <c r="AI41" s="103">
        <v>0.2</v>
      </c>
      <c r="AJ41" s="10" t="s">
        <v>40</v>
      </c>
      <c r="AK41" s="6"/>
      <c r="AS41" s="105" t="s">
        <v>65</v>
      </c>
      <c r="AT41" s="106">
        <v>0</v>
      </c>
      <c r="AU41" s="106">
        <v>0</v>
      </c>
      <c r="AV41" s="106">
        <v>0</v>
      </c>
      <c r="AW41" s="106" t="s">
        <v>66</v>
      </c>
      <c r="AX41" s="107" t="s">
        <v>40</v>
      </c>
      <c r="AZ41" s="108" t="s">
        <v>65</v>
      </c>
      <c r="BA41" s="109">
        <v>0</v>
      </c>
      <c r="BB41" s="109">
        <v>0</v>
      </c>
      <c r="BC41" s="109">
        <v>0</v>
      </c>
      <c r="BD41" s="109" t="s">
        <v>66</v>
      </c>
      <c r="BE41" s="110" t="s">
        <v>40</v>
      </c>
    </row>
    <row r="42" spans="2:57" ht="15" customHeight="1" x14ac:dyDescent="0.25">
      <c r="B42" s="182"/>
      <c r="C42" s="254" t="s">
        <v>112</v>
      </c>
      <c r="D42" s="160"/>
      <c r="E42" s="258"/>
      <c r="F42" s="161"/>
      <c r="G42" s="162" t="str">
        <f>VLOOKUP(C42,Example!$AZ$8:$BE$78,6,FALSE)</f>
        <v>-</v>
      </c>
      <c r="H42" s="174"/>
      <c r="I42" s="251"/>
      <c r="J42" s="349"/>
      <c r="K42" s="349"/>
      <c r="L42" s="251"/>
      <c r="M42" s="251">
        <f>E42*I42/1000</f>
        <v>0</v>
      </c>
      <c r="N42" s="277">
        <f>V42*E42</f>
        <v>0</v>
      </c>
      <c r="O42" s="78"/>
      <c r="P42" s="78"/>
      <c r="S42" s="11"/>
      <c r="T42" s="11"/>
      <c r="U42" s="11"/>
      <c r="V42" s="11">
        <f>VLOOKUP(C42,Example!$AZ$8:$BE$78,5,FALSE)</f>
        <v>0</v>
      </c>
      <c r="AE42" s="103" t="s">
        <v>73</v>
      </c>
      <c r="AF42" s="103">
        <v>31.4</v>
      </c>
      <c r="AG42" s="103">
        <v>69.8</v>
      </c>
      <c r="AH42" s="103">
        <v>0</v>
      </c>
      <c r="AI42" s="103">
        <v>0.01</v>
      </c>
      <c r="AJ42" s="10" t="s">
        <v>40</v>
      </c>
      <c r="AK42" s="6"/>
      <c r="AS42" s="105" t="s">
        <v>140</v>
      </c>
      <c r="AT42" s="106">
        <v>0</v>
      </c>
      <c r="AU42" s="106">
        <v>0</v>
      </c>
      <c r="AV42" s="106">
        <v>0</v>
      </c>
      <c r="AW42" s="106" t="s">
        <v>141</v>
      </c>
      <c r="AX42" s="107" t="s">
        <v>53</v>
      </c>
      <c r="AZ42" s="108" t="s">
        <v>140</v>
      </c>
      <c r="BA42" s="109">
        <v>0</v>
      </c>
      <c r="BB42" s="109">
        <v>0</v>
      </c>
      <c r="BC42" s="109">
        <v>0</v>
      </c>
      <c r="BD42" s="109" t="s">
        <v>141</v>
      </c>
      <c r="BE42" s="110" t="s">
        <v>53</v>
      </c>
    </row>
    <row r="43" spans="2:57" ht="15" customHeight="1" x14ac:dyDescent="0.25">
      <c r="B43" s="185"/>
      <c r="C43" s="165"/>
      <c r="D43" s="165"/>
      <c r="E43" s="166"/>
      <c r="F43" s="166"/>
      <c r="G43" s="350" t="s">
        <v>173</v>
      </c>
      <c r="H43" s="350"/>
      <c r="I43" s="350"/>
      <c r="J43" s="350"/>
      <c r="K43" s="350"/>
      <c r="L43" s="350"/>
      <c r="M43" s="191"/>
      <c r="N43" s="279">
        <f>SUM(N40:N42)</f>
        <v>393</v>
      </c>
      <c r="O43" s="7"/>
      <c r="P43" s="7"/>
      <c r="AE43" s="103" t="s">
        <v>41</v>
      </c>
      <c r="AF43" s="103">
        <v>3.9300000000000002E-2</v>
      </c>
      <c r="AG43" s="103">
        <v>51.4</v>
      </c>
      <c r="AH43" s="103">
        <v>0.1</v>
      </c>
      <c r="AI43" s="103">
        <v>0.03</v>
      </c>
      <c r="AJ43" s="10" t="s">
        <v>24</v>
      </c>
      <c r="AK43" s="6"/>
      <c r="AS43" s="105" t="s">
        <v>142</v>
      </c>
      <c r="AT43" s="106">
        <v>0</v>
      </c>
      <c r="AU43" s="106">
        <v>0</v>
      </c>
      <c r="AV43" s="106">
        <v>0</v>
      </c>
      <c r="AW43" s="106" t="s">
        <v>67</v>
      </c>
      <c r="AX43" s="107" t="s">
        <v>40</v>
      </c>
      <c r="AZ43" s="108" t="s">
        <v>142</v>
      </c>
      <c r="BA43" s="109">
        <v>0</v>
      </c>
      <c r="BB43" s="109">
        <v>0</v>
      </c>
      <c r="BC43" s="109">
        <v>0</v>
      </c>
      <c r="BD43" s="109" t="s">
        <v>67</v>
      </c>
      <c r="BE43" s="110" t="s">
        <v>40</v>
      </c>
    </row>
    <row r="44" spans="2:57" ht="15" customHeight="1" x14ac:dyDescent="0.25">
      <c r="E44" s="23"/>
      <c r="F44" s="23"/>
      <c r="G44" s="188"/>
      <c r="H44" s="188"/>
      <c r="I44" s="188"/>
      <c r="J44" s="188"/>
      <c r="K44" s="188"/>
      <c r="L44" s="188"/>
      <c r="M44" s="27"/>
      <c r="N44" s="27"/>
      <c r="O44" s="7"/>
      <c r="P44" s="7"/>
      <c r="AE44" s="103" t="s">
        <v>165</v>
      </c>
      <c r="AF44" s="103">
        <v>10.5</v>
      </c>
      <c r="AG44" s="103">
        <v>87.1</v>
      </c>
      <c r="AH44" s="103">
        <v>0.7</v>
      </c>
      <c r="AI44" s="103">
        <v>1.1000000000000001</v>
      </c>
      <c r="AJ44" s="10" t="s">
        <v>53</v>
      </c>
      <c r="AK44" s="6"/>
      <c r="AS44" s="105" t="s">
        <v>143</v>
      </c>
      <c r="AT44" s="106">
        <v>0</v>
      </c>
      <c r="AU44" s="106">
        <v>0</v>
      </c>
      <c r="AV44" s="106">
        <v>0</v>
      </c>
      <c r="AW44" s="106" t="s">
        <v>68</v>
      </c>
      <c r="AX44" s="107" t="s">
        <v>40</v>
      </c>
      <c r="AZ44" s="108" t="s">
        <v>143</v>
      </c>
      <c r="BA44" s="109">
        <v>0</v>
      </c>
      <c r="BB44" s="109">
        <v>0</v>
      </c>
      <c r="BC44" s="109">
        <v>0</v>
      </c>
      <c r="BD44" s="109" t="s">
        <v>68</v>
      </c>
      <c r="BE44" s="110" t="s">
        <v>40</v>
      </c>
    </row>
    <row r="45" spans="2:57" ht="15" customHeight="1" x14ac:dyDescent="0.25">
      <c r="B45" s="178"/>
      <c r="C45" s="353" t="s">
        <v>202</v>
      </c>
      <c r="D45" s="238"/>
      <c r="E45" s="354" t="s">
        <v>0</v>
      </c>
      <c r="F45" s="238"/>
      <c r="G45" s="352" t="s">
        <v>1</v>
      </c>
      <c r="H45" s="179"/>
      <c r="I45" s="355"/>
      <c r="J45" s="355"/>
      <c r="K45" s="355"/>
      <c r="L45" s="179"/>
      <c r="M45" s="238"/>
      <c r="N45" s="305" t="s">
        <v>5</v>
      </c>
      <c r="O45" s="51"/>
      <c r="P45" s="51"/>
      <c r="AE45" s="103" t="s">
        <v>170</v>
      </c>
      <c r="AF45" s="103">
        <v>23.4</v>
      </c>
      <c r="AG45" s="103">
        <v>0</v>
      </c>
      <c r="AH45" s="103">
        <v>7.0000000000000007E-2</v>
      </c>
      <c r="AI45" s="103">
        <v>0.2</v>
      </c>
      <c r="AJ45" s="10" t="s">
        <v>40</v>
      </c>
      <c r="AK45" s="6"/>
      <c r="AS45" s="105" t="s">
        <v>36</v>
      </c>
      <c r="AT45" s="106">
        <v>0</v>
      </c>
      <c r="AU45" s="106">
        <v>0</v>
      </c>
      <c r="AV45" s="106">
        <v>0</v>
      </c>
      <c r="AW45" s="106" t="s">
        <v>37</v>
      </c>
      <c r="AX45" s="107" t="s">
        <v>24</v>
      </c>
      <c r="AZ45" s="108" t="s">
        <v>36</v>
      </c>
      <c r="BA45" s="109">
        <v>0</v>
      </c>
      <c r="BB45" s="109">
        <v>0</v>
      </c>
      <c r="BC45" s="109">
        <v>0</v>
      </c>
      <c r="BD45" s="109" t="s">
        <v>37</v>
      </c>
      <c r="BE45" s="110" t="s">
        <v>24</v>
      </c>
    </row>
    <row r="46" spans="2:57" ht="15" customHeight="1" x14ac:dyDescent="0.25">
      <c r="B46" s="180"/>
      <c r="C46" s="334"/>
      <c r="D46" s="237"/>
      <c r="E46" s="352"/>
      <c r="F46" s="237"/>
      <c r="G46" s="352"/>
      <c r="H46" s="74"/>
      <c r="I46" s="1"/>
      <c r="J46" s="1"/>
      <c r="K46" s="74"/>
      <c r="L46" s="237"/>
      <c r="M46" s="1"/>
      <c r="N46" s="181" t="s">
        <v>8</v>
      </c>
      <c r="O46" s="84"/>
      <c r="P46" s="84"/>
      <c r="AE46" s="103" t="s">
        <v>168</v>
      </c>
      <c r="AF46" s="103">
        <v>3.7699999999999997E-2</v>
      </c>
      <c r="AG46" s="103">
        <v>0</v>
      </c>
      <c r="AH46" s="103">
        <v>4.8</v>
      </c>
      <c r="AI46" s="103">
        <v>0.03</v>
      </c>
      <c r="AJ46" s="10" t="s">
        <v>24</v>
      </c>
      <c r="AK46" s="6"/>
      <c r="AS46" s="105" t="s">
        <v>69</v>
      </c>
      <c r="AT46" s="106">
        <v>0</v>
      </c>
      <c r="AU46" s="106">
        <v>0</v>
      </c>
      <c r="AV46" s="106">
        <v>0</v>
      </c>
      <c r="AW46" s="106" t="s">
        <v>70</v>
      </c>
      <c r="AX46" s="107" t="s">
        <v>40</v>
      </c>
      <c r="AZ46" s="108" t="s">
        <v>69</v>
      </c>
      <c r="BA46" s="109">
        <v>0</v>
      </c>
      <c r="BB46" s="109">
        <v>0</v>
      </c>
      <c r="BC46" s="109">
        <v>0</v>
      </c>
      <c r="BD46" s="109" t="s">
        <v>70</v>
      </c>
      <c r="BE46" s="110" t="s">
        <v>40</v>
      </c>
    </row>
    <row r="47" spans="2:57" ht="15" customHeight="1" x14ac:dyDescent="0.25">
      <c r="B47" s="182"/>
      <c r="C47" s="183" t="s">
        <v>197</v>
      </c>
      <c r="D47" s="183"/>
      <c r="E47" s="161" t="s">
        <v>120</v>
      </c>
      <c r="F47" s="161"/>
      <c r="G47" s="161"/>
      <c r="H47" s="160"/>
      <c r="I47" s="160"/>
      <c r="J47" s="160"/>
      <c r="K47" s="160"/>
      <c r="L47" s="160"/>
      <c r="M47" s="160"/>
      <c r="N47" s="184"/>
      <c r="O47" s="71"/>
      <c r="P47" s="71"/>
      <c r="S47" s="11" t="s">
        <v>2</v>
      </c>
      <c r="T47" s="11" t="s">
        <v>3</v>
      </c>
      <c r="U47" s="11" t="s">
        <v>4</v>
      </c>
      <c r="V47" s="11" t="s">
        <v>21</v>
      </c>
      <c r="AE47" s="103" t="s">
        <v>161</v>
      </c>
      <c r="AF47" s="103">
        <v>3.9300000000000002E-2</v>
      </c>
      <c r="AG47" s="103">
        <v>51.4</v>
      </c>
      <c r="AH47" s="103">
        <v>0.1</v>
      </c>
      <c r="AI47" s="103">
        <v>0.03</v>
      </c>
      <c r="AJ47" s="10" t="s">
        <v>24</v>
      </c>
      <c r="AK47" s="6"/>
      <c r="AS47" s="105" t="s">
        <v>38</v>
      </c>
      <c r="AT47" s="106">
        <v>0</v>
      </c>
      <c r="AU47" s="106">
        <v>0</v>
      </c>
      <c r="AV47" s="106">
        <v>0</v>
      </c>
      <c r="AW47" s="106" t="s">
        <v>39</v>
      </c>
      <c r="AX47" s="107" t="s">
        <v>40</v>
      </c>
      <c r="AZ47" s="108" t="s">
        <v>38</v>
      </c>
      <c r="BA47" s="109">
        <v>0</v>
      </c>
      <c r="BB47" s="109">
        <v>0</v>
      </c>
      <c r="BC47" s="109">
        <v>0</v>
      </c>
      <c r="BD47" s="109" t="s">
        <v>39</v>
      </c>
      <c r="BE47" s="110" t="s">
        <v>40</v>
      </c>
    </row>
    <row r="48" spans="2:57" ht="15" customHeight="1" x14ac:dyDescent="0.25">
      <c r="B48" s="182"/>
      <c r="C48" s="254" t="s">
        <v>26</v>
      </c>
      <c r="D48" s="160"/>
      <c r="E48" s="255">
        <v>1000000</v>
      </c>
      <c r="F48" s="161"/>
      <c r="G48" s="162" t="str">
        <f>VLOOKUP(C48,Example!$AS$8:$AX$68,6,FALSE)</f>
        <v>m3</v>
      </c>
      <c r="H48" s="174"/>
      <c r="I48" s="251"/>
      <c r="J48" s="251"/>
      <c r="K48" s="189"/>
      <c r="L48" s="251"/>
      <c r="M48" s="251">
        <f>E48*I48/1000</f>
        <v>0</v>
      </c>
      <c r="N48" s="277">
        <f>V48*E48</f>
        <v>37700</v>
      </c>
      <c r="O48" s="78"/>
      <c r="P48" s="78"/>
      <c r="S48" s="11"/>
      <c r="T48" s="11"/>
      <c r="U48" s="11"/>
      <c r="V48" s="11">
        <f>VLOOKUP(C48,Example!$AS$8:$AX$68,5,FALSE)</f>
        <v>3.7699999999999997E-2</v>
      </c>
      <c r="AE48" s="103" t="s">
        <v>76</v>
      </c>
      <c r="AF48" s="103">
        <v>46.5</v>
      </c>
      <c r="AG48" s="103">
        <v>61</v>
      </c>
      <c r="AH48" s="103">
        <v>0.1</v>
      </c>
      <c r="AI48" s="103">
        <v>0.2</v>
      </c>
      <c r="AJ48" s="10" t="s">
        <v>53</v>
      </c>
      <c r="AK48" s="6"/>
      <c r="AS48" s="105" t="s">
        <v>71</v>
      </c>
      <c r="AT48" s="106">
        <v>0</v>
      </c>
      <c r="AU48" s="106">
        <v>0</v>
      </c>
      <c r="AV48" s="106">
        <v>0</v>
      </c>
      <c r="AW48" s="106" t="s">
        <v>72</v>
      </c>
      <c r="AX48" s="107" t="s">
        <v>40</v>
      </c>
      <c r="AZ48" s="108" t="s">
        <v>71</v>
      </c>
      <c r="BA48" s="109">
        <v>0</v>
      </c>
      <c r="BB48" s="109">
        <v>0</v>
      </c>
      <c r="BC48" s="109">
        <v>0</v>
      </c>
      <c r="BD48" s="109" t="s">
        <v>72</v>
      </c>
      <c r="BE48" s="110" t="s">
        <v>40</v>
      </c>
    </row>
    <row r="49" spans="2:57" ht="15" customHeight="1" x14ac:dyDescent="0.25">
      <c r="B49" s="182"/>
      <c r="C49" s="254" t="s">
        <v>112</v>
      </c>
      <c r="D49" s="160"/>
      <c r="E49" s="259"/>
      <c r="F49" s="161"/>
      <c r="G49" s="162" t="str">
        <f>VLOOKUP(C49,Example!$AS$8:$AX$68,6,FALSE)</f>
        <v>-</v>
      </c>
      <c r="H49" s="174"/>
      <c r="I49" s="251"/>
      <c r="J49" s="251"/>
      <c r="K49" s="189"/>
      <c r="L49" s="251"/>
      <c r="M49" s="251"/>
      <c r="N49" s="277">
        <f>V49*E49</f>
        <v>0</v>
      </c>
      <c r="O49" s="78"/>
      <c r="P49" s="78"/>
      <c r="S49" s="11"/>
      <c r="T49" s="11"/>
      <c r="U49" s="11"/>
      <c r="V49" s="11">
        <f>VLOOKUP(C49,Example!$AS$8:$AX$68,5,FALSE)</f>
        <v>0</v>
      </c>
      <c r="AE49" s="103" t="s">
        <v>117</v>
      </c>
      <c r="AF49" s="103">
        <v>34.4</v>
      </c>
      <c r="AG49" s="103">
        <v>69.8</v>
      </c>
      <c r="AH49" s="103">
        <v>0</v>
      </c>
      <c r="AI49" s="103">
        <v>0.2</v>
      </c>
      <c r="AJ49" s="112" t="s">
        <v>40</v>
      </c>
      <c r="AK49" s="6"/>
      <c r="AS49" s="105" t="s">
        <v>73</v>
      </c>
      <c r="AT49" s="106">
        <v>0</v>
      </c>
      <c r="AU49" s="106">
        <v>0</v>
      </c>
      <c r="AV49" s="106">
        <v>0</v>
      </c>
      <c r="AW49" s="106" t="s">
        <v>75</v>
      </c>
      <c r="AX49" s="107" t="s">
        <v>40</v>
      </c>
      <c r="AZ49" s="108" t="s">
        <v>73</v>
      </c>
      <c r="BA49" s="109">
        <v>0</v>
      </c>
      <c r="BB49" s="109">
        <v>0</v>
      </c>
      <c r="BC49" s="109">
        <v>0</v>
      </c>
      <c r="BD49" s="109" t="s">
        <v>75</v>
      </c>
      <c r="BE49" s="110" t="s">
        <v>40</v>
      </c>
    </row>
    <row r="50" spans="2:57" ht="15" customHeight="1" x14ac:dyDescent="0.25">
      <c r="B50" s="182"/>
      <c r="C50" s="254" t="s">
        <v>112</v>
      </c>
      <c r="D50" s="160"/>
      <c r="E50" s="258"/>
      <c r="F50" s="161"/>
      <c r="G50" s="162" t="str">
        <f>VLOOKUP(C50,Example!$AS$8:$AX$68,6,FALSE)</f>
        <v>-</v>
      </c>
      <c r="H50" s="174"/>
      <c r="I50" s="251"/>
      <c r="J50" s="349"/>
      <c r="K50" s="349"/>
      <c r="L50" s="251"/>
      <c r="M50" s="251">
        <f>E50*I50/1000</f>
        <v>0</v>
      </c>
      <c r="N50" s="277">
        <f>V50*E50</f>
        <v>0</v>
      </c>
      <c r="O50" s="78"/>
      <c r="P50" s="78"/>
      <c r="S50" s="11"/>
      <c r="T50" s="11"/>
      <c r="U50" s="11"/>
      <c r="V50" s="11">
        <f>VLOOKUP(C50,Example!$AS$8:$AX$68,5,FALSE)</f>
        <v>0</v>
      </c>
      <c r="AE50" s="103" t="s">
        <v>160</v>
      </c>
      <c r="AF50" s="103">
        <v>12.2</v>
      </c>
      <c r="AG50" s="103">
        <v>0</v>
      </c>
      <c r="AH50" s="103">
        <v>0.7</v>
      </c>
      <c r="AI50" s="103">
        <v>1.1000000000000001</v>
      </c>
      <c r="AJ50" s="10" t="s">
        <v>53</v>
      </c>
      <c r="AK50" s="6"/>
      <c r="AS50" s="123" t="s">
        <v>41</v>
      </c>
      <c r="AT50" s="106">
        <v>0</v>
      </c>
      <c r="AU50" s="106">
        <v>0</v>
      </c>
      <c r="AV50" s="106">
        <v>0</v>
      </c>
      <c r="AW50" s="106" t="s">
        <v>32</v>
      </c>
      <c r="AX50" s="107" t="s">
        <v>24</v>
      </c>
      <c r="AZ50" s="124" t="s">
        <v>41</v>
      </c>
      <c r="BA50" s="109">
        <v>0</v>
      </c>
      <c r="BB50" s="109">
        <v>0</v>
      </c>
      <c r="BC50" s="109">
        <v>0</v>
      </c>
      <c r="BD50" s="109" t="s">
        <v>32</v>
      </c>
      <c r="BE50" s="110" t="s">
        <v>24</v>
      </c>
    </row>
    <row r="51" spans="2:57" ht="15" customHeight="1" x14ac:dyDescent="0.25">
      <c r="B51" s="185"/>
      <c r="C51" s="165"/>
      <c r="D51" s="165"/>
      <c r="E51" s="166"/>
      <c r="F51" s="166"/>
      <c r="G51" s="350" t="s">
        <v>174</v>
      </c>
      <c r="H51" s="350"/>
      <c r="I51" s="350"/>
      <c r="J51" s="350"/>
      <c r="K51" s="350"/>
      <c r="L51" s="350"/>
      <c r="M51" s="191"/>
      <c r="N51" s="279">
        <f>SUM(N48:N50)</f>
        <v>37700</v>
      </c>
      <c r="O51" s="7"/>
      <c r="P51" s="7"/>
      <c r="AE51" s="103" t="s">
        <v>162</v>
      </c>
      <c r="AF51" s="103">
        <v>22.1</v>
      </c>
      <c r="AG51" s="103">
        <v>95</v>
      </c>
      <c r="AH51" s="103">
        <v>7.0000000000000007E-2</v>
      </c>
      <c r="AI51" s="103">
        <v>0.3</v>
      </c>
      <c r="AJ51" s="10" t="s">
        <v>53</v>
      </c>
      <c r="AK51" s="6"/>
      <c r="AS51" s="105" t="s">
        <v>144</v>
      </c>
      <c r="AT51" s="106">
        <v>0</v>
      </c>
      <c r="AU51" s="106">
        <v>0</v>
      </c>
      <c r="AV51" s="106">
        <v>0</v>
      </c>
      <c r="AW51" s="106" t="s">
        <v>145</v>
      </c>
      <c r="AX51" s="107" t="s">
        <v>53</v>
      </c>
      <c r="AZ51" s="108" t="s">
        <v>144</v>
      </c>
      <c r="BA51" s="109">
        <v>0</v>
      </c>
      <c r="BB51" s="109">
        <v>0</v>
      </c>
      <c r="BC51" s="109">
        <v>0</v>
      </c>
      <c r="BD51" s="109" t="s">
        <v>145</v>
      </c>
      <c r="BE51" s="110" t="s">
        <v>53</v>
      </c>
    </row>
    <row r="52" spans="2:57" ht="15" customHeight="1" x14ac:dyDescent="0.25">
      <c r="B52" s="174"/>
      <c r="C52" s="174"/>
      <c r="D52" s="174"/>
      <c r="E52" s="162"/>
      <c r="F52" s="162"/>
      <c r="G52" s="188"/>
      <c r="H52" s="188"/>
      <c r="I52" s="188"/>
      <c r="J52" s="188"/>
      <c r="K52" s="188"/>
      <c r="L52" s="188"/>
      <c r="M52" s="27"/>
      <c r="N52" s="232"/>
      <c r="AE52" s="103" t="s">
        <v>92</v>
      </c>
      <c r="AF52" s="103">
        <v>38.799999999999997</v>
      </c>
      <c r="AG52" s="103">
        <v>3.5</v>
      </c>
      <c r="AH52" s="103">
        <v>0</v>
      </c>
      <c r="AI52" s="103">
        <v>0</v>
      </c>
      <c r="AJ52" s="10" t="s">
        <v>40</v>
      </c>
      <c r="AK52" s="6"/>
      <c r="AS52" s="105" t="s">
        <v>76</v>
      </c>
      <c r="AT52" s="106">
        <v>0</v>
      </c>
      <c r="AU52" s="106">
        <v>0</v>
      </c>
      <c r="AV52" s="106">
        <v>0</v>
      </c>
      <c r="AW52" s="106" t="s">
        <v>77</v>
      </c>
      <c r="AX52" s="107" t="s">
        <v>53</v>
      </c>
      <c r="AZ52" s="108" t="s">
        <v>76</v>
      </c>
      <c r="BA52" s="109">
        <v>0</v>
      </c>
      <c r="BB52" s="109">
        <v>0</v>
      </c>
      <c r="BC52" s="109">
        <v>0</v>
      </c>
      <c r="BD52" s="109" t="s">
        <v>77</v>
      </c>
      <c r="BE52" s="110" t="s">
        <v>53</v>
      </c>
    </row>
    <row r="53" spans="2:57" ht="15" customHeight="1" x14ac:dyDescent="0.35">
      <c r="B53" s="178"/>
      <c r="C53" s="353" t="s">
        <v>337</v>
      </c>
      <c r="D53" s="238"/>
      <c r="E53" s="354"/>
      <c r="F53" s="238"/>
      <c r="G53" s="354"/>
      <c r="H53" s="179"/>
      <c r="I53" s="355" t="s">
        <v>338</v>
      </c>
      <c r="J53" s="355"/>
      <c r="K53" s="355"/>
      <c r="L53" s="179"/>
      <c r="M53" s="238" t="s">
        <v>7</v>
      </c>
      <c r="N53" s="69"/>
      <c r="O53" s="85"/>
      <c r="P53" s="85"/>
      <c r="AE53" s="103" t="s">
        <v>146</v>
      </c>
      <c r="AF53" s="103">
        <v>38.799999999999997</v>
      </c>
      <c r="AG53" s="103">
        <v>13.9</v>
      </c>
      <c r="AH53" s="103">
        <v>0</v>
      </c>
      <c r="AI53" s="103">
        <v>0</v>
      </c>
      <c r="AJ53" s="10" t="s">
        <v>40</v>
      </c>
      <c r="AK53" s="6"/>
      <c r="AS53" s="105" t="s">
        <v>92</v>
      </c>
      <c r="AT53" s="106">
        <v>0</v>
      </c>
      <c r="AU53" s="106">
        <v>0</v>
      </c>
      <c r="AV53" s="106">
        <v>0</v>
      </c>
      <c r="AW53" s="106" t="s">
        <v>93</v>
      </c>
      <c r="AX53" s="107" t="s">
        <v>40</v>
      </c>
      <c r="AZ53" s="108" t="s">
        <v>92</v>
      </c>
      <c r="BA53" s="109">
        <v>0</v>
      </c>
      <c r="BB53" s="109">
        <v>0</v>
      </c>
      <c r="BC53" s="109">
        <v>0</v>
      </c>
      <c r="BD53" s="109" t="s">
        <v>93</v>
      </c>
      <c r="BE53" s="110" t="s">
        <v>40</v>
      </c>
    </row>
    <row r="54" spans="2:57" ht="15" customHeight="1" x14ac:dyDescent="0.25">
      <c r="B54" s="180"/>
      <c r="C54" s="334"/>
      <c r="D54" s="237"/>
      <c r="E54" s="352"/>
      <c r="F54" s="237"/>
      <c r="G54" s="352"/>
      <c r="H54" s="74"/>
      <c r="I54" s="1" t="s">
        <v>329</v>
      </c>
      <c r="J54" s="1" t="s">
        <v>330</v>
      </c>
      <c r="K54" s="1" t="s">
        <v>331</v>
      </c>
      <c r="L54" s="237"/>
      <c r="M54" s="1" t="s">
        <v>332</v>
      </c>
      <c r="N54" s="181"/>
      <c r="O54" s="85"/>
      <c r="P54" s="85"/>
      <c r="AE54" s="103" t="s">
        <v>78</v>
      </c>
      <c r="AF54" s="103">
        <v>34.200000000000003</v>
      </c>
      <c r="AG54" s="103">
        <v>92.6</v>
      </c>
      <c r="AH54" s="103">
        <v>7.0000000000000007E-2</v>
      </c>
      <c r="AI54" s="103">
        <v>0.2</v>
      </c>
      <c r="AJ54" s="112" t="s">
        <v>53</v>
      </c>
      <c r="AK54" s="6"/>
      <c r="AS54" s="105" t="s">
        <v>146</v>
      </c>
      <c r="AT54" s="106">
        <v>0</v>
      </c>
      <c r="AU54" s="106">
        <v>0</v>
      </c>
      <c r="AV54" s="106">
        <v>0</v>
      </c>
      <c r="AW54" s="106" t="s">
        <v>93</v>
      </c>
      <c r="AX54" s="107" t="s">
        <v>40</v>
      </c>
      <c r="AZ54" s="108" t="s">
        <v>146</v>
      </c>
      <c r="BA54" s="109">
        <v>0</v>
      </c>
      <c r="BB54" s="109">
        <v>0</v>
      </c>
      <c r="BC54" s="109">
        <v>0</v>
      </c>
      <c r="BD54" s="109" t="s">
        <v>93</v>
      </c>
      <c r="BE54" s="110" t="s">
        <v>40</v>
      </c>
    </row>
    <row r="55" spans="2:57" ht="15" customHeight="1" x14ac:dyDescent="0.25">
      <c r="B55" s="182"/>
      <c r="C55" s="161" t="s">
        <v>339</v>
      </c>
      <c r="D55" s="161"/>
      <c r="E55" s="161"/>
      <c r="F55" s="161"/>
      <c r="G55" s="161"/>
      <c r="H55" s="160"/>
      <c r="I55" s="400" t="s">
        <v>341</v>
      </c>
      <c r="J55" s="400"/>
      <c r="K55" s="400"/>
      <c r="L55" s="160"/>
      <c r="M55" s="234"/>
      <c r="N55" s="184"/>
      <c r="O55" s="53"/>
      <c r="P55" s="53"/>
      <c r="S55" s="2">
        <v>0</v>
      </c>
      <c r="AE55" s="103" t="s">
        <v>79</v>
      </c>
      <c r="AF55" s="103">
        <v>34.200000000000003</v>
      </c>
      <c r="AG55" s="103">
        <v>92.6</v>
      </c>
      <c r="AH55" s="103">
        <v>7.0000000000000007E-2</v>
      </c>
      <c r="AI55" s="103">
        <v>0.2</v>
      </c>
      <c r="AJ55" s="112" t="s">
        <v>53</v>
      </c>
      <c r="AK55" s="6"/>
      <c r="AS55" s="125" t="s">
        <v>147</v>
      </c>
      <c r="AT55" s="106">
        <v>0</v>
      </c>
      <c r="AU55" s="106">
        <v>0</v>
      </c>
      <c r="AV55" s="106">
        <v>0</v>
      </c>
      <c r="AW55" s="106" t="s">
        <v>70</v>
      </c>
      <c r="AX55" s="107" t="s">
        <v>40</v>
      </c>
      <c r="AZ55" s="126" t="s">
        <v>147</v>
      </c>
      <c r="BA55" s="109">
        <v>0</v>
      </c>
      <c r="BB55" s="109">
        <v>0</v>
      </c>
      <c r="BC55" s="109">
        <v>0</v>
      </c>
      <c r="BD55" s="109" t="s">
        <v>70</v>
      </c>
      <c r="BE55" s="110" t="s">
        <v>40</v>
      </c>
    </row>
    <row r="56" spans="2:57" s="12" customFormat="1" ht="15" customHeight="1" x14ac:dyDescent="0.25">
      <c r="B56" s="182"/>
      <c r="C56" s="260" t="s">
        <v>342</v>
      </c>
      <c r="D56" s="160"/>
      <c r="E56" s="261"/>
      <c r="F56" s="161"/>
      <c r="G56" s="161"/>
      <c r="H56" s="183"/>
      <c r="I56" s="262">
        <v>0</v>
      </c>
      <c r="J56" s="263">
        <v>791</v>
      </c>
      <c r="K56" s="264">
        <v>0</v>
      </c>
      <c r="L56" s="241"/>
      <c r="M56" s="276">
        <f>SUM(I56:K56)</f>
        <v>791</v>
      </c>
      <c r="N56" s="164"/>
      <c r="O56" s="15"/>
      <c r="P56" s="15"/>
      <c r="S56" s="12">
        <v>25000</v>
      </c>
      <c r="AE56" s="103" t="s">
        <v>80</v>
      </c>
      <c r="AF56" s="103">
        <v>42.9</v>
      </c>
      <c r="AG56" s="103">
        <v>54.7</v>
      </c>
      <c r="AH56" s="103">
        <v>0.02</v>
      </c>
      <c r="AI56" s="103">
        <v>0</v>
      </c>
      <c r="AJ56" s="112" t="s">
        <v>53</v>
      </c>
      <c r="AK56" s="53"/>
      <c r="AS56" s="105" t="s">
        <v>78</v>
      </c>
      <c r="AT56" s="106">
        <v>0</v>
      </c>
      <c r="AU56" s="106">
        <v>0</v>
      </c>
      <c r="AV56" s="106">
        <v>0</v>
      </c>
      <c r="AW56" s="106" t="s">
        <v>62</v>
      </c>
      <c r="AX56" s="107" t="s">
        <v>53</v>
      </c>
      <c r="AZ56" s="108" t="s">
        <v>78</v>
      </c>
      <c r="BA56" s="109">
        <v>0</v>
      </c>
      <c r="BB56" s="109">
        <v>0</v>
      </c>
      <c r="BC56" s="109">
        <v>0</v>
      </c>
      <c r="BD56" s="109" t="s">
        <v>62</v>
      </c>
      <c r="BE56" s="110" t="s">
        <v>53</v>
      </c>
    </row>
    <row r="57" spans="2:57" s="12" customFormat="1" ht="15" customHeight="1" x14ac:dyDescent="0.25">
      <c r="B57" s="182"/>
      <c r="C57" s="257"/>
      <c r="D57" s="160"/>
      <c r="E57" s="261"/>
      <c r="F57" s="161"/>
      <c r="G57" s="161"/>
      <c r="H57" s="183"/>
      <c r="I57" s="265">
        <v>0</v>
      </c>
      <c r="J57" s="266">
        <v>0</v>
      </c>
      <c r="K57" s="267">
        <v>0</v>
      </c>
      <c r="L57" s="241"/>
      <c r="M57" s="276">
        <f>SUM(I57:K57)</f>
        <v>0</v>
      </c>
      <c r="N57" s="164">
        <f t="shared" ref="N57" si="7">T57*E57</f>
        <v>0</v>
      </c>
      <c r="O57" s="249"/>
      <c r="P57" s="249"/>
      <c r="AE57" s="103" t="s">
        <v>149</v>
      </c>
      <c r="AF57" s="103">
        <v>3.7699999999999997E-2</v>
      </c>
      <c r="AG57" s="103">
        <v>0</v>
      </c>
      <c r="AH57" s="103">
        <v>4.8</v>
      </c>
      <c r="AI57" s="103">
        <v>0.03</v>
      </c>
      <c r="AJ57" s="10" t="s">
        <v>24</v>
      </c>
      <c r="AK57" s="53"/>
      <c r="AS57" s="127" t="s">
        <v>148</v>
      </c>
      <c r="AT57" s="128">
        <v>0</v>
      </c>
      <c r="AU57" s="128">
        <v>0</v>
      </c>
      <c r="AV57" s="128">
        <v>0</v>
      </c>
      <c r="AW57" s="128" t="s">
        <v>102</v>
      </c>
      <c r="AX57" s="129" t="s">
        <v>53</v>
      </c>
      <c r="AZ57" s="130" t="s">
        <v>148</v>
      </c>
      <c r="BA57" s="131">
        <v>0</v>
      </c>
      <c r="BB57" s="131">
        <v>0</v>
      </c>
      <c r="BC57" s="131">
        <v>0</v>
      </c>
      <c r="BD57" s="131" t="s">
        <v>102</v>
      </c>
      <c r="BE57" s="132" t="s">
        <v>53</v>
      </c>
    </row>
    <row r="58" spans="2:57" s="12" customFormat="1" ht="15" customHeight="1" x14ac:dyDescent="0.25">
      <c r="B58" s="185"/>
      <c r="C58" s="165"/>
      <c r="D58" s="165"/>
      <c r="E58" s="166"/>
      <c r="F58" s="166"/>
      <c r="G58" s="350" t="s">
        <v>340</v>
      </c>
      <c r="H58" s="350"/>
      <c r="I58" s="399"/>
      <c r="J58" s="399"/>
      <c r="K58" s="399"/>
      <c r="L58" s="350"/>
      <c r="M58" s="278">
        <f>SUM(M56:M57)</f>
        <v>791</v>
      </c>
      <c r="N58" s="167"/>
      <c r="O58" s="60"/>
      <c r="P58" s="60"/>
      <c r="AE58" s="103" t="s">
        <v>82</v>
      </c>
      <c r="AF58" s="103">
        <v>34.4</v>
      </c>
      <c r="AG58" s="103">
        <v>69.7</v>
      </c>
      <c r="AH58" s="103">
        <v>0.02</v>
      </c>
      <c r="AI58" s="103">
        <v>0.2</v>
      </c>
      <c r="AJ58" s="10" t="s">
        <v>40</v>
      </c>
      <c r="AK58" s="53"/>
      <c r="AS58" s="127" t="s">
        <v>79</v>
      </c>
      <c r="AT58" s="128">
        <v>0</v>
      </c>
      <c r="AU58" s="128">
        <v>0</v>
      </c>
      <c r="AV58" s="128">
        <v>0</v>
      </c>
      <c r="AW58" s="128" t="s">
        <v>62</v>
      </c>
      <c r="AX58" s="129" t="s">
        <v>53</v>
      </c>
      <c r="AZ58" s="130" t="s">
        <v>79</v>
      </c>
      <c r="BA58" s="131">
        <v>0</v>
      </c>
      <c r="BB58" s="131">
        <v>0</v>
      </c>
      <c r="BC58" s="131">
        <v>0</v>
      </c>
      <c r="BD58" s="131" t="s">
        <v>62</v>
      </c>
      <c r="BE58" s="132" t="s">
        <v>53</v>
      </c>
    </row>
    <row r="59" spans="2:57" s="12" customFormat="1" ht="15" customHeight="1" x14ac:dyDescent="0.25">
      <c r="B59" s="8"/>
      <c r="C59" s="8"/>
      <c r="D59" s="8"/>
      <c r="E59" s="8"/>
      <c r="F59" s="8"/>
      <c r="G59" s="8"/>
      <c r="H59" s="8"/>
      <c r="I59" s="8"/>
      <c r="J59" s="8"/>
      <c r="K59" s="8"/>
      <c r="L59" s="8"/>
      <c r="M59" s="8"/>
      <c r="N59" s="8"/>
      <c r="O59" s="14"/>
      <c r="P59" s="14"/>
      <c r="AE59" s="103" t="s">
        <v>159</v>
      </c>
      <c r="AF59" s="103">
        <v>21</v>
      </c>
      <c r="AG59" s="103">
        <v>90</v>
      </c>
      <c r="AH59" s="103">
        <v>0.03</v>
      </c>
      <c r="AI59" s="103">
        <v>0.2</v>
      </c>
      <c r="AJ59" s="10" t="s">
        <v>53</v>
      </c>
      <c r="AK59" s="53"/>
      <c r="AS59" s="127" t="s">
        <v>80</v>
      </c>
      <c r="AT59" s="128">
        <v>0</v>
      </c>
      <c r="AU59" s="128">
        <v>0</v>
      </c>
      <c r="AV59" s="128">
        <v>0</v>
      </c>
      <c r="AW59" s="128" t="s">
        <v>81</v>
      </c>
      <c r="AX59" s="129" t="s">
        <v>53</v>
      </c>
      <c r="AZ59" s="130" t="s">
        <v>80</v>
      </c>
      <c r="BA59" s="131">
        <v>0</v>
      </c>
      <c r="BB59" s="131">
        <v>0</v>
      </c>
      <c r="BC59" s="131">
        <v>0</v>
      </c>
      <c r="BD59" s="131" t="s">
        <v>81</v>
      </c>
      <c r="BE59" s="132" t="s">
        <v>53</v>
      </c>
    </row>
    <row r="60" spans="2:57" s="12" customFormat="1" ht="15" customHeight="1" x14ac:dyDescent="0.25">
      <c r="B60" s="192"/>
      <c r="C60" s="334" t="s">
        <v>194</v>
      </c>
      <c r="D60" s="334"/>
      <c r="E60" s="334"/>
      <c r="F60" s="334"/>
      <c r="G60" s="334"/>
      <c r="H60" s="334"/>
      <c r="I60" s="334"/>
      <c r="J60" s="334"/>
      <c r="K60" s="334"/>
      <c r="L60" s="334"/>
      <c r="M60" s="334"/>
      <c r="N60" s="334"/>
      <c r="O60" s="14"/>
      <c r="P60" s="14"/>
      <c r="AE60" s="103" t="s">
        <v>154</v>
      </c>
      <c r="AF60" s="103">
        <v>12.4</v>
      </c>
      <c r="AG60" s="103">
        <v>0</v>
      </c>
      <c r="AH60" s="103">
        <v>7.0000000000000007E-2</v>
      </c>
      <c r="AI60" s="103">
        <v>0.6</v>
      </c>
      <c r="AJ60" s="10" t="s">
        <v>53</v>
      </c>
      <c r="AK60" s="53"/>
      <c r="AS60" s="127" t="s">
        <v>149</v>
      </c>
      <c r="AT60" s="128">
        <v>0</v>
      </c>
      <c r="AU60" s="128">
        <v>0</v>
      </c>
      <c r="AV60" s="128">
        <v>0</v>
      </c>
      <c r="AW60" s="128" t="s">
        <v>37</v>
      </c>
      <c r="AX60" s="129" t="s">
        <v>24</v>
      </c>
      <c r="AZ60" s="130" t="s">
        <v>149</v>
      </c>
      <c r="BA60" s="131">
        <v>0</v>
      </c>
      <c r="BB60" s="131">
        <v>0</v>
      </c>
      <c r="BC60" s="131">
        <v>0</v>
      </c>
      <c r="BD60" s="131" t="s">
        <v>37</v>
      </c>
      <c r="BE60" s="132" t="s">
        <v>24</v>
      </c>
    </row>
    <row r="61" spans="2:57" s="12" customFormat="1" ht="15" customHeight="1" x14ac:dyDescent="0.25">
      <c r="B61" s="168"/>
      <c r="C61" s="334"/>
      <c r="D61" s="334"/>
      <c r="E61" s="334"/>
      <c r="F61" s="334"/>
      <c r="G61" s="334"/>
      <c r="H61" s="334"/>
      <c r="I61" s="334"/>
      <c r="J61" s="334"/>
      <c r="K61" s="334"/>
      <c r="L61" s="334"/>
      <c r="M61" s="334"/>
      <c r="N61" s="334"/>
      <c r="O61" s="85"/>
      <c r="P61" s="85"/>
      <c r="AE61" s="103" t="s">
        <v>42</v>
      </c>
      <c r="AF61" s="103">
        <v>3.9E-2</v>
      </c>
      <c r="AG61" s="103">
        <v>60.2</v>
      </c>
      <c r="AH61" s="103">
        <v>0</v>
      </c>
      <c r="AI61" s="103">
        <v>0.03</v>
      </c>
      <c r="AJ61" s="10" t="s">
        <v>24</v>
      </c>
      <c r="AK61" s="53"/>
      <c r="AS61" s="127" t="s">
        <v>150</v>
      </c>
      <c r="AT61" s="128">
        <v>0</v>
      </c>
      <c r="AU61" s="128">
        <v>0</v>
      </c>
      <c r="AV61" s="128">
        <v>0</v>
      </c>
      <c r="AW61" s="128" t="s">
        <v>103</v>
      </c>
      <c r="AX61" s="129" t="s">
        <v>53</v>
      </c>
      <c r="AZ61" s="130" t="s">
        <v>209</v>
      </c>
      <c r="BA61" s="131">
        <v>0</v>
      </c>
      <c r="BB61" s="131">
        <v>0</v>
      </c>
      <c r="BC61" s="131">
        <v>0</v>
      </c>
      <c r="BD61" s="131" t="s">
        <v>103</v>
      </c>
      <c r="BE61" s="132" t="s">
        <v>53</v>
      </c>
    </row>
    <row r="62" spans="2:57" s="12" customFormat="1" ht="15" customHeight="1" x14ac:dyDescent="0.25">
      <c r="B62" s="168"/>
      <c r="C62" s="72" t="s">
        <v>204</v>
      </c>
      <c r="D62" s="390">
        <f>M16+M28+M58</f>
        <v>6830.3850000000002</v>
      </c>
      <c r="E62" s="390"/>
      <c r="F62" s="52"/>
      <c r="G62" s="249" t="s">
        <v>238</v>
      </c>
      <c r="H62" s="39"/>
      <c r="I62" s="39"/>
      <c r="J62" s="39"/>
      <c r="K62" s="39"/>
      <c r="L62" s="39"/>
      <c r="M62" s="39"/>
      <c r="N62" s="169"/>
      <c r="O62" s="85"/>
      <c r="P62" s="85"/>
      <c r="AE62" s="103" t="s">
        <v>45</v>
      </c>
      <c r="AF62" s="103">
        <v>3.9300000000000002E-2</v>
      </c>
      <c r="AG62" s="103">
        <v>51.4</v>
      </c>
      <c r="AH62" s="103">
        <v>0.1</v>
      </c>
      <c r="AI62" s="103">
        <v>0.03</v>
      </c>
      <c r="AJ62" s="10" t="s">
        <v>24</v>
      </c>
      <c r="AK62" s="53"/>
      <c r="AS62" s="105" t="s">
        <v>82</v>
      </c>
      <c r="AT62" s="106">
        <v>0</v>
      </c>
      <c r="AU62" s="106">
        <v>0</v>
      </c>
      <c r="AV62" s="106">
        <v>0</v>
      </c>
      <c r="AW62" s="106" t="s">
        <v>70</v>
      </c>
      <c r="AX62" s="107" t="s">
        <v>40</v>
      </c>
      <c r="AZ62" s="114" t="s">
        <v>181</v>
      </c>
      <c r="BA62" s="115">
        <v>0</v>
      </c>
      <c r="BB62" s="115">
        <v>0</v>
      </c>
      <c r="BC62" s="115">
        <v>0</v>
      </c>
      <c r="BD62" s="114">
        <v>34.4</v>
      </c>
      <c r="BE62" s="10" t="s">
        <v>40</v>
      </c>
    </row>
    <row r="63" spans="2:57" s="12" customFormat="1" ht="15" customHeight="1" x14ac:dyDescent="0.25">
      <c r="B63" s="170"/>
      <c r="C63" s="72" t="s">
        <v>205</v>
      </c>
      <c r="D63" s="390">
        <f>M35</f>
        <v>830.17777777779202</v>
      </c>
      <c r="E63" s="390"/>
      <c r="F63" s="52"/>
      <c r="G63" s="249" t="s">
        <v>238</v>
      </c>
      <c r="H63" s="39"/>
      <c r="I63" s="39"/>
      <c r="J63" s="15"/>
      <c r="K63" s="15"/>
      <c r="L63" s="39"/>
      <c r="M63" s="54"/>
      <c r="N63" s="55"/>
      <c r="O63" s="79"/>
      <c r="P63" s="79"/>
      <c r="AE63" s="8"/>
      <c r="AF63" s="8"/>
      <c r="AG63" s="8"/>
      <c r="AH63" s="8"/>
      <c r="AI63" s="8"/>
      <c r="AJ63" s="8"/>
      <c r="AK63" s="53"/>
      <c r="AS63" s="105" t="s">
        <v>151</v>
      </c>
      <c r="AT63" s="106">
        <v>0</v>
      </c>
      <c r="AU63" s="106">
        <v>0</v>
      </c>
      <c r="AV63" s="106">
        <v>0</v>
      </c>
      <c r="AW63" s="106" t="s">
        <v>70</v>
      </c>
      <c r="AX63" s="107" t="s">
        <v>40</v>
      </c>
      <c r="AZ63" s="108" t="s">
        <v>82</v>
      </c>
      <c r="BA63" s="109">
        <v>0</v>
      </c>
      <c r="BB63" s="109">
        <v>0</v>
      </c>
      <c r="BC63" s="109">
        <v>0</v>
      </c>
      <c r="BD63" s="109" t="s">
        <v>70</v>
      </c>
      <c r="BE63" s="110" t="s">
        <v>40</v>
      </c>
    </row>
    <row r="64" spans="2:57" ht="15" customHeight="1" x14ac:dyDescent="0.25">
      <c r="B64" s="170"/>
      <c r="C64" s="17" t="s">
        <v>122</v>
      </c>
      <c r="D64" s="391">
        <f>D62+D63</f>
        <v>7660.5627777777918</v>
      </c>
      <c r="E64" s="392"/>
      <c r="F64" s="52"/>
      <c r="G64" s="19" t="s">
        <v>239</v>
      </c>
      <c r="H64" s="19"/>
      <c r="I64" s="393"/>
      <c r="J64" s="393"/>
      <c r="K64" s="393"/>
      <c r="L64" s="393"/>
      <c r="M64" s="393"/>
      <c r="N64" s="394"/>
      <c r="O64" s="236"/>
      <c r="P64" s="236"/>
      <c r="AE64" s="8" t="s">
        <v>163</v>
      </c>
      <c r="AK64" s="6"/>
      <c r="AS64" s="105" t="s">
        <v>152</v>
      </c>
      <c r="AT64" s="106">
        <v>0</v>
      </c>
      <c r="AU64" s="106">
        <v>0</v>
      </c>
      <c r="AV64" s="106">
        <v>0</v>
      </c>
      <c r="AW64" s="106" t="s">
        <v>153</v>
      </c>
      <c r="AX64" s="107" t="s">
        <v>53</v>
      </c>
      <c r="AZ64" s="108" t="s">
        <v>151</v>
      </c>
      <c r="BA64" s="109">
        <v>0</v>
      </c>
      <c r="BB64" s="109">
        <v>0</v>
      </c>
      <c r="BC64" s="109">
        <v>0</v>
      </c>
      <c r="BD64" s="109" t="s">
        <v>70</v>
      </c>
      <c r="BE64" s="110" t="s">
        <v>40</v>
      </c>
    </row>
    <row r="65" spans="2:57" ht="15" customHeight="1" x14ac:dyDescent="0.25">
      <c r="B65" s="170"/>
      <c r="C65" s="18" t="s">
        <v>123</v>
      </c>
      <c r="D65" s="395">
        <f>N16+N28+N35+N43</f>
        <v>83394.000000000087</v>
      </c>
      <c r="E65" s="396"/>
      <c r="F65" s="56"/>
      <c r="G65" s="57" t="s">
        <v>125</v>
      </c>
      <c r="H65" s="58"/>
      <c r="I65" s="59"/>
      <c r="J65" s="59"/>
      <c r="K65" s="59"/>
      <c r="L65" s="59"/>
      <c r="M65" s="60"/>
      <c r="N65" s="61"/>
      <c r="O65" s="79"/>
      <c r="P65" s="79"/>
      <c r="AS65" s="105" t="s">
        <v>154</v>
      </c>
      <c r="AT65" s="106">
        <v>0</v>
      </c>
      <c r="AU65" s="106">
        <v>0</v>
      </c>
      <c r="AV65" s="106">
        <v>0</v>
      </c>
      <c r="AW65" s="106" t="s">
        <v>155</v>
      </c>
      <c r="AX65" s="107" t="s">
        <v>53</v>
      </c>
      <c r="AZ65" s="108" t="s">
        <v>152</v>
      </c>
      <c r="BA65" s="109">
        <v>0</v>
      </c>
      <c r="BB65" s="109">
        <v>0</v>
      </c>
      <c r="BC65" s="109">
        <v>0</v>
      </c>
      <c r="BD65" s="109" t="s">
        <v>153</v>
      </c>
      <c r="BE65" s="110" t="s">
        <v>53</v>
      </c>
    </row>
    <row r="66" spans="2:57" ht="15" customHeight="1" x14ac:dyDescent="0.25">
      <c r="B66" s="171"/>
      <c r="C66" s="20" t="s">
        <v>195</v>
      </c>
      <c r="D66" s="397">
        <f>N51</f>
        <v>37700</v>
      </c>
      <c r="E66" s="398"/>
      <c r="F66" s="62"/>
      <c r="G66" s="63" t="s">
        <v>125</v>
      </c>
      <c r="H66" s="64"/>
      <c r="I66" s="65"/>
      <c r="J66" s="65"/>
      <c r="K66" s="65"/>
      <c r="L66" s="65"/>
      <c r="M66" s="66"/>
      <c r="N66" s="67"/>
      <c r="O66" s="236"/>
      <c r="P66" s="236"/>
      <c r="AS66" s="105" t="s">
        <v>42</v>
      </c>
      <c r="AT66" s="106">
        <v>0</v>
      </c>
      <c r="AU66" s="106">
        <v>0</v>
      </c>
      <c r="AV66" s="106">
        <v>0</v>
      </c>
      <c r="AW66" s="106" t="s">
        <v>44</v>
      </c>
      <c r="AX66" s="107" t="s">
        <v>24</v>
      </c>
      <c r="AZ66" s="108" t="s">
        <v>154</v>
      </c>
      <c r="BA66" s="109">
        <v>0</v>
      </c>
      <c r="BB66" s="109">
        <v>0</v>
      </c>
      <c r="BC66" s="109">
        <v>0</v>
      </c>
      <c r="BD66" s="109" t="s">
        <v>155</v>
      </c>
      <c r="BE66" s="110" t="s">
        <v>53</v>
      </c>
    </row>
    <row r="67" spans="2:57" ht="15" customHeight="1" x14ac:dyDescent="0.25">
      <c r="B67" s="172"/>
      <c r="C67" s="19"/>
      <c r="D67" s="16"/>
      <c r="E67" s="16"/>
      <c r="F67" s="15"/>
      <c r="G67" s="15"/>
      <c r="H67" s="15"/>
      <c r="I67" s="13"/>
      <c r="J67" s="13"/>
      <c r="K67" s="13"/>
      <c r="L67" s="13"/>
      <c r="M67" s="14"/>
      <c r="N67" s="14"/>
      <c r="O67" s="79"/>
      <c r="P67" s="79"/>
      <c r="AS67" s="105" t="s">
        <v>45</v>
      </c>
      <c r="AT67" s="106">
        <v>0</v>
      </c>
      <c r="AU67" s="106">
        <v>0</v>
      </c>
      <c r="AV67" s="106">
        <v>0</v>
      </c>
      <c r="AW67" s="106" t="s">
        <v>32</v>
      </c>
      <c r="AX67" s="107" t="s">
        <v>24</v>
      </c>
      <c r="AZ67" s="108" t="s">
        <v>42</v>
      </c>
      <c r="BA67" s="109">
        <v>0</v>
      </c>
      <c r="BB67" s="109">
        <v>0</v>
      </c>
      <c r="BC67" s="109">
        <v>0</v>
      </c>
      <c r="BD67" s="109" t="s">
        <v>44</v>
      </c>
      <c r="BE67" s="110" t="s">
        <v>24</v>
      </c>
    </row>
    <row r="68" spans="2:57" ht="15" customHeight="1" x14ac:dyDescent="0.25">
      <c r="B68" s="173"/>
      <c r="C68" s="334" t="s">
        <v>219</v>
      </c>
      <c r="D68" s="334"/>
      <c r="E68" s="334"/>
      <c r="F68" s="334"/>
      <c r="G68" s="334"/>
      <c r="H68" s="334"/>
      <c r="I68" s="334"/>
      <c r="J68" s="334"/>
      <c r="K68" s="334"/>
      <c r="L68" s="334"/>
      <c r="M68" s="334"/>
      <c r="N68" s="334"/>
      <c r="O68" s="236"/>
      <c r="P68" s="236"/>
      <c r="AS68" s="105" t="s">
        <v>156</v>
      </c>
      <c r="AT68" s="106">
        <v>0</v>
      </c>
      <c r="AU68" s="106">
        <v>0</v>
      </c>
      <c r="AV68" s="106">
        <v>0</v>
      </c>
      <c r="AW68" s="106" t="s">
        <v>157</v>
      </c>
      <c r="AX68" s="107" t="s">
        <v>53</v>
      </c>
      <c r="AZ68" s="108" t="s">
        <v>45</v>
      </c>
      <c r="BA68" s="109">
        <v>0</v>
      </c>
      <c r="BB68" s="109">
        <v>0</v>
      </c>
      <c r="BC68" s="109">
        <v>0</v>
      </c>
      <c r="BD68" s="109" t="s">
        <v>32</v>
      </c>
      <c r="BE68" s="110" t="s">
        <v>24</v>
      </c>
    </row>
    <row r="69" spans="2:57" ht="15" customHeight="1" x14ac:dyDescent="0.25">
      <c r="B69" s="21"/>
      <c r="C69" s="334"/>
      <c r="D69" s="334"/>
      <c r="E69" s="334"/>
      <c r="F69" s="334"/>
      <c r="G69" s="334"/>
      <c r="H69" s="334"/>
      <c r="I69" s="334"/>
      <c r="J69" s="334"/>
      <c r="K69" s="334"/>
      <c r="L69" s="334"/>
      <c r="M69" s="334"/>
      <c r="N69" s="334"/>
      <c r="O69" s="6"/>
      <c r="P69" s="6"/>
      <c r="AZ69" s="133" t="s">
        <v>156</v>
      </c>
      <c r="BA69" s="115">
        <v>0</v>
      </c>
      <c r="BB69" s="115">
        <v>0</v>
      </c>
      <c r="BC69" s="115">
        <v>0</v>
      </c>
      <c r="BD69" s="115" t="s">
        <v>157</v>
      </c>
      <c r="BE69" s="134" t="s">
        <v>53</v>
      </c>
    </row>
    <row r="70" spans="2:57" ht="15" customHeight="1" x14ac:dyDescent="0.25">
      <c r="B70" s="22"/>
      <c r="C70" s="330" t="s">
        <v>207</v>
      </c>
      <c r="D70" s="82"/>
      <c r="E70" s="37" t="s">
        <v>241</v>
      </c>
      <c r="F70" s="348" t="str">
        <f>IF(D64&gt;=25000,"You may have triggered the emissions reporting threshold for this facility. Please contact the Clean Energy Regulator",IF(D64&gt;21000, "You are close to the emissions reporting threshold for this facility. Please contact the Clean Energy Regulator",""))</f>
        <v/>
      </c>
      <c r="G70" s="348"/>
      <c r="H70" s="348"/>
      <c r="I70" s="348"/>
      <c r="J70" s="348"/>
      <c r="K70" s="348"/>
      <c r="L70" s="348"/>
      <c r="M70" s="348"/>
      <c r="N70" s="81" t="s">
        <v>242</v>
      </c>
      <c r="AZ70" s="114" t="s">
        <v>177</v>
      </c>
      <c r="BA70" s="115">
        <v>0</v>
      </c>
      <c r="BB70" s="115">
        <v>0</v>
      </c>
      <c r="BC70" s="115">
        <v>0</v>
      </c>
      <c r="BD70" s="114">
        <v>45.8</v>
      </c>
      <c r="BE70" s="10" t="s">
        <v>53</v>
      </c>
    </row>
    <row r="71" spans="2:57" ht="15" customHeight="1" x14ac:dyDescent="0.3">
      <c r="B71" s="168"/>
      <c r="C71" s="330"/>
      <c r="D71" s="80"/>
      <c r="E71" s="337">
        <f>D64</f>
        <v>7660.5627777777918</v>
      </c>
      <c r="F71" s="337"/>
      <c r="G71" s="337"/>
      <c r="H71" s="337"/>
      <c r="I71" s="337"/>
      <c r="J71" s="337"/>
      <c r="K71" s="337"/>
      <c r="L71" s="337"/>
      <c r="M71" s="337"/>
      <c r="N71" s="389"/>
      <c r="AZ71" s="114" t="s">
        <v>178</v>
      </c>
      <c r="BA71" s="115">
        <v>0</v>
      </c>
      <c r="BB71" s="115">
        <v>0</v>
      </c>
      <c r="BC71" s="115">
        <v>0</v>
      </c>
      <c r="BD71" s="114">
        <v>37.1</v>
      </c>
      <c r="BE71" s="10" t="s">
        <v>53</v>
      </c>
    </row>
    <row r="72" spans="2:57" ht="15" customHeight="1" x14ac:dyDescent="0.3">
      <c r="B72" s="168"/>
      <c r="C72" s="330" t="s">
        <v>206</v>
      </c>
      <c r="D72" s="80"/>
      <c r="E72" s="37" t="s">
        <v>203</v>
      </c>
      <c r="F72" s="348" t="str">
        <f>IF(D65&gt;=100000,"You may have triggered the energy reporting threshold for this facility. Please contact the Clean Energy Regulator",IF(D65&gt;90000, "You are close to the energy reporting threshold for this facility. Please contact the Clean Energy Regulator",""))</f>
        <v/>
      </c>
      <c r="G72" s="348"/>
      <c r="H72" s="348"/>
      <c r="I72" s="348"/>
      <c r="J72" s="348"/>
      <c r="K72" s="348"/>
      <c r="L72" s="348"/>
      <c r="M72" s="348"/>
      <c r="N72" s="81" t="s">
        <v>218</v>
      </c>
      <c r="AZ72" s="114" t="s">
        <v>179</v>
      </c>
      <c r="BA72" s="115">
        <v>0</v>
      </c>
      <c r="BB72" s="115">
        <v>0</v>
      </c>
      <c r="BC72" s="115">
        <v>0</v>
      </c>
      <c r="BD72" s="114">
        <v>50.3</v>
      </c>
      <c r="BE72" s="10" t="s">
        <v>53</v>
      </c>
    </row>
    <row r="73" spans="2:57" ht="17.45" customHeight="1" x14ac:dyDescent="0.25">
      <c r="B73" s="168"/>
      <c r="C73" s="330"/>
      <c r="D73" s="221"/>
      <c r="E73" s="337">
        <f>D65</f>
        <v>83394.000000000087</v>
      </c>
      <c r="F73" s="337"/>
      <c r="G73" s="337"/>
      <c r="H73" s="337"/>
      <c r="I73" s="337"/>
      <c r="J73" s="337"/>
      <c r="K73" s="337"/>
      <c r="L73" s="337"/>
      <c r="M73" s="337"/>
      <c r="N73" s="389"/>
      <c r="AZ73" s="114" t="s">
        <v>180</v>
      </c>
      <c r="BA73" s="115">
        <v>0</v>
      </c>
      <c r="BB73" s="115">
        <v>0</v>
      </c>
      <c r="BC73" s="115">
        <v>0</v>
      </c>
      <c r="BD73" s="10">
        <v>0</v>
      </c>
      <c r="BE73" s="10" t="s">
        <v>53</v>
      </c>
    </row>
    <row r="74" spans="2:57" ht="17.45" customHeight="1" x14ac:dyDescent="0.25">
      <c r="B74" s="168"/>
      <c r="C74" s="330" t="s">
        <v>208</v>
      </c>
      <c r="D74" s="221"/>
      <c r="E74" s="37" t="s">
        <v>203</v>
      </c>
      <c r="F74" s="348" t="str">
        <f>IF(D66&gt;=100000,"You may have triggered the energy reporting threshold for this facility. Please contact the Clean Energy Regulator",IF(D66&gt;90000, "You are close to the energy reporting threshold for this facility. Please contact the Clean Energy Regulator",""))</f>
        <v/>
      </c>
      <c r="G74" s="348"/>
      <c r="H74" s="348"/>
      <c r="I74" s="348"/>
      <c r="J74" s="348"/>
      <c r="K74" s="348"/>
      <c r="L74" s="348"/>
      <c r="M74" s="348"/>
      <c r="N74" s="81" t="s">
        <v>218</v>
      </c>
      <c r="AZ74" s="10" t="s">
        <v>184</v>
      </c>
      <c r="BA74" s="10">
        <v>0</v>
      </c>
      <c r="BB74" s="10">
        <v>0</v>
      </c>
      <c r="BC74" s="10">
        <v>0</v>
      </c>
      <c r="BD74" s="10">
        <v>3.5999999999999999E-3</v>
      </c>
      <c r="BE74" s="10" t="s">
        <v>23</v>
      </c>
    </row>
    <row r="75" spans="2:57" ht="17.45" customHeight="1" x14ac:dyDescent="0.25">
      <c r="B75" s="175"/>
      <c r="C75" s="331"/>
      <c r="D75" s="222"/>
      <c r="E75" s="387">
        <f>D66</f>
        <v>37700</v>
      </c>
      <c r="F75" s="387"/>
      <c r="G75" s="387"/>
      <c r="H75" s="387"/>
      <c r="I75" s="387"/>
      <c r="J75" s="387"/>
      <c r="K75" s="387"/>
      <c r="L75" s="387"/>
      <c r="M75" s="387"/>
      <c r="N75" s="388"/>
      <c r="AZ75" s="9" t="s">
        <v>185</v>
      </c>
      <c r="BA75" s="9">
        <v>0</v>
      </c>
      <c r="BB75" s="9">
        <v>0</v>
      </c>
      <c r="BC75" s="9">
        <v>0</v>
      </c>
      <c r="BD75" s="9">
        <v>1</v>
      </c>
      <c r="BE75" s="9" t="s">
        <v>125</v>
      </c>
    </row>
    <row r="76" spans="2:57" ht="17.45" customHeight="1" x14ac:dyDescent="0.25">
      <c r="B76" s="174"/>
      <c r="C76" s="174"/>
      <c r="D76" s="174"/>
      <c r="E76" s="174"/>
      <c r="F76" s="174"/>
      <c r="G76" s="174"/>
      <c r="H76" s="174"/>
      <c r="I76" s="174"/>
      <c r="J76" s="174"/>
      <c r="K76" s="174"/>
      <c r="L76" s="174"/>
      <c r="M76" s="174"/>
      <c r="N76" s="174"/>
      <c r="AZ76" s="9" t="s">
        <v>186</v>
      </c>
      <c r="BA76" s="9">
        <v>0</v>
      </c>
      <c r="BB76" s="9">
        <v>0</v>
      </c>
      <c r="BC76" s="9">
        <v>0</v>
      </c>
      <c r="BD76" s="9">
        <v>1</v>
      </c>
      <c r="BE76" s="9" t="s">
        <v>125</v>
      </c>
    </row>
    <row r="77" spans="2:57" ht="17.45" hidden="1" customHeight="1" x14ac:dyDescent="0.25">
      <c r="AZ77" s="9" t="s">
        <v>187</v>
      </c>
      <c r="BA77" s="9">
        <v>0</v>
      </c>
      <c r="BB77" s="9">
        <v>0</v>
      </c>
      <c r="BC77" s="9">
        <v>0</v>
      </c>
      <c r="BD77" s="9">
        <v>1</v>
      </c>
      <c r="BE77" s="9" t="s">
        <v>125</v>
      </c>
    </row>
    <row r="78" spans="2:57" ht="17.45" hidden="1" customHeight="1" x14ac:dyDescent="0.25">
      <c r="AZ78" s="9" t="s">
        <v>188</v>
      </c>
      <c r="BA78" s="9">
        <v>0</v>
      </c>
      <c r="BB78" s="9">
        <v>0</v>
      </c>
      <c r="BC78" s="9">
        <v>0</v>
      </c>
      <c r="BD78" s="9">
        <v>1</v>
      </c>
      <c r="BE78" s="9" t="s">
        <v>125</v>
      </c>
    </row>
    <row r="79" spans="2:57" ht="17.45" hidden="1" customHeight="1" x14ac:dyDescent="0.25"/>
    <row r="80" spans="2:57" ht="17.45" hidden="1" customHeight="1" x14ac:dyDescent="0.25"/>
    <row r="81" ht="17.45" hidden="1" customHeight="1" x14ac:dyDescent="0.25"/>
    <row r="82" ht="17.45" hidden="1" customHeight="1" x14ac:dyDescent="0.25"/>
    <row r="83" ht="17.45" hidden="1" customHeight="1" x14ac:dyDescent="0.25"/>
    <row r="84" ht="17.45" hidden="1" customHeight="1" x14ac:dyDescent="0.25"/>
    <row r="85" ht="17.45" hidden="1" customHeight="1" x14ac:dyDescent="0.25"/>
    <row r="86" ht="17.45" hidden="1" customHeight="1" x14ac:dyDescent="0.25"/>
    <row r="87" ht="17.45" hidden="1" customHeight="1" x14ac:dyDescent="0.25"/>
    <row r="88" ht="17.45" hidden="1" customHeight="1" x14ac:dyDescent="0.25"/>
    <row r="89" ht="17.45" hidden="1" customHeight="1" x14ac:dyDescent="0.25"/>
    <row r="90" ht="17.45" hidden="1" customHeight="1" x14ac:dyDescent="0.25"/>
    <row r="91" ht="17.45" hidden="1" customHeight="1" x14ac:dyDescent="0.25"/>
    <row r="92" ht="17.45" hidden="1" customHeight="1" x14ac:dyDescent="0.25"/>
    <row r="93" ht="17.45" hidden="1" customHeight="1" x14ac:dyDescent="0.25"/>
    <row r="94" ht="17.45" hidden="1" customHeight="1" x14ac:dyDescent="0.25"/>
    <row r="95" ht="17.45" hidden="1" customHeight="1" x14ac:dyDescent="0.25"/>
    <row r="96" ht="17.45" hidden="1" customHeight="1" x14ac:dyDescent="0.25"/>
    <row r="97" ht="17.45" hidden="1" customHeight="1" x14ac:dyDescent="0.25"/>
    <row r="98" ht="17.45" hidden="1" customHeight="1" x14ac:dyDescent="0.25"/>
  </sheetData>
  <sheetProtection algorithmName="SHA-256" hashValue="2BZXp+awO9XXKWLiVD5eq2MCKlxLJtYbQ+2e3WsuJvs=" saltValue="LcZB01bWzLv8xgoIVsltIA==" spinCount="100000" sheet="1" scenarios="1" selectLockedCells="1" selectUnlockedCells="1"/>
  <autoFilter ref="AE7:AJ7" xr:uid="{00000000-0009-0000-0000-000008000000}">
    <sortState xmlns:xlrd2="http://schemas.microsoft.com/office/spreadsheetml/2017/richdata2" ref="AE8:AJ62">
      <sortCondition ref="AE7"/>
    </sortState>
  </autoFilter>
  <mergeCells count="56">
    <mergeCell ref="G28:L28"/>
    <mergeCell ref="C2:N2"/>
    <mergeCell ref="E4:H4"/>
    <mergeCell ref="J4:L4"/>
    <mergeCell ref="C6:C7"/>
    <mergeCell ref="E6:E7"/>
    <mergeCell ref="G6:G7"/>
    <mergeCell ref="I6:K6"/>
    <mergeCell ref="G16:L16"/>
    <mergeCell ref="C18:C19"/>
    <mergeCell ref="E18:E19"/>
    <mergeCell ref="G18:G19"/>
    <mergeCell ref="I18:K18"/>
    <mergeCell ref="J42:K42"/>
    <mergeCell ref="C30:C31"/>
    <mergeCell ref="E30:E31"/>
    <mergeCell ref="G30:G31"/>
    <mergeCell ref="I30:K30"/>
    <mergeCell ref="J33:L33"/>
    <mergeCell ref="J34:L34"/>
    <mergeCell ref="G35:L35"/>
    <mergeCell ref="C37:C38"/>
    <mergeCell ref="E37:E38"/>
    <mergeCell ref="G37:G38"/>
    <mergeCell ref="I37:K37"/>
    <mergeCell ref="C68:N69"/>
    <mergeCell ref="G51:L51"/>
    <mergeCell ref="D62:E62"/>
    <mergeCell ref="G43:L43"/>
    <mergeCell ref="C45:C46"/>
    <mergeCell ref="E45:E46"/>
    <mergeCell ref="G45:G46"/>
    <mergeCell ref="I45:K45"/>
    <mergeCell ref="J50:K50"/>
    <mergeCell ref="C53:C54"/>
    <mergeCell ref="E53:E54"/>
    <mergeCell ref="G53:G54"/>
    <mergeCell ref="I53:K53"/>
    <mergeCell ref="G58:L58"/>
    <mergeCell ref="I55:K55"/>
    <mergeCell ref="P6:P8"/>
    <mergeCell ref="C74:C75"/>
    <mergeCell ref="F74:M74"/>
    <mergeCell ref="E75:N75"/>
    <mergeCell ref="C60:N61"/>
    <mergeCell ref="C70:C71"/>
    <mergeCell ref="F70:M70"/>
    <mergeCell ref="E71:N71"/>
    <mergeCell ref="C72:C73"/>
    <mergeCell ref="F72:M72"/>
    <mergeCell ref="E73:N73"/>
    <mergeCell ref="D63:E63"/>
    <mergeCell ref="D64:E64"/>
    <mergeCell ref="I64:N64"/>
    <mergeCell ref="D65:E65"/>
    <mergeCell ref="D66:E66"/>
  </mergeCells>
  <conditionalFormatting sqref="I33 I41">
    <cfRule type="cellIs" dxfId="16" priority="19" operator="equal">
      <formula>0.64</formula>
    </cfRule>
  </conditionalFormatting>
  <conditionalFormatting sqref="I33 I41:M41 C65 M33:P34 J33:J34">
    <cfRule type="cellIs" dxfId="15" priority="18" operator="equal">
      <formula>0</formula>
    </cfRule>
  </conditionalFormatting>
  <conditionalFormatting sqref="I34">
    <cfRule type="cellIs" dxfId="14" priority="2" operator="equal">
      <formula>0.64</formula>
    </cfRule>
    <cfRule type="cellIs" dxfId="13" priority="17" operator="equal">
      <formula>0</formula>
    </cfRule>
  </conditionalFormatting>
  <conditionalFormatting sqref="I40:P40 J42 L42:M42 N41:P42">
    <cfRule type="cellIs" dxfId="12" priority="16" operator="equal">
      <formula>0</formula>
    </cfRule>
  </conditionalFormatting>
  <conditionalFormatting sqref="I49:M49">
    <cfRule type="aboveAverage" dxfId="11" priority="15"/>
  </conditionalFormatting>
  <conditionalFormatting sqref="I48:P48 J50 L50:M50 N49:P50">
    <cfRule type="cellIs" dxfId="10" priority="14" operator="equal">
      <formula>0</formula>
    </cfRule>
  </conditionalFormatting>
  <conditionalFormatting sqref="M63">
    <cfRule type="cellIs" dxfId="9" priority="13" operator="equal">
      <formula>0</formula>
    </cfRule>
  </conditionalFormatting>
  <conditionalFormatting sqref="G64:I64 G62:G63">
    <cfRule type="dataBar" priority="12">
      <dataBar>
        <cfvo type="min"/>
        <cfvo type="max"/>
        <color rgb="FF638EC6"/>
      </dataBar>
      <extLst>
        <ext xmlns:x14="http://schemas.microsoft.com/office/spreadsheetml/2009/9/main" uri="{B025F937-C7B1-47D3-B67F-A62EFF666E3E}">
          <x14:id>{0F144A25-A4BB-426B-A12B-3E08583B5E1E}</x14:id>
        </ext>
      </extLst>
    </cfRule>
  </conditionalFormatting>
  <conditionalFormatting sqref="I9:P15">
    <cfRule type="cellIs" dxfId="8" priority="11" operator="equal">
      <formula>0</formula>
    </cfRule>
  </conditionalFormatting>
  <conditionalFormatting sqref="O64:P64 E71:N71">
    <cfRule type="dataBar" priority="10">
      <dataBar>
        <cfvo type="num" val="0"/>
        <cfvo type="num" val="25000"/>
        <color rgb="FF638EC6"/>
      </dataBar>
      <extLst>
        <ext xmlns:x14="http://schemas.microsoft.com/office/spreadsheetml/2009/9/main" uri="{B025F937-C7B1-47D3-B67F-A62EFF666E3E}">
          <x14:id>{9ECC3D72-7973-40DE-9A7B-4B33DE888E45}</x14:id>
        </ext>
      </extLst>
    </cfRule>
  </conditionalFormatting>
  <conditionalFormatting sqref="O66:P66 E73:N73 O68:P68 E75:N75">
    <cfRule type="dataBar" priority="9">
      <dataBar>
        <cfvo type="num" val="0"/>
        <cfvo type="num" val="100000"/>
        <color rgb="FF638EC6"/>
      </dataBar>
      <extLst>
        <ext xmlns:x14="http://schemas.microsoft.com/office/spreadsheetml/2009/9/main" uri="{B025F937-C7B1-47D3-B67F-A62EFF666E3E}">
          <x14:id>{64D695AC-C727-4ACD-8433-78356B9BF9B3}</x14:id>
        </ext>
      </extLst>
    </cfRule>
  </conditionalFormatting>
  <conditionalFormatting sqref="G21:P27">
    <cfRule type="cellIs" dxfId="7" priority="7" operator="equal">
      <formula>0</formula>
    </cfRule>
  </conditionalFormatting>
  <conditionalFormatting sqref="H40:P42">
    <cfRule type="cellIs" dxfId="6" priority="6" operator="equal">
      <formula>0</formula>
    </cfRule>
  </conditionalFormatting>
  <conditionalFormatting sqref="H48:P50">
    <cfRule type="cellIs" dxfId="5" priority="5" operator="equal">
      <formula>0</formula>
    </cfRule>
  </conditionalFormatting>
  <conditionalFormatting sqref="N4:O4">
    <cfRule type="expression" dxfId="4" priority="3">
      <formula>M4="No specific period"</formula>
    </cfRule>
    <cfRule type="cellIs" dxfId="3" priority="4" operator="equal">
      <formula>"# of days?"</formula>
    </cfRule>
  </conditionalFormatting>
  <conditionalFormatting sqref="P4">
    <cfRule type="expression" dxfId="2" priority="41">
      <formula>N4="No specific period"</formula>
    </cfRule>
    <cfRule type="cellIs" dxfId="1" priority="42" operator="equal">
      <formula>"# of days?"</formula>
    </cfRule>
  </conditionalFormatting>
  <conditionalFormatting sqref="L57 N57">
    <cfRule type="cellIs" dxfId="0" priority="1" operator="equal">
      <formula>0</formula>
    </cfRule>
  </conditionalFormatting>
  <dataValidations count="6">
    <dataValidation type="list" allowBlank="1" showInputMessage="1" showErrorMessage="1" sqref="M4" xr:uid="{00000000-0002-0000-0800-000000000000}">
      <formula1>$S$3:$S$4</formula1>
    </dataValidation>
    <dataValidation type="list" allowBlank="1" showInputMessage="1" showErrorMessage="1" sqref="C40:C42" xr:uid="{00000000-0002-0000-0800-000001000000}">
      <formula1>$AZ$8:$AZ$78</formula1>
    </dataValidation>
    <dataValidation type="list" allowBlank="1" showInputMessage="1" showErrorMessage="1" sqref="C48:C50" xr:uid="{00000000-0002-0000-0800-000002000000}">
      <formula1>$AS$8:$AS$68</formula1>
    </dataValidation>
    <dataValidation type="list" allowBlank="1" showInputMessage="1" showErrorMessage="1" sqref="C21:C27" xr:uid="{00000000-0002-0000-0800-000003000000}">
      <formula1>$AE$8:$AE$62</formula1>
    </dataValidation>
    <dataValidation type="list" allowBlank="1" showInputMessage="1" showErrorMessage="1" sqref="C33:C34" xr:uid="{00000000-0002-0000-0800-000004000000}">
      <formula1>$AM$10:$AM$19</formula1>
    </dataValidation>
    <dataValidation type="list" allowBlank="1" showInputMessage="1" showErrorMessage="1" sqref="C9:C15" xr:uid="{00000000-0002-0000-0800-000005000000}">
      <formula1>$X$8:$X$28</formula1>
    </dataValidation>
  </dataValidations>
  <pageMargins left="0.7" right="0.7" top="0.75" bottom="0.75" header="0.3" footer="0.3"/>
  <pageSetup paperSize="9" scale="66"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dataBar" id="{0F144A25-A4BB-426B-A12B-3E08583B5E1E}">
            <x14:dataBar minLength="0" maxLength="100" border="1" negativeBarBorderColorSameAsPositive="0">
              <x14:cfvo type="autoMin"/>
              <x14:cfvo type="autoMax"/>
              <x14:borderColor rgb="FF638EC6"/>
              <x14:negativeFillColor rgb="FFFF0000"/>
              <x14:negativeBorderColor rgb="FFFF0000"/>
              <x14:axisColor rgb="FF000000"/>
            </x14:dataBar>
          </x14:cfRule>
          <xm:sqref>G64:I64 G62:G63</xm:sqref>
        </x14:conditionalFormatting>
        <x14:conditionalFormatting xmlns:xm="http://schemas.microsoft.com/office/excel/2006/main">
          <x14:cfRule type="dataBar" id="{9ECC3D72-7973-40DE-9A7B-4B33DE888E45}">
            <x14:dataBar minLength="0" maxLength="100" gradient="0">
              <x14:cfvo type="num">
                <xm:f>0</xm:f>
              </x14:cfvo>
              <x14:cfvo type="num">
                <xm:f>25000</xm:f>
              </x14:cfvo>
              <x14:negativeFillColor rgb="FFFF0000"/>
              <x14:axisColor rgb="FF000000"/>
            </x14:dataBar>
          </x14:cfRule>
          <xm:sqref>O64:P64 E71:N71</xm:sqref>
        </x14:conditionalFormatting>
        <x14:conditionalFormatting xmlns:xm="http://schemas.microsoft.com/office/excel/2006/main">
          <x14:cfRule type="dataBar" id="{64D695AC-C727-4ACD-8433-78356B9BF9B3}">
            <x14:dataBar minLength="0" maxLength="100" gradient="0">
              <x14:cfvo type="num">
                <xm:f>0</xm:f>
              </x14:cfvo>
              <x14:cfvo type="num">
                <xm:f>100000</xm:f>
              </x14:cfvo>
              <x14:negativeFillColor rgb="FFFF0000"/>
              <x14:axisColor rgb="FF000000"/>
            </x14:dataBar>
          </x14:cfRule>
          <xm:sqref>O66:P66 E73:N73 O68:P68 E75:N75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EDFF5A17EBFF408172BFDB5CA07867" ma:contentTypeVersion="9" ma:contentTypeDescription="Create a new document." ma:contentTypeScope="" ma:versionID="ffb3934923690fad9da4c9bcc106c7cb">
  <xsd:schema xmlns:xsd="http://www.w3.org/2001/XMLSchema" xmlns:xs="http://www.w3.org/2001/XMLSchema" xmlns:p="http://schemas.microsoft.com/office/2006/metadata/properties" xmlns:ns1="http://schemas.microsoft.com/sharepoint/v3" xmlns:ns2="32e2fb52-454c-4a55-9e7f-b565c4403fdc" targetNamespace="http://schemas.microsoft.com/office/2006/metadata/properties" ma:root="true" ma:fieldsID="beb74a5a57427645cf1aec0feaa913c1" ns1:_="" ns2:_="">
    <xsd:import namespace="http://schemas.microsoft.com/sharepoint/v3"/>
    <xsd:import namespace="32e2fb52-454c-4a55-9e7f-b565c4403fdc"/>
    <xsd:element name="properties">
      <xsd:complexType>
        <xsd:sequence>
          <xsd:element name="documentManagement">
            <xsd:complexType>
              <xsd:all>
                <xsd:element ref="ns2:CER_x0020_Content_x0020_Approval_x0020_Workflow_x0020_Comments" minOccurs="0"/>
                <xsd:element ref="ns2:CERContentPublishingTaskJobNumber"/>
                <xsd:element ref="ns2:Date_x0020_Submitted" minOccurs="0"/>
                <xsd:element ref="ns2:Requires_x0020_Higher_x0020_Approval" minOccurs="0"/>
                <xsd:element ref="ns2:Submitted_x0020_By" minOccurs="0"/>
                <xsd:element ref="ns1:PublishingStartDate" minOccurs="0"/>
                <xsd:element ref="ns1:PublishingExpirationDate" minOccurs="0"/>
                <xsd:element ref="ns2:CommonTopic" minOccurs="0"/>
                <xsd:element ref="ns1:_dlc_Exempt" minOccurs="0"/>
                <xsd:element ref="ns2:Type_x0020_of_x0020_docu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3"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14"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element name="_dlc_Exempt" ma:index="16"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2e2fb52-454c-4a55-9e7f-b565c4403fdc" elementFormDefault="qualified">
    <xsd:import namespace="http://schemas.microsoft.com/office/2006/documentManagement/types"/>
    <xsd:import namespace="http://schemas.microsoft.com/office/infopath/2007/PartnerControls"/>
    <xsd:element name="CER_x0020_Content_x0020_Approval_x0020_Workflow_x0020_Comments" ma:index="8" nillable="true" ma:displayName="CER Content Approval Workflow Comments" ma:internalName="CER_x0020_Content_x0020_Approval_x0020_Workflow_x0020_Comments">
      <xsd:simpleType>
        <xsd:restriction base="dms:Text">
          <xsd:maxLength value="255"/>
        </xsd:restriction>
      </xsd:simpleType>
    </xsd:element>
    <xsd:element name="CERContentPublishingTaskJobNumber" ma:index="9" ma:displayName="CERContentPublishingTaskJobNumber" ma:default="WM####" ma:internalName="CERContentPublishingTaskJobNumber">
      <xsd:simpleType>
        <xsd:restriction base="dms:Note">
          <xsd:maxLength value="255"/>
        </xsd:restriction>
      </xsd:simpleType>
    </xsd:element>
    <xsd:element name="Date_x0020_Submitted" ma:index="10" nillable="true" ma:displayName="Date Submitted" ma:format="DateOnly" ma:internalName="Date_x0020_Submitted">
      <xsd:simpleType>
        <xsd:restriction base="dms:DateTime"/>
      </xsd:simpleType>
    </xsd:element>
    <xsd:element name="Requires_x0020_Higher_x0020_Approval" ma:index="11" nillable="true" ma:displayName="Requires Higher Approval" ma:default="0" ma:description="Requires Higher Approval" ma:internalName="Requires_x0020_Higher_x0020_Approval">
      <xsd:simpleType>
        <xsd:restriction base="dms:Boolean"/>
      </xsd:simpleType>
    </xsd:element>
    <xsd:element name="Submitted_x0020_By" ma:index="12" nillable="true" ma:displayName="Submitted By" ma:list="UserInfo" ma:SharePointGroup="0" ma:internalName="Submitted_x0020_By"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mmonTopic" ma:index="15" nillable="true" ma:displayName="Topic" ma:internalName="CommonTopic">
      <xsd:complexType>
        <xsd:complexContent>
          <xsd:extension base="dms:MultiChoice">
            <xsd:sequence>
              <xsd:element name="Value" maxOccurs="unbounded" minOccurs="0" nillable="true">
                <xsd:simpleType>
                  <xsd:restriction base="dms:Choice">
                    <xsd:enumeration value="Carbon Farming Initiative"/>
                    <xsd:enumeration value="Carbon Pricing Mechanism"/>
                    <xsd:enumeration value="National Greenhouse and Energy Reporting"/>
                    <xsd:enumeration value="Renewable Energy Target"/>
                    <xsd:enumeration value="Emissions Reduction Fund"/>
                    <xsd:enumeration value="NGER auditors"/>
                    <xsd:enumeration value="Media"/>
                    <xsd:enumeration value="Corporate"/>
                    <xsd:enumeration value="ANREU"/>
                    <xsd:enumeration value="EERS"/>
                    <xsd:enumeration value="REC Registry"/>
                    <xsd:enumeration value="Emissions Reduction Fund - mapping file"/>
                    <xsd:enumeration value="Reports"/>
                    <xsd:enumeration value="Guarantee of Origin"/>
                  </xsd:restriction>
                </xsd:simpleType>
              </xsd:element>
            </xsd:sequence>
          </xsd:extension>
        </xsd:complexContent>
      </xsd:complexType>
    </xsd:element>
    <xsd:element name="Type_x0020_of_x0020_document" ma:index="17" nillable="true" ma:displayName="Type of document" ma:default="general" ma:format="Dropdown" ma:internalName="Type_x0020_of_x0020_document">
      <xsd:simpleType>
        <xsd:restriction base="dms:Choice">
          <xsd:enumeration value="general"/>
          <xsd:enumeration value="ERF project mapping file"/>
          <xsd:enumeration value="consulthub - CERT consult 1 submissions"/>
          <xsd:enumeration value="consulthub - CERT consult 2 submissions"/>
          <xsd:enumeration value="consulthub - CERT consult 3 submission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ERContentPublishingTaskJobNumber xmlns="32e2fb52-454c-4a55-9e7f-b565c4403fdc">PJ230</CERContentPublishingTaskJobNumber>
    <Date_x0020_Submitted xmlns="32e2fb52-454c-4a55-9e7f-b565c4403fdc" xsi:nil="true"/>
    <CER_x0020_Content_x0020_Approval_x0020_Workflow_x0020_Comments xmlns="32e2fb52-454c-4a55-9e7f-b565c4403fdc" xsi:nil="true"/>
    <Type_x0020_of_x0020_document xmlns="32e2fb52-454c-4a55-9e7f-b565c4403fdc">general</Type_x0020_of_x0020_document>
    <Submitted_x0020_By xmlns="32e2fb52-454c-4a55-9e7f-b565c4403fdc">
      <UserInfo>
        <DisplayName/>
        <AccountId xsi:nil="true"/>
        <AccountType/>
      </UserInfo>
    </Submitted_x0020_By>
    <PublishingExpirationDate xmlns="http://schemas.microsoft.com/sharepoint/v3" xsi:nil="true"/>
    <CommonTopic xmlns="32e2fb52-454c-4a55-9e7f-b565c4403fdc">
      <Value>National Greenhouse and Energy Reporting</Value>
    </CommonTopic>
    <Requires_x0020_Higher_x0020_Approval xmlns="32e2fb52-454c-4a55-9e7f-b565c4403fdc">false</Requires_x0020_Higher_x0020_Approval>
    <PublishingStartDate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p:Policy xmlns:p="office.server.policy" id="" local="true">
  <p:Name>Document</p:Name>
  <p:Description/>
  <p:Statement/>
  <p:PolicyItems>
    <p:PolicyItem featureId="Microsoft.Office.RecordsManagement.PolicyFeatures.PolicyAudit" staticId="0x0101006FEDFF5A17EBFF408172BFDB5CA07867|937198175" UniqueId="4978652a-571d-4abe-8789-326422c0f180">
      <p:Name>Auditing</p:Name>
      <p:Description>Audits user actions on documents and list items to the Audit Log.</p:Description>
      <p:CustomData>
        <Audit>
          <View/>
        </Audit>
      </p:CustomData>
    </p:PolicyItem>
  </p:PolicyItems>
</p:Policy>
</file>

<file path=customXml/itemProps1.xml><?xml version="1.0" encoding="utf-8"?>
<ds:datastoreItem xmlns:ds="http://schemas.openxmlformats.org/officeDocument/2006/customXml" ds:itemID="{D38036D3-D839-4524-A2CF-EFD990A22AE6}"/>
</file>

<file path=customXml/itemProps2.xml><?xml version="1.0" encoding="utf-8"?>
<ds:datastoreItem xmlns:ds="http://schemas.openxmlformats.org/officeDocument/2006/customXml" ds:itemID="{24F78BBD-CFDC-46E8-8D6B-50DD7AF3E7C1}">
  <ds:schemaRefs>
    <ds:schemaRef ds:uri="http://purl.org/dc/dcmitype/"/>
    <ds:schemaRef ds:uri="http://purl.org/dc/terms/"/>
    <ds:schemaRef ds:uri="871babd0-649e-439b-8f9e-3ae6f6ddc455"/>
    <ds:schemaRef ds:uri="http://purl.org/dc/elements/1.1/"/>
    <ds:schemaRef ds:uri="http://schemas.microsoft.com/office/2006/documentManagement/types"/>
    <ds:schemaRef ds:uri="http://schemas.microsoft.com/office/2006/metadata/properties"/>
    <ds:schemaRef ds:uri="http://schemas.openxmlformats.org/package/2006/metadata/core-properties"/>
    <ds:schemaRef ds:uri="http://schemas.microsoft.com/office/infopath/2007/PartnerControls"/>
    <ds:schemaRef ds:uri="c6316d3a-5909-4de2-ab67-c254b91b5638"/>
    <ds:schemaRef ds:uri="http://www.w3.org/XML/1998/namespace"/>
  </ds:schemaRefs>
</ds:datastoreItem>
</file>

<file path=customXml/itemProps3.xml><?xml version="1.0" encoding="utf-8"?>
<ds:datastoreItem xmlns:ds="http://schemas.openxmlformats.org/officeDocument/2006/customXml" ds:itemID="{830E28AC-197B-4CAE-B634-E8BE46CFF452}">
  <ds:schemaRefs>
    <ds:schemaRef ds:uri="http://schemas.microsoft.com/sharepoint/v3/contenttype/forms"/>
  </ds:schemaRefs>
</ds:datastoreItem>
</file>

<file path=customXml/itemProps4.xml><?xml version="1.0" encoding="utf-8"?>
<ds:datastoreItem xmlns:ds="http://schemas.openxmlformats.org/officeDocument/2006/customXml" ds:itemID="{AF89D5B9-A040-42C0-BEF6-CD2786EF44D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Start page</vt:lpstr>
      <vt:lpstr>Facility 1</vt:lpstr>
      <vt:lpstr>Facility 2</vt:lpstr>
      <vt:lpstr>Facility 3</vt:lpstr>
      <vt:lpstr>Facility 4</vt:lpstr>
      <vt:lpstr>Facility 5</vt:lpstr>
      <vt:lpstr>Facility 6</vt:lpstr>
      <vt:lpstr>Output</vt:lpstr>
      <vt:lpstr>Example</vt:lpstr>
      <vt:lpstr> Convert &amp; Lookup</vt:lpstr>
      <vt:lpstr>About</vt:lpstr>
      <vt:lpstr>Example!Print_Area</vt:lpstr>
      <vt:lpstr>'Facility 1'!Print_Area</vt:lpstr>
      <vt:lpstr>'Facility 2'!Print_Area</vt:lpstr>
      <vt:lpstr>'Facility 3'!Print_Area</vt:lpstr>
      <vt:lpstr>'Facility 4'!Print_Area</vt:lpstr>
      <vt:lpstr>'Facility 5'!Print_Area</vt:lpstr>
      <vt:lpstr>'Facility 6'!Print_Area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NGER Emissions and Energy Threshold Calculator 2019-20</dc:title>
  <dc:subject/>
  <dc:creator>Griffiths, Warren</dc:creator>
  <cp:keywords/>
  <dc:description/>
  <cp:lastModifiedBy>Poulsen, Benjamin</cp:lastModifiedBy>
  <cp:lastPrinted>2018-07-09T02:45:46Z</cp:lastPrinted>
  <dcterms:created xsi:type="dcterms:W3CDTF">2016-11-28T21:56:25Z</dcterms:created>
  <dcterms:modified xsi:type="dcterms:W3CDTF">2020-09-03T10:13:35Z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0x0101006FEDFF5A17EBFF408172BFDB5CA07867</vt:lpwstr>
  </property>
  <property fmtid="{D5CDD505-2E9C-101B-9397-08002B2CF9AE}" pid="3" name="CER_Scheme">
    <vt:lpwstr/>
  </property>
  <property fmtid="{D5CDD505-2E9C-101B-9397-08002B2CF9AE}" pid="4" name="CER_FileKeywords">
    <vt:lpwstr/>
  </property>
  <property fmtid="{D5CDD505-2E9C-101B-9397-08002B2CF9AE}" pid="5" name="CER_Client">
    <vt:lpwstr/>
  </property>
  <property fmtid="{D5CDD505-2E9C-101B-9397-08002B2CF9AE}" pid="6" name="CER_State">
    <vt:lpwstr/>
  </property>
  <property fmtid="{D5CDD505-2E9C-101B-9397-08002B2CF9AE}" pid="7" name="_dlc_DocIdItemGuid">
    <vt:lpwstr>ae9a6044-db94-4ada-b279-cc4ff78a1768</vt:lpwstr>
  </property>
  <property fmtid="{D5CDD505-2E9C-101B-9397-08002B2CF9AE}" pid="8" name="EDi_DocumentKeywords">
    <vt:lpwstr>91;#National Greenhouse and Energy Reporting|159c21fe-d4d3-4a21-8cdc-77dc59bc4b7d;#442;#Calculator|3cd91bad-1445-4cac-82b1-0631b2434b61</vt:lpwstr>
  </property>
  <property fmtid="{D5CDD505-2E9C-101B-9397-08002B2CF9AE}" pid="9" name="CER_Agency">
    <vt:lpwstr>2;#CER|7c351735-8870-4994-a055-6e7c190beaa2</vt:lpwstr>
  </property>
</Properties>
</file>