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tha\Documents\GitHub\ai-pothole-models\modules\area_estimation\3280x2464\"/>
    </mc:Choice>
  </mc:AlternateContent>
  <xr:revisionPtr revIDLastSave="0" documentId="13_ncr:1_{02F7CC07-52CA-4755-8A31-D9C557D3CC1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y-scaling factor" sheetId="1" r:id="rId1"/>
    <sheet name="x-scaling facto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6" i="4"/>
  <c r="F5" i="4"/>
  <c r="F4" i="4"/>
  <c r="F3" i="4"/>
  <c r="K14" i="4"/>
  <c r="J14" i="4"/>
  <c r="L14" i="4" s="1"/>
  <c r="G7" i="4"/>
  <c r="G6" i="4"/>
  <c r="M5" i="4"/>
  <c r="L8" i="4" s="1"/>
  <c r="L5" i="4"/>
  <c r="K5" i="4"/>
  <c r="K8" i="4" s="1"/>
  <c r="M8" i="4" s="1"/>
  <c r="G5" i="4"/>
  <c r="H5" i="4" s="1"/>
  <c r="G4" i="4"/>
  <c r="H4" i="4" s="1"/>
  <c r="G3" i="4"/>
  <c r="H3" i="4" s="1"/>
  <c r="L14" i="1"/>
  <c r="K14" i="1"/>
  <c r="J14" i="1"/>
  <c r="H17" i="1"/>
  <c r="M5" i="1"/>
  <c r="L8" i="1" s="1"/>
  <c r="L5" i="1"/>
  <c r="K8" i="1" s="1"/>
  <c r="K5" i="1"/>
  <c r="H3" i="1"/>
  <c r="H4" i="1"/>
  <c r="H5" i="1"/>
  <c r="H6" i="1"/>
  <c r="H7" i="1"/>
  <c r="H8" i="1"/>
  <c r="H9" i="1"/>
  <c r="G4" i="1"/>
  <c r="G5" i="1"/>
  <c r="G6" i="1"/>
  <c r="G7" i="1"/>
  <c r="G8" i="1"/>
  <c r="G9" i="1"/>
  <c r="G3" i="1"/>
  <c r="F9" i="1"/>
  <c r="F8" i="1"/>
  <c r="F7" i="1"/>
  <c r="F6" i="1"/>
  <c r="F5" i="1"/>
  <c r="F4" i="1"/>
  <c r="F3" i="1"/>
  <c r="H7" i="4" l="1"/>
  <c r="H17" i="4"/>
  <c r="H6" i="4"/>
  <c r="M8" i="1"/>
</calcChain>
</file>

<file path=xl/sharedStrings.xml><?xml version="1.0" encoding="utf-8"?>
<sst xmlns="http://schemas.openxmlformats.org/spreadsheetml/2006/main" count="83" uniqueCount="57">
  <si>
    <t>Rectangle</t>
  </si>
  <si>
    <t>(508, 1484)</t>
  </si>
  <si>
    <t>(2816, 2460)</t>
  </si>
  <si>
    <t>(1340, 1096)</t>
  </si>
  <si>
    <t>(1944, 1220)</t>
  </si>
  <si>
    <t>(1662, 1972)</t>
  </si>
  <si>
    <t>(1468, 980)</t>
  </si>
  <si>
    <t>(1828, 1032)</t>
  </si>
  <si>
    <t>(1766, 954)</t>
  </si>
  <si>
    <t>(1520, 928)</t>
  </si>
  <si>
    <t>(1548, 894)</t>
  </si>
  <si>
    <t>(1738, 907)</t>
  </si>
  <si>
    <t>(1718, 878)</t>
  </si>
  <si>
    <t>(1706, 857)</t>
  </si>
  <si>
    <t>(1576, 851)</t>
  </si>
  <si>
    <t>(1564, 869)</t>
  </si>
  <si>
    <t>(1642, 1158)</t>
  </si>
  <si>
    <t>(1648, 1006)</t>
  </si>
  <si>
    <t>(1643, 941)</t>
  </si>
  <si>
    <t>(1643, 900)</t>
  </si>
  <si>
    <t>(1641, 873)</t>
  </si>
  <si>
    <t>(1641, 854)</t>
  </si>
  <si>
    <t>Distance from camera to
 centre of rectangle (pixels)</t>
  </si>
  <si>
    <t>Scaling Factor Needed
(m2/pixel)</t>
  </si>
  <si>
    <t>Bounding box coordinates
(top left, bottom right)</t>
  </si>
  <si>
    <t>y-axis distance from camera
(pixels)</t>
  </si>
  <si>
    <t>a</t>
  </si>
  <si>
    <t>b</t>
  </si>
  <si>
    <t>c</t>
  </si>
  <si>
    <t>d</t>
  </si>
  <si>
    <t>Bounding box area
(pixel^2)</t>
  </si>
  <si>
    <t>Actual bounding box area
(m^2)</t>
  </si>
  <si>
    <t>Scaling Factor Needed
(m^2/pixel^2)</t>
  </si>
  <si>
    <t>pt1</t>
  </si>
  <si>
    <t>(3187.6, 2464.0)</t>
  </si>
  <si>
    <t>pt2</t>
  </si>
  <si>
    <t>x2-x1</t>
  </si>
  <si>
    <t>y2-y1</t>
  </si>
  <si>
    <t>area in pixels</t>
  </si>
  <si>
    <t xml:space="preserve">y distance </t>
  </si>
  <si>
    <t>scaling factor</t>
  </si>
  <si>
    <t>FINAL AREA</t>
  </si>
  <si>
    <t>210.3, 11.29</t>
  </si>
  <si>
    <t>714.7, 606.91, 978.96, 652.99</t>
  </si>
  <si>
    <t>THIRD ROW</t>
  </si>
  <si>
    <t>CENTER COLUMN</t>
  </si>
  <si>
    <t>x-axis distance from camera
(pixels)</t>
  </si>
  <si>
    <t>(138, 981)</t>
  </si>
  <si>
    <t>(759, 981)</t>
  </si>
  <si>
    <t>(1212, 1038)</t>
  </si>
  <si>
    <t>(696, 1038)</t>
  </si>
  <si>
    <t>(1467, 981)</t>
  </si>
  <si>
    <t>(1821, 1038)</t>
  </si>
  <si>
    <t>(2010, 981)</t>
  </si>
  <si>
    <t>(2454, 1038)</t>
  </si>
  <si>
    <t>(2586, 981)</t>
  </si>
  <si>
    <t>(3162, 1038)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</si>
</sst>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2" borderId="0" xfId="0" applyFont="1" applyFill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Scaling Factor Needed
(m2/pixel2)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'y-scaling factor'!$D$16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00864433952508E-2"/>
                  <c:y val="-1.0522396304875599E-2"/>
                </c:manualLayout>
              </c:layout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A"/>
                </a:p>
              </c:txPr>
            </c:trendlineLbl>
          </c:trendline>
          <c:xVal>
            <c:numRef>
              <c:f>'y-scaling factor'!$C$17:$C$23</c:f>
              <c:numCache>
                <c:formatCode>General</c:formatCode>
                <c:ptCount val="7"/>
                <c:pt idx="0">
                  <c:v>1972</c:v>
                </c:pt>
                <c:pt idx="1">
                  <c:v>1158</c:v>
                </c:pt>
                <c:pt idx="2">
                  <c:v>1006</c:v>
                </c:pt>
                <c:pt idx="3">
                  <c:v>941</c:v>
                </c:pt>
                <c:pt idx="4">
                  <c:v>900</c:v>
                </c:pt>
                <c:pt idx="5">
                  <c:v>873</c:v>
                </c:pt>
                <c:pt idx="6">
                  <c:v>854</c:v>
                </c:pt>
              </c:numCache>
            </c:numRef>
          </c:xVal>
          <c:yVal>
            <c:numRef>
              <c:f>'y-scaling factor'!$D$17:$D$23</c:f>
              <c:numCache>
                <c:formatCode>0.00E+00</c:formatCode>
                <c:ptCount val="7"/>
                <c:pt idx="0">
                  <c:v>1.1098247009688326E-7</c:v>
                </c:pt>
                <c:pt idx="1">
                  <c:v>3.3379619739371929E-6</c:v>
                </c:pt>
                <c:pt idx="2">
                  <c:v>1.3354700854700855E-5</c:v>
                </c:pt>
                <c:pt idx="3">
                  <c:v>3.908692933083177E-5</c:v>
                </c:pt>
                <c:pt idx="4">
                  <c:v>1.0121457489878542E-4</c:v>
                </c:pt>
                <c:pt idx="5">
                  <c:v>1.8037518037518038E-4</c:v>
                </c:pt>
                <c:pt idx="6">
                  <c:v>3.2051282051282051E-4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D36-A40A-793876FDF146}"/>
            </c:ext>
          </c:extLst>
        </c:ser>
        <c:ser>
          <c:idx val="1"/>
          <c:order val="1"/>
          <c:tx>
            <c:v>bla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'y-scaling factor'!$M$5</c:f>
              <c:numCache>
                <c:formatCode>General</c:formatCode>
                <c:ptCount val="1"/>
                <c:pt idx="0">
                  <c:v>742.61500000000001</c:v>
                </c:pt>
              </c:numCache>
            </c:numRef>
          </c:xVal>
          <c:yVal>
            <c:numRef>
              <c:f>'y-scaling factor'!$L$8</c:f>
              <c:numCache>
                <c:formatCode>General</c:formatCode>
                <c:ptCount val="1"/>
                <c:pt idx="0">
                  <c:v>7.7747708563198579E-5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6-4565-8348-7F6E259D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2992"/>
        <c:axId val="767901552"/>
      </c:scatterChart>
      <c:valAx>
        <c:axId val="7679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camera y-axis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1552"/>
        <c:crosses val="autoZero"/>
        <c:crossBetween val="midCat"/>
      </c:valAx>
      <c:valAx>
        <c:axId val="767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</a:t>
                </a:r>
                <a:r>
                  <a:rPr lang="en-CA" baseline="0"/>
                  <a:t> (m2/pixel^2</a:t>
                </a:r>
              </a:p>
              <a:p>
                <a:pPr>
                  <a:defRPr/>
                </a:pPr>
                <a:r>
                  <a:rPr lang="en-CA" baseline="0"/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Factor Needed (m2/pixel^2)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'x-scaling factor'!$E$16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'x-scaling factor'!$D$17:$D$21</c:f>
              <c:numCache>
                <c:formatCode>General</c:formatCode>
                <c:ptCount val="5"/>
                <c:pt idx="0">
                  <c:v>417</c:v>
                </c:pt>
                <c:pt idx="1">
                  <c:v>986</c:v>
                </c:pt>
                <c:pt idx="2">
                  <c:v>1644</c:v>
                </c:pt>
                <c:pt idx="3">
                  <c:v>2232</c:v>
                </c:pt>
                <c:pt idx="4">
                  <c:v>2874</c:v>
                </c:pt>
              </c:numCache>
            </c:numRef>
          </c:xVal>
          <c:yVal>
            <c:numRef>
              <c:f>'x-scaling factor'!$E$17:$E$21</c:f>
              <c:numCache>
                <c:formatCode>0.000000000000000</c:formatCode>
                <c:ptCount val="5"/>
                <c:pt idx="0">
                  <c:v>7.8601521725460613E-6</c:v>
                </c:pt>
                <c:pt idx="1">
                  <c:v>9.6820417489640218E-6</c:v>
                </c:pt>
                <c:pt idx="2">
                  <c:v>1.2389731390623451E-5</c:v>
                </c:pt>
                <c:pt idx="3" formatCode="0.0000000000000000">
                  <c:v>9.8782993519835626E-6</c:v>
                </c:pt>
                <c:pt idx="4" formatCode="0.0000000000000000">
                  <c:v>7.6145224171539957E-6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F-432C-87CF-57B13FFB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549279"/>
        <c:axId val="18115497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rise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'x-scaling factor'!$D$16:$D$19</c15:sqref>
                        </c15:formulaRef>
                      </c:ext>
                    </c:extLst>
                    <c:strCache>
                      <c:ptCount val="4"/>
                      <c:pt idx="0">
                        <c:v>x-axis distance from camera
(pixels)</c:v>
                      </c:pt>
                      <c:pt idx="1">
                        <c:v>417</c:v>
                      </c:pt>
                      <c:pt idx="2">
                        <c:v>986</c:v>
                      </c:pt>
                      <c:pt idx="3">
                        <c:v>1644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'x-scaling factor'!$E$16:$E$19</c15:sqref>
                        </c15:formulaRef>
                      </c:ext>
                    </c:extLst>
                    <c:numCache>
                      <c:formatCode>0.000000000000000</c:formatCode>
                      <c:ptCount val="4"/>
                      <c:pt idx="0" formatCode="General">
                        <c:v>0</c:v>
                      </c:pt>
                      <c:pt idx="1">
                        <c:v>7.8601521725460613E-6</c:v>
                      </c:pt>
                      <c:pt idx="2">
                        <c:v>9.6820417489640218E-6</c:v>
                      </c:pt>
                      <c:pt idx="3">
                        <c:v>1.2389731390623451E-5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56F-432C-87CF-57B13FFBBF3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fall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'x-scaling factor'!$B$16:$B$19</c15:sqref>
                        </c15:formulaRef>
                      </c:ext>
                    </c:extLst>
                    <c:strCache>
                      <c:ptCount val="4"/>
                      <c:pt idx="0">
                        <c:v>x-axis distance from camera
(pixels)</c:v>
                      </c:pt>
                      <c:pt idx="1">
                        <c:v>1644</c:v>
                      </c:pt>
                      <c:pt idx="2">
                        <c:v>2232</c:v>
                      </c:pt>
                      <c:pt idx="3">
                        <c:v>2874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'x-scaling factor'!$C$16:$C$19</c15:sqref>
                        </c15:formulaRef>
                      </c:ext>
                    </c:extLst>
                    <c:numCache>
                      <c:formatCode>0.000000000000000</c:formatCode>
                      <c:ptCount val="4"/>
                      <c:pt idx="0" formatCode="General">
                        <c:v>0</c:v>
                      </c:pt>
                      <c:pt idx="1">
                        <c:v>1.2389731390623451E-5</c:v>
                      </c:pt>
                      <c:pt idx="2" formatCode="0.0000000000000000">
                        <c:v>9.8782993519835626E-6</c:v>
                      </c:pt>
                      <c:pt idx="3" formatCode="0.0000000000000000">
                        <c:v>7.6145224171539957E-6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56F-432C-87CF-57B13FFBBF31}"/>
                  </c:ext>
                </c:extLst>
              </c15:ser>
            </c15:filteredScatterSeries>
          </c:ext>
        </c:extLst>
      </c:scatterChart>
      <c:valAx>
        <c:axId val="18115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from camera x-axis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9759"/>
        <c:crosses val="autoZero"/>
        <c:crossBetween val="midCat"/>
      </c:valAx>
      <c:valAx>
        <c:axId val="18115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 (m2/pixel^2)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25</xdr:row>
      <xdr:rowOff>47623</xdr:rowOff>
    </xdr:from>
    <xdr:to>
      <xdr:col>9</xdr:col>
      <xdr:colOff>342899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1356-42CE-C214-08C8-6ED8C7A3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625959</xdr:colOff>
      <xdr:row>22</xdr:row>
      <xdr:rowOff>142898</xdr:rowOff>
    </xdr:from>
    <xdr:to>
      <xdr:col>5</xdr:col>
      <xdr:colOff>1942296</xdr:colOff>
      <xdr:row>48</xdr:row>
      <xdr:rowOff>112922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74A63-FB7F-B845-FA12-2C9CF2C4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85" zoomScaleNormal="85" workbookViewId="0">
      <selection activeCell="M35" sqref="M35"/>
    </sheetView>
  </sheetViews>
  <sheetFormatPr defaultRowHeight="14.25" x14ac:dyDescent="0.45"/>
  <cols>
    <col min="1" max="1" width="11.6640625" bestFit="1" customWidth="1"/>
    <col min="2" max="2" width="24.06640625" bestFit="1" customWidth="1"/>
    <col min="3" max="3" width="24.33203125" bestFit="1" customWidth="1"/>
    <col min="4" max="4" width="29.6640625" bestFit="1" customWidth="1"/>
    <col min="5" max="5" width="15.3984375" customWidth="1"/>
    <col min="6" max="6" width="32.73046875" customWidth="1"/>
    <col min="7" max="7" width="22.19921875" bestFit="1" customWidth="1"/>
    <col min="8" max="8" width="19.3984375" bestFit="1" customWidth="1"/>
    <col min="9" max="9" width="7.796875" bestFit="1" customWidth="1"/>
    <col min="11" max="11" width="11.59765625" bestFit="1" customWidth="1"/>
    <col min="12" max="12" width="13.86328125" bestFit="1" customWidth="1"/>
    <col min="13" max="13" width="11.73046875" bestFit="1" customWidth="1"/>
  </cols>
  <sheetData>
    <row r="1" spans="1:13" ht="25.5" x14ac:dyDescent="0.75">
      <c r="A1" s="9" t="s">
        <v>45</v>
      </c>
      <c r="B1" s="10"/>
      <c r="D1" s="12"/>
      <c r="E1" s="12"/>
    </row>
    <row r="2" spans="1:13" ht="28.5" x14ac:dyDescent="0.45">
      <c r="A2" s="3" t="s">
        <v>0</v>
      </c>
      <c r="B2" s="4" t="s">
        <v>22</v>
      </c>
      <c r="C2" s="4" t="s">
        <v>25</v>
      </c>
      <c r="D2" s="13" t="s">
        <v>24</v>
      </c>
      <c r="E2" s="14"/>
      <c r="F2" s="4" t="s">
        <v>30</v>
      </c>
      <c r="G2" s="4" t="s">
        <v>31</v>
      </c>
      <c r="H2" s="4" t="s">
        <v>32</v>
      </c>
      <c r="I2" s="4"/>
      <c r="J2" s="4"/>
      <c r="K2" s="4" t="s">
        <v>33</v>
      </c>
      <c r="L2" s="4" t="s">
        <v>35</v>
      </c>
    </row>
    <row r="3" spans="1:13" x14ac:dyDescent="0.45">
      <c r="A3">
        <v>1</v>
      </c>
      <c r="B3" s="1" t="s">
        <v>5</v>
      </c>
      <c r="C3">
        <v>1972</v>
      </c>
      <c r="D3" s="1" t="s">
        <v>1</v>
      </c>
      <c r="E3" s="1" t="s">
        <v>2</v>
      </c>
      <c r="F3">
        <f>(2816-508)*(2460-1484)</f>
        <v>2252608</v>
      </c>
      <c r="G3">
        <f>0.5*0.5</f>
        <v>0.25</v>
      </c>
      <c r="H3" s="6">
        <f>G3/F3</f>
        <v>1.1098247009688326E-7</v>
      </c>
      <c r="K3" t="s">
        <v>42</v>
      </c>
      <c r="L3" t="s">
        <v>34</v>
      </c>
    </row>
    <row r="4" spans="1:13" x14ac:dyDescent="0.45">
      <c r="A4">
        <v>2</v>
      </c>
      <c r="B4" s="1" t="s">
        <v>16</v>
      </c>
      <c r="C4">
        <v>1158</v>
      </c>
      <c r="D4" s="1" t="s">
        <v>3</v>
      </c>
      <c r="E4" s="1" t="s">
        <v>4</v>
      </c>
      <c r="F4">
        <f>(1944-1340)*(1220-1096)</f>
        <v>74896</v>
      </c>
      <c r="G4">
        <f t="shared" ref="G4:G9" si="0">0.5*0.5</f>
        <v>0.25</v>
      </c>
      <c r="H4" s="6">
        <f t="shared" ref="H4:H9" si="1">G4/F4</f>
        <v>3.3379619739371929E-6</v>
      </c>
      <c r="K4" s="8" t="s">
        <v>36</v>
      </c>
      <c r="L4" s="8" t="s">
        <v>37</v>
      </c>
      <c r="M4" s="8" t="s">
        <v>39</v>
      </c>
    </row>
    <row r="5" spans="1:13" x14ac:dyDescent="0.45">
      <c r="A5">
        <v>3</v>
      </c>
      <c r="B5" s="5" t="s">
        <v>17</v>
      </c>
      <c r="C5" s="2">
        <v>1006</v>
      </c>
      <c r="D5" s="1" t="s">
        <v>6</v>
      </c>
      <c r="E5" s="1" t="s">
        <v>7</v>
      </c>
      <c r="F5">
        <f>(1828-1468)*(1032-980)</f>
        <v>18720</v>
      </c>
      <c r="G5">
        <f t="shared" si="0"/>
        <v>0.25</v>
      </c>
      <c r="H5" s="6">
        <f t="shared" si="1"/>
        <v>1.3354700854700855E-5</v>
      </c>
      <c r="I5" s="2"/>
      <c r="K5">
        <f>572.06-78.04</f>
        <v>494.01999999999992</v>
      </c>
      <c r="L5">
        <f>781.95-703.28</f>
        <v>78.670000000000073</v>
      </c>
      <c r="M5">
        <f>(703.28+781.95)/2</f>
        <v>742.61500000000001</v>
      </c>
    </row>
    <row r="6" spans="1:13" x14ac:dyDescent="0.45">
      <c r="A6">
        <v>4</v>
      </c>
      <c r="B6" s="5" t="s">
        <v>18</v>
      </c>
      <c r="C6" s="2">
        <v>941</v>
      </c>
      <c r="D6" s="1" t="s">
        <v>9</v>
      </c>
      <c r="E6" s="1" t="s">
        <v>8</v>
      </c>
      <c r="F6">
        <f>(1766-1520)*(954-928)</f>
        <v>6396</v>
      </c>
      <c r="G6">
        <f t="shared" si="0"/>
        <v>0.25</v>
      </c>
      <c r="H6" s="6">
        <f t="shared" si="1"/>
        <v>3.908692933083177E-5</v>
      </c>
      <c r="I6" s="2"/>
    </row>
    <row r="7" spans="1:13" x14ac:dyDescent="0.45">
      <c r="A7">
        <v>5</v>
      </c>
      <c r="B7" s="5" t="s">
        <v>19</v>
      </c>
      <c r="C7" s="2">
        <v>900</v>
      </c>
      <c r="D7" s="1" t="s">
        <v>10</v>
      </c>
      <c r="E7" s="1" t="s">
        <v>11</v>
      </c>
      <c r="F7">
        <f>(1738-1548)*(907-894)</f>
        <v>2470</v>
      </c>
      <c r="G7">
        <f t="shared" si="0"/>
        <v>0.25</v>
      </c>
      <c r="H7" s="6">
        <f t="shared" si="1"/>
        <v>1.0121457489878542E-4</v>
      </c>
      <c r="I7" s="2"/>
      <c r="K7" s="8" t="s">
        <v>38</v>
      </c>
      <c r="L7" s="8" t="s">
        <v>40</v>
      </c>
      <c r="M7" s="8" t="s">
        <v>41</v>
      </c>
    </row>
    <row r="8" spans="1:13" x14ac:dyDescent="0.45">
      <c r="A8">
        <v>6</v>
      </c>
      <c r="B8" s="5" t="s">
        <v>20</v>
      </c>
      <c r="C8" s="2">
        <v>873</v>
      </c>
      <c r="D8" s="1" t="s">
        <v>15</v>
      </c>
      <c r="E8" s="1" t="s">
        <v>12</v>
      </c>
      <c r="F8">
        <f>(1718-1564)*(878-869)</f>
        <v>1386</v>
      </c>
      <c r="G8">
        <f t="shared" si="0"/>
        <v>0.25</v>
      </c>
      <c r="H8" s="6">
        <f t="shared" si="1"/>
        <v>1.8037518037518038E-4</v>
      </c>
      <c r="I8" s="2"/>
      <c r="K8">
        <f>K5*L5</f>
        <v>38864.553400000033</v>
      </c>
      <c r="L8">
        <f>G17/(G18+G19*(M5)+G20*(M5*M5))</f>
        <v>7.7747708563198579E-5</v>
      </c>
      <c r="M8">
        <f>K8*L8</f>
        <v>3.0216299711820711</v>
      </c>
    </row>
    <row r="9" spans="1:13" x14ac:dyDescent="0.45">
      <c r="A9">
        <v>7</v>
      </c>
      <c r="B9" s="5" t="s">
        <v>21</v>
      </c>
      <c r="C9" s="2">
        <v>854</v>
      </c>
      <c r="D9" s="1" t="s">
        <v>14</v>
      </c>
      <c r="E9" s="1" t="s">
        <v>13</v>
      </c>
      <c r="F9">
        <f>(1706-1576)*(857-851)</f>
        <v>780</v>
      </c>
      <c r="G9">
        <f t="shared" si="0"/>
        <v>0.25</v>
      </c>
      <c r="H9" s="6">
        <f t="shared" si="1"/>
        <v>3.2051282051282051E-4</v>
      </c>
      <c r="I9" s="2"/>
    </row>
    <row r="13" spans="1:13" x14ac:dyDescent="0.45">
      <c r="J13" t="s">
        <v>43</v>
      </c>
    </row>
    <row r="14" spans="1:13" x14ac:dyDescent="0.45">
      <c r="J14">
        <f>978.96-714.7</f>
        <v>264.26</v>
      </c>
      <c r="K14">
        <f>652.99-606.91</f>
        <v>46.080000000000041</v>
      </c>
      <c r="L14">
        <f>J14*K14</f>
        <v>12177.100800000011</v>
      </c>
    </row>
    <row r="16" spans="1:13" ht="28.5" x14ac:dyDescent="0.45">
      <c r="C16" s="4" t="s">
        <v>25</v>
      </c>
      <c r="D16" s="8" t="s">
        <v>23</v>
      </c>
      <c r="G16" s="4"/>
    </row>
    <row r="17" spans="3:8" x14ac:dyDescent="0.45">
      <c r="C17">
        <v>1972</v>
      </c>
      <c r="D17" s="15">
        <v>1.1098247009688326E-7</v>
      </c>
      <c r="F17" s="7" t="s">
        <v>26</v>
      </c>
      <c r="G17">
        <v>-2.2788150560381401E-4</v>
      </c>
      <c r="H17">
        <f>G17/(G18+G19*(M5)+G20*(M5*M5))</f>
        <v>7.7747708563198579E-5</v>
      </c>
    </row>
    <row r="18" spans="3:8" x14ac:dyDescent="0.45">
      <c r="C18">
        <v>1158</v>
      </c>
      <c r="D18" s="15">
        <v>3.3379619739371929E-6</v>
      </c>
      <c r="F18" s="7" t="s">
        <v>27</v>
      </c>
      <c r="G18">
        <v>-249.575444271701</v>
      </c>
    </row>
    <row r="19" spans="3:8" x14ac:dyDescent="0.45">
      <c r="C19" s="2">
        <v>1006</v>
      </c>
      <c r="D19" s="15">
        <v>1.3354700854700855E-5</v>
      </c>
      <c r="F19" s="7" t="s">
        <v>28</v>
      </c>
      <c r="G19">
        <v>0.60361848274124597</v>
      </c>
    </row>
    <row r="20" spans="3:8" x14ac:dyDescent="0.45">
      <c r="C20" s="2">
        <v>941</v>
      </c>
      <c r="D20" s="15">
        <v>3.908692933083177E-5</v>
      </c>
      <c r="F20" s="7" t="s">
        <v>29</v>
      </c>
      <c r="G20">
        <v>-3.6558500089469299E-4</v>
      </c>
    </row>
    <row r="21" spans="3:8" x14ac:dyDescent="0.45">
      <c r="C21" s="2">
        <v>900</v>
      </c>
      <c r="D21" s="15">
        <v>1.0121457489878542E-4</v>
      </c>
      <c r="F21" s="6"/>
    </row>
    <row r="22" spans="3:8" x14ac:dyDescent="0.45">
      <c r="C22" s="2">
        <v>873</v>
      </c>
      <c r="D22" s="15">
        <v>1.8037518037518038E-4</v>
      </c>
      <c r="F22" s="6"/>
    </row>
    <row r="23" spans="3:8" x14ac:dyDescent="0.45">
      <c r="C23" s="2">
        <v>854</v>
      </c>
      <c r="D23" s="15">
        <v>3.2051282051282051E-4</v>
      </c>
      <c r="F23" s="6"/>
    </row>
    <row r="24" spans="3:8" x14ac:dyDescent="0.45">
      <c r="D24" s="2"/>
    </row>
    <row r="25" spans="3:8" x14ac:dyDescent="0.45">
      <c r="D25" s="2"/>
    </row>
    <row r="26" spans="3:8" x14ac:dyDescent="0.45">
      <c r="D26" s="2"/>
    </row>
    <row r="27" spans="3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50E9-E4C9-46DC-A3D5-132ED23BE96B}">
  <dimension ref="A1:M27"/>
  <sheetViews>
    <sheetView topLeftCell="A13" zoomScale="115" zoomScaleNormal="115" workbookViewId="0">
      <selection activeCell="F18" sqref="F18"/>
    </sheetView>
  </sheetViews>
  <sheetFormatPr defaultRowHeight="14.25" x14ac:dyDescent="0.45"/>
  <cols>
    <col min="1" max="1" width="11.6640625" bestFit="1" customWidth="1"/>
    <col min="2" max="2" width="24.06640625" bestFit="1" customWidth="1"/>
    <col min="3" max="3" width="28.3984375" bestFit="1" customWidth="1"/>
    <col min="4" max="4" width="29.6640625" bestFit="1" customWidth="1"/>
    <col min="5" max="5" width="28.3984375" bestFit="1" customWidth="1"/>
    <col min="6" max="6" width="32.73046875" customWidth="1"/>
    <col min="7" max="7" width="22.19921875" bestFit="1" customWidth="1"/>
    <col min="8" max="8" width="19.3984375" bestFit="1" customWidth="1"/>
    <col min="9" max="9" width="7.796875" bestFit="1" customWidth="1"/>
    <col min="11" max="11" width="11.59765625" bestFit="1" customWidth="1"/>
    <col min="12" max="12" width="13.86328125" bestFit="1" customWidth="1"/>
    <col min="13" max="13" width="11.73046875" bestFit="1" customWidth="1"/>
  </cols>
  <sheetData>
    <row r="1" spans="1:13" ht="25.5" x14ac:dyDescent="0.75">
      <c r="A1" s="9" t="s">
        <v>44</v>
      </c>
      <c r="B1" s="10"/>
      <c r="D1" s="12"/>
      <c r="E1" s="12"/>
    </row>
    <row r="2" spans="1:13" ht="42.75" x14ac:dyDescent="0.45">
      <c r="A2" s="3" t="s">
        <v>0</v>
      </c>
      <c r="B2" s="4" t="s">
        <v>22</v>
      </c>
      <c r="C2" s="4" t="s">
        <v>46</v>
      </c>
      <c r="D2" s="13" t="s">
        <v>24</v>
      </c>
      <c r="E2" s="14"/>
      <c r="F2" s="4" t="s">
        <v>30</v>
      </c>
      <c r="G2" s="4" t="s">
        <v>31</v>
      </c>
      <c r="H2" s="4" t="s">
        <v>32</v>
      </c>
      <c r="I2" s="4"/>
      <c r="J2" s="4"/>
      <c r="K2" s="4" t="s">
        <v>33</v>
      </c>
      <c r="L2" s="4" t="s">
        <v>35</v>
      </c>
    </row>
    <row r="3" spans="1:13" x14ac:dyDescent="0.45">
      <c r="A3">
        <v>1</v>
      </c>
      <c r="C3">
        <v>417</v>
      </c>
      <c r="D3" s="1" t="s">
        <v>47</v>
      </c>
      <c r="E3" s="1" t="s">
        <v>50</v>
      </c>
      <c r="F3">
        <f>(696-138)*(1038-981)</f>
        <v>31806</v>
      </c>
      <c r="G3">
        <f>0.5*0.5</f>
        <v>0.25</v>
      </c>
      <c r="H3" s="6">
        <f>G3/F3</f>
        <v>7.8601521725460613E-6</v>
      </c>
      <c r="K3" t="s">
        <v>42</v>
      </c>
      <c r="L3" t="s">
        <v>34</v>
      </c>
    </row>
    <row r="4" spans="1:13" x14ac:dyDescent="0.45">
      <c r="A4">
        <v>2</v>
      </c>
      <c r="B4" s="1"/>
      <c r="C4">
        <v>986</v>
      </c>
      <c r="D4" s="1" t="s">
        <v>48</v>
      </c>
      <c r="E4" s="1" t="s">
        <v>49</v>
      </c>
      <c r="F4">
        <f>(1212-759)*(1038-981)</f>
        <v>25821</v>
      </c>
      <c r="G4">
        <f t="shared" ref="G4:G7" si="0">0.5*0.5</f>
        <v>0.25</v>
      </c>
      <c r="H4" s="6">
        <f t="shared" ref="H4:H7" si="1">G4/F4</f>
        <v>9.6820417489640218E-6</v>
      </c>
      <c r="K4" s="8" t="s">
        <v>36</v>
      </c>
      <c r="L4" s="8" t="s">
        <v>37</v>
      </c>
      <c r="M4" s="8" t="s">
        <v>39</v>
      </c>
    </row>
    <row r="5" spans="1:13" x14ac:dyDescent="0.45">
      <c r="A5">
        <v>3</v>
      </c>
      <c r="B5" s="5"/>
      <c r="C5" s="2">
        <v>1644</v>
      </c>
      <c r="D5" s="1" t="s">
        <v>51</v>
      </c>
      <c r="E5" s="1" t="s">
        <v>52</v>
      </c>
      <c r="F5">
        <f>(1821-1467)*(1038-981)</f>
        <v>20178</v>
      </c>
      <c r="G5">
        <f t="shared" si="0"/>
        <v>0.25</v>
      </c>
      <c r="H5" s="6">
        <f t="shared" si="1"/>
        <v>1.2389731390623451E-5</v>
      </c>
      <c r="I5" s="2"/>
      <c r="K5">
        <f>572.06-78.04</f>
        <v>494.01999999999992</v>
      </c>
      <c r="L5">
        <f>781.95-703.28</f>
        <v>78.670000000000073</v>
      </c>
      <c r="M5">
        <f>(703.28+781.95)/2</f>
        <v>742.61500000000001</v>
      </c>
    </row>
    <row r="6" spans="1:13" x14ac:dyDescent="0.45">
      <c r="A6">
        <v>4</v>
      </c>
      <c r="B6" s="5"/>
      <c r="C6" s="2">
        <v>2232</v>
      </c>
      <c r="D6" s="1" t="s">
        <v>53</v>
      </c>
      <c r="E6" s="1" t="s">
        <v>54</v>
      </c>
      <c r="F6">
        <f>(2454-2010)*(1038-981)</f>
        <v>25308</v>
      </c>
      <c r="G6">
        <f t="shared" si="0"/>
        <v>0.25</v>
      </c>
      <c r="H6" s="6">
        <f t="shared" si="1"/>
        <v>9.8782993519835626E-6</v>
      </c>
      <c r="I6" s="2"/>
    </row>
    <row r="7" spans="1:13" x14ac:dyDescent="0.45">
      <c r="A7">
        <v>5</v>
      </c>
      <c r="B7" s="5"/>
      <c r="C7" s="2">
        <v>2874</v>
      </c>
      <c r="D7" s="1" t="s">
        <v>55</v>
      </c>
      <c r="E7" s="1" t="s">
        <v>56</v>
      </c>
      <c r="F7">
        <f>(3162-2586)*(1038-981)</f>
        <v>32832</v>
      </c>
      <c r="G7">
        <f t="shared" si="0"/>
        <v>0.25</v>
      </c>
      <c r="H7" s="6">
        <f t="shared" si="1"/>
        <v>7.6145224171539957E-6</v>
      </c>
      <c r="I7" s="2"/>
      <c r="K7" s="8" t="s">
        <v>38</v>
      </c>
      <c r="L7" s="8" t="s">
        <v>40</v>
      </c>
      <c r="M7" s="8" t="s">
        <v>41</v>
      </c>
    </row>
    <row r="8" spans="1:13" x14ac:dyDescent="0.45">
      <c r="B8" s="5"/>
      <c r="C8" s="2"/>
      <c r="D8" s="1"/>
      <c r="E8" s="1"/>
      <c r="H8" s="6"/>
      <c r="I8" s="2"/>
      <c r="K8">
        <f>K5*L5</f>
        <v>38864.553400000033</v>
      </c>
      <c r="L8">
        <f>G17/(G18+G19*(M5)+G20*(M5*M5))</f>
        <v>7.7747708563198579E-5</v>
      </c>
      <c r="M8">
        <f>K8*L8</f>
        <v>3.0216299711820711</v>
      </c>
    </row>
    <row r="9" spans="1:13" x14ac:dyDescent="0.45">
      <c r="B9" s="5"/>
      <c r="C9" s="2"/>
      <c r="D9" s="1"/>
      <c r="E9" s="1"/>
      <c r="H9" s="6"/>
      <c r="I9" s="2"/>
    </row>
    <row r="13" spans="1:13" x14ac:dyDescent="0.45">
      <c r="J13" t="s">
        <v>43</v>
      </c>
    </row>
    <row r="14" spans="1:13" x14ac:dyDescent="0.45">
      <c r="J14">
        <f>978.96-714.7</f>
        <v>264.26</v>
      </c>
      <c r="K14">
        <f>652.99-606.91</f>
        <v>46.080000000000041</v>
      </c>
      <c r="L14">
        <f>J14*K14</f>
        <v>12177.100800000011</v>
      </c>
    </row>
    <row r="16" spans="1:13" ht="28.5" x14ac:dyDescent="0.45">
      <c r="B16" s="4" t="s">
        <v>46</v>
      </c>
      <c r="C16" s="8" t="s">
        <v>23</v>
      </c>
      <c r="D16" s="4" t="s">
        <v>46</v>
      </c>
      <c r="E16" s="8" t="s">
        <v>23</v>
      </c>
      <c r="G16" s="4"/>
    </row>
    <row r="17" spans="2:8" x14ac:dyDescent="0.45">
      <c r="B17" s="2">
        <v>1644</v>
      </c>
      <c r="C17" s="6">
        <v>1.2389731390623451E-5</v>
      </c>
      <c r="D17">
        <v>417</v>
      </c>
      <c r="E17" s="6">
        <v>7.8601521725460613E-6</v>
      </c>
      <c r="F17" s="7" t="s">
        <v>26</v>
      </c>
      <c r="G17">
        <v>-2.2788150560381401E-4</v>
      </c>
      <c r="H17">
        <f>G17/(G18+G19*(M5)+G20*(M5*M5))</f>
        <v>7.7747708563198579E-5</v>
      </c>
    </row>
    <row r="18" spans="2:8" x14ac:dyDescent="0.45">
      <c r="B18">
        <v>2232</v>
      </c>
      <c r="C18" s="11">
        <v>9.8782993519835626E-6</v>
      </c>
      <c r="D18">
        <v>986</v>
      </c>
      <c r="E18" s="6">
        <v>9.6820417489640218E-6</v>
      </c>
      <c r="F18" s="7" t="s">
        <v>27</v>
      </c>
      <c r="G18">
        <v>-249.575444271701</v>
      </c>
    </row>
    <row r="19" spans="2:8" x14ac:dyDescent="0.45">
      <c r="B19">
        <v>2874</v>
      </c>
      <c r="C19" s="11">
        <v>7.6145224171539957E-6</v>
      </c>
      <c r="D19" s="2">
        <v>1644</v>
      </c>
      <c r="E19" s="6">
        <v>1.2389731390623451E-5</v>
      </c>
      <c r="F19" s="7" t="s">
        <v>28</v>
      </c>
      <c r="G19">
        <v>0.60361848274124597</v>
      </c>
    </row>
    <row r="20" spans="2:8" x14ac:dyDescent="0.45">
      <c r="D20">
        <v>2232</v>
      </c>
      <c r="E20" s="11">
        <v>9.8782993519835626E-6</v>
      </c>
      <c r="F20" s="7" t="s">
        <v>29</v>
      </c>
      <c r="G20">
        <v>-3.6558500089469299E-4</v>
      </c>
    </row>
    <row r="21" spans="2:8" x14ac:dyDescent="0.45">
      <c r="D21">
        <v>2874</v>
      </c>
      <c r="E21" s="11">
        <v>7.6145224171539957E-6</v>
      </c>
      <c r="F21" s="6"/>
    </row>
    <row r="22" spans="2:8" x14ac:dyDescent="0.45">
      <c r="F22" s="6"/>
    </row>
    <row r="23" spans="2:8" x14ac:dyDescent="0.45">
      <c r="C23" s="2"/>
      <c r="D23" s="6"/>
      <c r="F23" s="6"/>
    </row>
    <row r="24" spans="2:8" x14ac:dyDescent="0.45">
      <c r="D24" s="2"/>
    </row>
    <row r="25" spans="2:8" x14ac:dyDescent="0.45">
      <c r="D25" s="2"/>
    </row>
    <row r="26" spans="2:8" x14ac:dyDescent="0.45">
      <c r="D26" s="2"/>
    </row>
    <row r="27" spans="2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y-scaling factor</vt:lpstr>
      <vt:lpstr>x-scaling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Gawargy</dc:creator>
  <cp:lastModifiedBy>Nathan Gawargy</cp:lastModifiedBy>
  <dcterms:created xsi:type="dcterms:W3CDTF">2015-06-05T18:17:20Z</dcterms:created>
  <dcterms:modified xsi:type="dcterms:W3CDTF">2025-03-13T02:28:01Z</dcterms:modified>
</cp:coreProperties>
</file>