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Vishnavi C\Desktop\"/>
    </mc:Choice>
  </mc:AlternateContent>
  <xr:revisionPtr revIDLastSave="0" documentId="13_ncr:1_{FE6CE729-7294-4029-BDB4-EBDCA89C7F09}" xr6:coauthVersionLast="47" xr6:coauthVersionMax="47" xr10:uidLastSave="{00000000-0000-0000-0000-000000000000}"/>
  <bookViews>
    <workbookView xWindow="-108" yWindow="-108" windowWidth="23256" windowHeight="12456" firstSheet="25" xr2:uid="{00000000-000D-0000-FFFF-FFFF00000000}"/>
  </bookViews>
  <sheets>
    <sheet name="AS1-Arithmatic Functions" sheetId="1" r:id="rId1"/>
    <sheet name="AS1-Operators" sheetId="2" r:id="rId2"/>
    <sheet name="AS2-Averageif" sheetId="3" r:id="rId3"/>
    <sheet name="AS2-Minif &amp; Maxif" sheetId="4" r:id="rId4"/>
    <sheet name="AS3-Formating1" sheetId="5" r:id="rId5"/>
    <sheet name="AS3-Formating2" sheetId="6" r:id="rId6"/>
    <sheet name="AS3-Formating3" sheetId="7" r:id="rId7"/>
    <sheet name="AS3-Formating4" sheetId="8" r:id="rId8"/>
    <sheet name="AS4-Date1" sheetId="9" r:id="rId9"/>
    <sheet name="AS4-Date2" sheetId="10" r:id="rId10"/>
    <sheet name="AS5-Filter" sheetId="11" r:id="rId11"/>
    <sheet name="AS5-Q1_Filter" sheetId="12" r:id="rId12"/>
    <sheet name="AS5-Q2_Filter" sheetId="13" r:id="rId13"/>
    <sheet name="AS6-IF AND OR nested" sheetId="14" r:id="rId14"/>
    <sheet name="AS7-Index Match 1" sheetId="15" r:id="rId15"/>
    <sheet name="AS7-Index Match 2" sheetId="16" r:id="rId16"/>
    <sheet name="AS8-Sort" sheetId="17" r:id="rId17"/>
    <sheet name="AS8-Segment_Country_Profit_Sort" sheetId="18" r:id="rId18"/>
    <sheet name="AS9-Text Functions" sheetId="19" r:id="rId19"/>
    <sheet name="AS10-VLOOKUP" sheetId="20" r:id="rId20"/>
    <sheet name="AS10-Master Emp Sheet" sheetId="21" r:id="rId21"/>
    <sheet name="AS10-Source" sheetId="22" r:id="rId22"/>
    <sheet name="AS11-Charts1" sheetId="23" r:id="rId23"/>
    <sheet name="AS11-Charts2" sheetId="24" r:id="rId24"/>
    <sheet name="AS11-Charts3" sheetId="25" r:id="rId25"/>
    <sheet name="AS11-Charts4" sheetId="26" r:id="rId26"/>
    <sheet name="AS11-Charts5" sheetId="27" r:id="rId27"/>
    <sheet name="AS12-DataValidation" sheetId="28" r:id="rId28"/>
    <sheet name="AS13-Tax Invoice" sheetId="29" r:id="rId29"/>
    <sheet name="AS13-Product" sheetId="30" r:id="rId30"/>
    <sheet name="AS13-Customers" sheetId="31" r:id="rId31"/>
  </sheets>
  <externalReferences>
    <externalReference r:id="rId32"/>
    <externalReference r:id="rId33"/>
  </externalReferences>
  <definedNames>
    <definedName name="_xlnm._FilterDatabase" localSheetId="10" hidden="1">'AS5-Filter'!$B$7:$G$320</definedName>
    <definedName name="_xlchart.v1.0" hidden="1">[1]Waterfall!$C$6:$C$17</definedName>
    <definedName name="_xlchart.v1.1" hidden="1">[1]Waterfall!$D$5</definedName>
    <definedName name="_xlchart.v1.2" hidden="1">[1]Waterfall!$D$6:$D$17</definedName>
    <definedName name="_xlchart.v1.3" hidden="1">'AS11-Charts4'!$B$6:$B$17</definedName>
    <definedName name="_xlchart.v1.4" hidden="1">'AS11-Charts4'!$C$6:$C$17</definedName>
    <definedName name="Basic_Salary">'AS1-Arithmatic Functions'!$J$6:$J$44</definedName>
    <definedName name="Birthdate">'AS1-Arithmatic Functions'!$E$6:$E$44</definedName>
    <definedName name="C_Code">'AS1-Arithmatic Functions'!$B$6:$B$44</definedName>
    <definedName name="CustList">'AS13-Customers'!$A$2:$A$13</definedName>
    <definedName name="Customer">'AS13-Customers'!$A$2:$C$13</definedName>
    <definedName name="CustomerList">'AS13-Customers'!$A$2:$A$13</definedName>
    <definedName name="Data">[2]Source!$B$1:$E$36</definedName>
    <definedName name="Department">'AS1-Arithmatic Functions'!$H$6:$H$44</definedName>
    <definedName name="East">'AS12-DataValidation'!$J$8:$J$13</definedName>
    <definedName name="EastAreas">'AS12-DataValidation'!$J$8:$J$13</definedName>
    <definedName name="FirstName">'AS1-Arithmatic Functions'!$C$6:$C$44</definedName>
    <definedName name="Gender">'AS1-Arithmatic Functions'!$F$6:$F$44</definedName>
    <definedName name="Grade">'AS2-Minif &amp; Maxif'!$D$5:$D$54</definedName>
    <definedName name="Grades">'AS2-Minif &amp; Maxif'!$D$4:$D$54</definedName>
    <definedName name="Head" localSheetId="20">[2]Source!$B$1:$E$1</definedName>
    <definedName name="Head" localSheetId="21">[2]Source!$B$1:$E$1</definedName>
    <definedName name="Head" localSheetId="19">[2]Source!$B$1:$E$1</definedName>
    <definedName name="Head">'AS7-Index Match 1'!$C$5:$G$5</definedName>
    <definedName name="LastName">'AS1-Arithmatic Functions'!$D$6:$D$44</definedName>
    <definedName name="M_Status">'AS1-Arithmatic Functions'!$G$6:$G$44</definedName>
    <definedName name="Mname">'AS2-Averageif'!$E$6:$E$26</definedName>
    <definedName name="North">'AS12-DataValidation'!$L$8:$L$13</definedName>
    <definedName name="NorthAreas">'AS12-DataValidation'!$L$8:$L$13</definedName>
    <definedName name="Product">'AS13-Product'!$A$2:$B$6</definedName>
    <definedName name="ProList">'AS13-Product'!$A$2:$A$6</definedName>
    <definedName name="Region">'AS1-Arithmatic Functions'!$I$6:$I$44</definedName>
    <definedName name="Score">'AS2-Averageif'!$F$6:$F$26</definedName>
    <definedName name="Score1">'AS2-Minif &amp; Maxif'!$C$5:$C$54</definedName>
    <definedName name="Scores">'AS2-Minif &amp; Maxif'!$C$4:$C$54</definedName>
    <definedName name="source_data">'AS10-Source'!$B$2:$E$36</definedName>
    <definedName name="South">'AS12-DataValidation'!$M$8:$M$13</definedName>
    <definedName name="SouthAreas">'AS12-DataValidation'!$M$8:$M$13</definedName>
    <definedName name="West">'AS12-DataValidation'!$K$8:$K$13</definedName>
    <definedName name="WestAreas">'AS12-DataValidation'!$K$8:$K$13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9" l="1"/>
  <c r="C6" i="29"/>
  <c r="B9" i="29"/>
  <c r="E9" i="29"/>
  <c r="F9" i="29" s="1"/>
  <c r="B10" i="29"/>
  <c r="E10" i="29"/>
  <c r="F10" i="29" s="1"/>
  <c r="B11" i="29"/>
  <c r="E11" i="29"/>
  <c r="F11" i="29" s="1"/>
  <c r="B12" i="29"/>
  <c r="E12" i="29"/>
  <c r="F12" i="29" s="1"/>
  <c r="B13" i="29"/>
  <c r="E13" i="29"/>
  <c r="F13" i="29" s="1"/>
  <c r="B14" i="29"/>
  <c r="E14" i="29"/>
  <c r="F14" i="29" s="1"/>
  <c r="B15" i="29"/>
  <c r="E15" i="29"/>
  <c r="F15" i="29" s="1"/>
  <c r="B16" i="29"/>
  <c r="E16" i="29"/>
  <c r="F16" i="29" s="1"/>
  <c r="B17" i="29"/>
  <c r="E17" i="29"/>
  <c r="F17" i="29" s="1"/>
  <c r="B18" i="29"/>
  <c r="E18" i="29"/>
  <c r="F18" i="29" s="1"/>
  <c r="B19" i="29"/>
  <c r="E19" i="29"/>
  <c r="F19" i="29" s="1"/>
  <c r="F20" i="29" l="1"/>
  <c r="E7" i="27"/>
  <c r="G7" i="27" s="1"/>
  <c r="F7" i="27"/>
  <c r="E8" i="27"/>
  <c r="G8" i="27" s="1"/>
  <c r="F8" i="27"/>
  <c r="E9" i="27"/>
  <c r="G9" i="27" s="1"/>
  <c r="F9" i="27"/>
  <c r="E10" i="27"/>
  <c r="G10" i="27" s="1"/>
  <c r="F10" i="27"/>
  <c r="E11" i="27"/>
  <c r="F11" i="27"/>
  <c r="G11" i="27"/>
  <c r="E12" i="27"/>
  <c r="G12" i="27" s="1"/>
  <c r="F12" i="27"/>
  <c r="E13" i="27"/>
  <c r="G13" i="27" s="1"/>
  <c r="F13" i="27"/>
  <c r="E14" i="27"/>
  <c r="F14" i="27"/>
  <c r="G14" i="27"/>
  <c r="E15" i="27"/>
  <c r="G15" i="27" s="1"/>
  <c r="F15" i="27"/>
  <c r="E16" i="27"/>
  <c r="G16" i="27" s="1"/>
  <c r="F16" i="27"/>
  <c r="E17" i="27"/>
  <c r="G17" i="27" s="1"/>
  <c r="F17" i="27"/>
  <c r="C17" i="26"/>
  <c r="D7" i="24"/>
  <c r="E7" i="24" s="1"/>
  <c r="D8" i="24"/>
  <c r="E8" i="24" s="1"/>
  <c r="D9" i="24"/>
  <c r="E9" i="24"/>
  <c r="D10" i="24"/>
  <c r="E10" i="24"/>
  <c r="D11" i="24"/>
  <c r="D12" i="24"/>
  <c r="E12" i="24"/>
  <c r="D13" i="24"/>
  <c r="E13" i="24"/>
  <c r="D14" i="24"/>
  <c r="E14" i="24"/>
  <c r="D15" i="24"/>
  <c r="E15" i="24"/>
  <c r="D16" i="24"/>
  <c r="E16" i="24"/>
  <c r="D17" i="24"/>
  <c r="E17" i="24"/>
  <c r="D18" i="24"/>
  <c r="E18" i="24"/>
  <c r="D19" i="24"/>
  <c r="E19" i="24"/>
  <c r="D20" i="24"/>
  <c r="E20" i="24"/>
  <c r="D21" i="24"/>
  <c r="E21" i="24"/>
  <c r="D22" i="24"/>
  <c r="E22" i="24"/>
  <c r="D23" i="24"/>
  <c r="E11" i="24" s="1"/>
  <c r="E23" i="24"/>
  <c r="C25" i="24"/>
  <c r="F21" i="29" l="1"/>
  <c r="F22" i="29"/>
  <c r="H6" i="21"/>
  <c r="I6" i="21"/>
  <c r="J6" i="21"/>
  <c r="H7" i="21"/>
  <c r="I7" i="21"/>
  <c r="J7" i="21"/>
  <c r="H8" i="21"/>
  <c r="I8" i="21"/>
  <c r="J8" i="21"/>
  <c r="H9" i="21"/>
  <c r="I9" i="21"/>
  <c r="J9" i="21"/>
  <c r="H10" i="21"/>
  <c r="I10" i="21"/>
  <c r="J10" i="21"/>
  <c r="H11" i="21"/>
  <c r="I11" i="21"/>
  <c r="J11" i="21"/>
  <c r="H12" i="21"/>
  <c r="I12" i="21"/>
  <c r="J12" i="21"/>
  <c r="H13" i="21"/>
  <c r="I13" i="21"/>
  <c r="J13" i="21"/>
  <c r="H14" i="21"/>
  <c r="I14" i="21"/>
  <c r="J14" i="21"/>
  <c r="H15" i="21"/>
  <c r="I15" i="21"/>
  <c r="J15" i="21"/>
  <c r="H16" i="21"/>
  <c r="I16" i="21"/>
  <c r="J16" i="21"/>
  <c r="H17" i="21"/>
  <c r="I17" i="21"/>
  <c r="J17" i="21"/>
  <c r="H18" i="21"/>
  <c r="I18" i="21"/>
  <c r="J18" i="21"/>
  <c r="H19" i="21"/>
  <c r="I19" i="21"/>
  <c r="J19" i="21"/>
  <c r="H20" i="21"/>
  <c r="I20" i="21"/>
  <c r="J20" i="21"/>
  <c r="H21" i="21"/>
  <c r="I21" i="21"/>
  <c r="J21" i="21"/>
  <c r="H22" i="21"/>
  <c r="I22" i="21"/>
  <c r="J22" i="21"/>
  <c r="H23" i="21"/>
  <c r="I23" i="21"/>
  <c r="J23" i="21"/>
  <c r="H24" i="21"/>
  <c r="I24" i="21"/>
  <c r="J24" i="21"/>
  <c r="H25" i="21"/>
  <c r="I25" i="21"/>
  <c r="J25" i="21"/>
  <c r="H26" i="21"/>
  <c r="I26" i="21"/>
  <c r="J26" i="21"/>
  <c r="H27" i="21"/>
  <c r="I27" i="21"/>
  <c r="J27" i="21"/>
  <c r="H28" i="21"/>
  <c r="I28" i="21"/>
  <c r="J28" i="21"/>
  <c r="H29" i="21"/>
  <c r="I29" i="21"/>
  <c r="J29" i="21"/>
  <c r="H30" i="21"/>
  <c r="I30" i="21"/>
  <c r="J30" i="21"/>
  <c r="H31" i="21"/>
  <c r="I31" i="21"/>
  <c r="J31" i="21"/>
  <c r="H32" i="21"/>
  <c r="I32" i="21"/>
  <c r="J32" i="21"/>
  <c r="H33" i="21"/>
  <c r="I33" i="21"/>
  <c r="J33" i="21"/>
  <c r="H34" i="21"/>
  <c r="I34" i="21"/>
  <c r="J34" i="21"/>
  <c r="H35" i="21"/>
  <c r="I35" i="21"/>
  <c r="J35" i="21"/>
  <c r="H36" i="21"/>
  <c r="I36" i="21"/>
  <c r="J36" i="21"/>
  <c r="H37" i="21"/>
  <c r="I37" i="21"/>
  <c r="J37" i="21"/>
  <c r="H38" i="21"/>
  <c r="I38" i="21"/>
  <c r="J38" i="21"/>
  <c r="H39" i="21"/>
  <c r="I39" i="21"/>
  <c r="J39" i="21"/>
  <c r="H40" i="21"/>
  <c r="I40" i="21"/>
  <c r="J40" i="21"/>
  <c r="H41" i="21"/>
  <c r="I41" i="21"/>
  <c r="J41" i="21"/>
  <c r="H42" i="21"/>
  <c r="I42" i="21"/>
  <c r="J42" i="21"/>
  <c r="H43" i="21"/>
  <c r="I43" i="21"/>
  <c r="J43" i="21"/>
  <c r="M12" i="20"/>
  <c r="M7" i="20" s="1"/>
  <c r="M13" i="20"/>
  <c r="M8" i="20" s="1"/>
  <c r="C42" i="20"/>
  <c r="F23" i="29" l="1"/>
  <c r="M7" i="19"/>
  <c r="M8" i="19"/>
  <c r="M9" i="19"/>
  <c r="M10" i="19"/>
  <c r="M11" i="19"/>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D9" i="16"/>
  <c r="D10" i="16"/>
  <c r="D11" i="16"/>
  <c r="D12" i="16"/>
  <c r="D13" i="16"/>
  <c r="D14" i="16"/>
  <c r="D15" i="16"/>
  <c r="D16" i="16"/>
  <c r="H6" i="15"/>
  <c r="I6" i="15" s="1"/>
  <c r="H7" i="15"/>
  <c r="I7" i="15" s="1"/>
  <c r="H8" i="15"/>
  <c r="I8" i="15"/>
  <c r="H9" i="15"/>
  <c r="I9" i="15"/>
  <c r="H10" i="15"/>
  <c r="I10" i="15" s="1"/>
  <c r="H11" i="15"/>
  <c r="I11" i="15" s="1"/>
  <c r="H12" i="15"/>
  <c r="I12" i="15"/>
  <c r="H13" i="15"/>
  <c r="I13" i="15"/>
  <c r="H14" i="15"/>
  <c r="I14" i="15" s="1"/>
  <c r="H15" i="15"/>
  <c r="I15" i="15" s="1"/>
  <c r="H16" i="15"/>
  <c r="I16" i="15"/>
  <c r="H17" i="15"/>
  <c r="I17" i="15"/>
  <c r="J11" i="14"/>
  <c r="K11" i="14"/>
  <c r="L11" i="14"/>
  <c r="M11" i="14"/>
  <c r="N11" i="14"/>
  <c r="O11" i="14"/>
  <c r="J12" i="14"/>
  <c r="K12" i="14"/>
  <c r="L12" i="14"/>
  <c r="M12" i="14"/>
  <c r="N12" i="14"/>
  <c r="O12" i="14"/>
  <c r="J13" i="14"/>
  <c r="K13" i="14"/>
  <c r="L13" i="14"/>
  <c r="M13" i="14"/>
  <c r="N13" i="14"/>
  <c r="O13" i="14"/>
  <c r="J14" i="14"/>
  <c r="K14" i="14"/>
  <c r="L14" i="14"/>
  <c r="M14" i="14"/>
  <c r="N14" i="14"/>
  <c r="O14" i="14"/>
  <c r="J15" i="14"/>
  <c r="K15" i="14"/>
  <c r="L15" i="14"/>
  <c r="M15" i="14"/>
  <c r="N15" i="14"/>
  <c r="O15" i="14"/>
  <c r="J16" i="14"/>
  <c r="K16" i="14"/>
  <c r="L16" i="14"/>
  <c r="M16" i="14"/>
  <c r="N16" i="14"/>
  <c r="O16" i="14"/>
  <c r="J17" i="14"/>
  <c r="K17" i="14"/>
  <c r="L17" i="14"/>
  <c r="M17" i="14"/>
  <c r="N17" i="14"/>
  <c r="O17" i="14"/>
  <c r="J18" i="14"/>
  <c r="K18" i="14"/>
  <c r="L18" i="14"/>
  <c r="M18" i="14"/>
  <c r="N18" i="14"/>
  <c r="O18" i="14"/>
  <c r="J19" i="14"/>
  <c r="K19" i="14"/>
  <c r="L19" i="14"/>
  <c r="M19" i="14"/>
  <c r="N19" i="14"/>
  <c r="O19" i="14"/>
  <c r="J20" i="14"/>
  <c r="K20" i="14"/>
  <c r="L20" i="14"/>
  <c r="M20" i="14"/>
  <c r="N20" i="14"/>
  <c r="O20" i="14"/>
  <c r="J21" i="14"/>
  <c r="K21" i="14"/>
  <c r="L21" i="14"/>
  <c r="M21" i="14"/>
  <c r="N21" i="14"/>
  <c r="O21" i="14"/>
  <c r="J22" i="14"/>
  <c r="K22" i="14"/>
  <c r="L22" i="14"/>
  <c r="M22" i="14"/>
  <c r="N22" i="14"/>
  <c r="O22" i="14"/>
  <c r="J23" i="14"/>
  <c r="K23" i="14"/>
  <c r="L23" i="14"/>
  <c r="M23" i="14"/>
  <c r="N23" i="14"/>
  <c r="O23" i="14"/>
  <c r="J24" i="14"/>
  <c r="K24" i="14"/>
  <c r="L24" i="14"/>
  <c r="M24" i="14"/>
  <c r="N24" i="14"/>
  <c r="O24" i="14"/>
  <c r="J25" i="14"/>
  <c r="K25" i="14"/>
  <c r="L25" i="14"/>
  <c r="M25" i="14"/>
  <c r="N25" i="14"/>
  <c r="O25" i="14"/>
  <c r="J26" i="14"/>
  <c r="K26" i="14"/>
  <c r="L26" i="14"/>
  <c r="M26" i="14"/>
  <c r="N26" i="14"/>
  <c r="O26" i="14"/>
  <c r="J27" i="14"/>
  <c r="K27" i="14"/>
  <c r="L27" i="14"/>
  <c r="M27" i="14"/>
  <c r="N27" i="14"/>
  <c r="O27" i="14"/>
  <c r="J28" i="14"/>
  <c r="K28" i="14"/>
  <c r="L28" i="14"/>
  <c r="M28" i="14"/>
  <c r="N28" i="14"/>
  <c r="O28" i="14"/>
  <c r="J29" i="14"/>
  <c r="K29" i="14"/>
  <c r="L29" i="14"/>
  <c r="M29" i="14"/>
  <c r="N29" i="14"/>
  <c r="O29" i="14"/>
  <c r="J30" i="14"/>
  <c r="K30" i="14"/>
  <c r="L30" i="14"/>
  <c r="M30" i="14"/>
  <c r="N30" i="14"/>
  <c r="O30" i="14"/>
  <c r="J31" i="14"/>
  <c r="K31" i="14"/>
  <c r="L31" i="14"/>
  <c r="M31" i="14"/>
  <c r="N31" i="14"/>
  <c r="O31" i="14"/>
  <c r="J32" i="14"/>
  <c r="K32" i="14"/>
  <c r="L32" i="14"/>
  <c r="M32" i="14"/>
  <c r="N32" i="14"/>
  <c r="O32" i="14"/>
  <c r="J33" i="14"/>
  <c r="K33" i="14"/>
  <c r="L33" i="14"/>
  <c r="M33" i="14"/>
  <c r="N33" i="14"/>
  <c r="O33" i="14"/>
  <c r="J34" i="14"/>
  <c r="K34" i="14"/>
  <c r="L34" i="14"/>
  <c r="M34" i="14"/>
  <c r="N34" i="14"/>
  <c r="O34" i="14"/>
  <c r="J35" i="14"/>
  <c r="K35" i="14"/>
  <c r="L35" i="14"/>
  <c r="M35" i="14"/>
  <c r="N35" i="14"/>
  <c r="O35" i="14"/>
  <c r="J36" i="14"/>
  <c r="K36" i="14"/>
  <c r="L36" i="14"/>
  <c r="M36" i="14"/>
  <c r="N36" i="14"/>
  <c r="O36" i="14"/>
  <c r="J37" i="14"/>
  <c r="K37" i="14"/>
  <c r="L37" i="14"/>
  <c r="M37" i="14"/>
  <c r="N37" i="14"/>
  <c r="O37" i="14"/>
  <c r="J38" i="14"/>
  <c r="K38" i="14"/>
  <c r="L38" i="14"/>
  <c r="M38" i="14"/>
  <c r="N38" i="14"/>
  <c r="O38" i="14"/>
  <c r="J39" i="14"/>
  <c r="K39" i="14"/>
  <c r="L39" i="14"/>
  <c r="M39" i="14"/>
  <c r="N39" i="14"/>
  <c r="O39" i="14"/>
  <c r="J40" i="14"/>
  <c r="K40" i="14"/>
  <c r="L40" i="14"/>
  <c r="M40" i="14"/>
  <c r="N40" i="14"/>
  <c r="O40" i="14"/>
  <c r="J41" i="14"/>
  <c r="K41" i="14"/>
  <c r="L41" i="14"/>
  <c r="M41" i="14"/>
  <c r="N41" i="14"/>
  <c r="O41" i="14"/>
  <c r="J42" i="14"/>
  <c r="K42" i="14"/>
  <c r="L42" i="14"/>
  <c r="M42" i="14"/>
  <c r="N42" i="14"/>
  <c r="O42" i="14"/>
  <c r="J43" i="14"/>
  <c r="K43" i="14"/>
  <c r="L43" i="14"/>
  <c r="M43" i="14"/>
  <c r="N43" i="14"/>
  <c r="O43" i="14"/>
  <c r="J44" i="14"/>
  <c r="K44" i="14"/>
  <c r="L44" i="14"/>
  <c r="M44" i="14"/>
  <c r="N44" i="14"/>
  <c r="O44" i="14"/>
  <c r="J45" i="14"/>
  <c r="K45" i="14"/>
  <c r="L45" i="14"/>
  <c r="M45" i="14"/>
  <c r="N45" i="14"/>
  <c r="O45" i="14"/>
  <c r="J46" i="14"/>
  <c r="K46" i="14"/>
  <c r="L46" i="14"/>
  <c r="M46" i="14"/>
  <c r="N46" i="14"/>
  <c r="O46" i="14"/>
  <c r="J47" i="14"/>
  <c r="K47" i="14"/>
  <c r="L47" i="14"/>
  <c r="M47" i="14"/>
  <c r="N47" i="14"/>
  <c r="O47" i="14"/>
  <c r="J48" i="14"/>
  <c r="K48" i="14"/>
  <c r="L48" i="14"/>
  <c r="M48" i="14"/>
  <c r="N48" i="14"/>
  <c r="O48" i="14"/>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C3" i="10"/>
  <c r="I10" i="10" s="1"/>
  <c r="C4" i="10"/>
  <c r="D7" i="10"/>
  <c r="E7" i="10"/>
  <c r="F7" i="10"/>
  <c r="G7" i="10"/>
  <c r="D8" i="10"/>
  <c r="E8" i="10"/>
  <c r="F8" i="10"/>
  <c r="G8" i="10"/>
  <c r="D9" i="10"/>
  <c r="E9" i="10"/>
  <c r="F9" i="10"/>
  <c r="G9" i="10"/>
  <c r="D10" i="10"/>
  <c r="E10" i="10"/>
  <c r="F10" i="10"/>
  <c r="G10" i="10"/>
  <c r="D11" i="10"/>
  <c r="E11" i="10"/>
  <c r="F11" i="10"/>
  <c r="G11" i="10"/>
  <c r="D12" i="10"/>
  <c r="E12" i="10"/>
  <c r="F12" i="10"/>
  <c r="G12" i="10"/>
  <c r="D13" i="10"/>
  <c r="E13" i="10"/>
  <c r="F13" i="10"/>
  <c r="G13" i="10"/>
  <c r="D14" i="10"/>
  <c r="E14" i="10"/>
  <c r="F14" i="10"/>
  <c r="G14" i="10"/>
  <c r="D15" i="10"/>
  <c r="E15" i="10"/>
  <c r="F15" i="10"/>
  <c r="G15" i="10"/>
  <c r="D16" i="10"/>
  <c r="E16" i="10"/>
  <c r="F16" i="10"/>
  <c r="G16" i="10"/>
  <c r="D17" i="10"/>
  <c r="E17" i="10"/>
  <c r="F17" i="10"/>
  <c r="G17" i="10"/>
  <c r="D18" i="10"/>
  <c r="E18" i="10"/>
  <c r="F18" i="10"/>
  <c r="G18" i="10"/>
  <c r="C6" i="9"/>
  <c r="C7" i="9"/>
  <c r="C8" i="9"/>
  <c r="C9" i="9"/>
  <c r="C10" i="9"/>
  <c r="C11" i="9"/>
  <c r="C12" i="9"/>
  <c r="C13" i="9"/>
  <c r="C14" i="9"/>
  <c r="H17" i="10" l="1"/>
  <c r="I11" i="10"/>
  <c r="H16" i="10"/>
  <c r="I7" i="10"/>
  <c r="H14" i="10"/>
  <c r="I16" i="10"/>
  <c r="H11" i="10"/>
  <c r="I8" i="10"/>
  <c r="H13" i="10"/>
  <c r="H10" i="10"/>
  <c r="H18" i="10"/>
  <c r="I15" i="10"/>
  <c r="I12" i="10"/>
  <c r="H15" i="10"/>
  <c r="H12" i="10"/>
  <c r="H7" i="10"/>
  <c r="H8" i="10"/>
  <c r="I17" i="10"/>
  <c r="I13" i="10"/>
  <c r="I9" i="10"/>
  <c r="H9" i="10"/>
  <c r="I18" i="10"/>
  <c r="I14" i="10"/>
  <c r="G5" i="7"/>
  <c r="G10" i="7"/>
  <c r="G13" i="7"/>
  <c r="G17" i="7"/>
  <c r="G24" i="7"/>
  <c r="E6" i="6"/>
  <c r="E7" i="6"/>
  <c r="E8" i="6"/>
  <c r="E9" i="6"/>
  <c r="E10" i="6"/>
  <c r="E11" i="6"/>
  <c r="E12" i="6"/>
  <c r="E13" i="6"/>
  <c r="E14" i="6"/>
  <c r="E15" i="6"/>
  <c r="E16" i="6"/>
  <c r="E17" i="6"/>
  <c r="E18" i="6"/>
  <c r="J7" i="5"/>
  <c r="J8" i="5"/>
  <c r="J9" i="5"/>
  <c r="J10" i="5"/>
  <c r="D5" i="4"/>
  <c r="D6" i="4"/>
  <c r="D7" i="4"/>
  <c r="D8" i="4"/>
  <c r="D9" i="4"/>
  <c r="D10" i="4"/>
  <c r="D11" i="4"/>
  <c r="G11" i="4" s="1"/>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C9" i="3"/>
  <c r="C10" i="3"/>
  <c r="C11" i="3"/>
  <c r="H11" i="4" l="1"/>
  <c r="G8" i="4"/>
  <c r="G10" i="4"/>
  <c r="H8" i="4"/>
  <c r="G7" i="4"/>
  <c r="H10" i="4"/>
  <c r="H7" i="4"/>
  <c r="H9" i="4"/>
  <c r="G9" i="4"/>
  <c r="Q44" i="1"/>
  <c r="P44" i="1"/>
  <c r="O44" i="1"/>
  <c r="N44" i="1"/>
  <c r="Q43" i="1"/>
  <c r="P43" i="1"/>
  <c r="P33" i="1"/>
  <c r="O43" i="1"/>
  <c r="N43" i="1"/>
  <c r="Q42" i="1"/>
  <c r="P42" i="1"/>
  <c r="O42" i="1"/>
  <c r="N42" i="1"/>
  <c r="Q41" i="1"/>
  <c r="P41" i="1"/>
  <c r="O41" i="1"/>
  <c r="N41" i="1"/>
  <c r="Q40" i="1"/>
  <c r="P40" i="1"/>
  <c r="O40" i="1"/>
  <c r="N40" i="1"/>
  <c r="Q39" i="1"/>
  <c r="P39" i="1"/>
  <c r="O39" i="1"/>
  <c r="N39" i="1"/>
  <c r="Q38" i="1"/>
  <c r="P38" i="1"/>
  <c r="O38" i="1"/>
  <c r="N38" i="1"/>
  <c r="Q37" i="1"/>
  <c r="P37" i="1"/>
  <c r="O37" i="1"/>
  <c r="N37" i="1"/>
  <c r="Q36" i="1"/>
  <c r="P36" i="1"/>
  <c r="O36" i="1"/>
  <c r="N36" i="1"/>
  <c r="Q35" i="1"/>
  <c r="P35" i="1"/>
  <c r="O35" i="1"/>
  <c r="N35" i="1"/>
  <c r="Q34" i="1"/>
  <c r="P34" i="1"/>
  <c r="O34" i="1"/>
  <c r="N34" i="1"/>
  <c r="Q30" i="1"/>
  <c r="P30" i="1"/>
  <c r="O30" i="1"/>
  <c r="N30" i="1"/>
  <c r="Q29" i="1"/>
  <c r="P29" i="1"/>
  <c r="O29" i="1"/>
  <c r="N29" i="1"/>
  <c r="Q28" i="1"/>
  <c r="P28" i="1"/>
  <c r="O28" i="1"/>
  <c r="N28" i="1"/>
  <c r="Q27" i="1"/>
  <c r="P27" i="1"/>
  <c r="O27" i="1"/>
  <c r="N27" i="1"/>
  <c r="Q26" i="1"/>
  <c r="P26" i="1"/>
  <c r="O26" i="1"/>
  <c r="N26" i="1"/>
  <c r="Q25" i="1"/>
  <c r="P25" i="1"/>
  <c r="O25" i="1"/>
  <c r="N25" i="1"/>
  <c r="Q24" i="1"/>
  <c r="P24" i="1"/>
  <c r="O24" i="1"/>
  <c r="N24" i="1"/>
  <c r="Q23" i="1"/>
  <c r="P23" i="1"/>
  <c r="O23" i="1"/>
  <c r="N23" i="1"/>
  <c r="Q22" i="1"/>
  <c r="P22" i="1"/>
  <c r="O22" i="1"/>
  <c r="N22" i="1"/>
  <c r="Q21" i="1"/>
  <c r="P21" i="1"/>
  <c r="O21" i="1"/>
  <c r="N21" i="1"/>
  <c r="Q20" i="1"/>
  <c r="P20" i="1"/>
  <c r="O20" i="1"/>
  <c r="N20" i="1"/>
  <c r="N6" i="1"/>
  <c r="N16" i="1"/>
  <c r="N15" i="1"/>
  <c r="N14" i="1"/>
  <c r="N13" i="1"/>
  <c r="N12" i="1"/>
  <c r="N11" i="1"/>
  <c r="N8" i="1"/>
  <c r="N7" i="1"/>
  <c r="N5" i="1"/>
  <c r="N4" i="1"/>
  <c r="N3" i="1"/>
  <c r="O9" i="2"/>
  <c r="N9" i="2"/>
  <c r="M9" i="2"/>
  <c r="L9" i="2"/>
  <c r="K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L24" i="2"/>
  <c r="L10" i="2"/>
  <c r="L11" i="2"/>
  <c r="L12" i="2"/>
  <c r="L13" i="2"/>
  <c r="L14" i="2"/>
  <c r="L15" i="2"/>
  <c r="L16" i="2"/>
  <c r="L17" i="2"/>
  <c r="L18" i="2"/>
  <c r="L19" i="2"/>
  <c r="L20" i="2"/>
  <c r="L21" i="2"/>
  <c r="L22" i="2"/>
  <c r="L23" i="2"/>
  <c r="L25" i="2"/>
  <c r="L26" i="2"/>
  <c r="L27" i="2"/>
  <c r="L28" i="2"/>
  <c r="L29" i="2"/>
  <c r="L30" i="2"/>
  <c r="L31" i="2"/>
  <c r="L32" i="2"/>
  <c r="L33" i="2"/>
  <c r="L34" i="2"/>
  <c r="L35" i="2"/>
  <c r="L36" i="2"/>
  <c r="L37" i="2"/>
  <c r="L38" i="2"/>
  <c r="L39" i="2"/>
  <c r="L40" i="2"/>
  <c r="L41" i="2"/>
  <c r="L42" i="2"/>
  <c r="L43" i="2"/>
  <c r="L44" i="2"/>
  <c r="L45" i="2"/>
  <c r="L46" i="2"/>
  <c r="K46"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alcChain>
</file>

<file path=xl/sharedStrings.xml><?xml version="1.0" encoding="utf-8"?>
<sst xmlns="http://schemas.openxmlformats.org/spreadsheetml/2006/main" count="4209" uniqueCount="539">
  <si>
    <t>Create a summary Data Analysis about the dataset given below.</t>
  </si>
  <si>
    <t>Descriptive Analysis</t>
  </si>
  <si>
    <t>Use Name Range concept to apply functions.</t>
  </si>
  <si>
    <t>Total Salary</t>
  </si>
  <si>
    <t>Average Salary</t>
  </si>
  <si>
    <t>Median Salary</t>
  </si>
  <si>
    <t>C_Code</t>
  </si>
  <si>
    <t>FirstName</t>
  </si>
  <si>
    <t>LastName</t>
  </si>
  <si>
    <t>Birthdate</t>
  </si>
  <si>
    <t>Gender</t>
  </si>
  <si>
    <t>M_Status</t>
  </si>
  <si>
    <t>Department</t>
  </si>
  <si>
    <t>Region</t>
  </si>
  <si>
    <t>Basic Salary</t>
  </si>
  <si>
    <t>Total Employees</t>
  </si>
  <si>
    <t>Ram</t>
  </si>
  <si>
    <t>Ambradkar</t>
  </si>
  <si>
    <t>Female</t>
  </si>
  <si>
    <t>Married</t>
  </si>
  <si>
    <t>FLM</t>
  </si>
  <si>
    <t>North</t>
  </si>
  <si>
    <t>Max Salary</t>
  </si>
  <si>
    <t>Sachin</t>
  </si>
  <si>
    <t>Bangera</t>
  </si>
  <si>
    <t>Single</t>
  </si>
  <si>
    <t>Digital Marketing</t>
  </si>
  <si>
    <t>Min Salary</t>
  </si>
  <si>
    <t>Rajesh</t>
  </si>
  <si>
    <t>Bohra</t>
  </si>
  <si>
    <t>Rajeesh</t>
  </si>
  <si>
    <t>C</t>
  </si>
  <si>
    <t>Male</t>
  </si>
  <si>
    <t>Inside Sales</t>
  </si>
  <si>
    <t>South</t>
  </si>
  <si>
    <t>More Analysis</t>
  </si>
  <si>
    <t>Melwyn</t>
  </si>
  <si>
    <t>Crasto</t>
  </si>
  <si>
    <t>Marketing</t>
  </si>
  <si>
    <t>total number of males</t>
  </si>
  <si>
    <t>Dedhia</t>
  </si>
  <si>
    <t>Director</t>
  </si>
  <si>
    <t>total number of females</t>
  </si>
  <si>
    <t>Dattatray</t>
  </si>
  <si>
    <t>Desai</t>
  </si>
  <si>
    <t>Learning &amp; Development</t>
  </si>
  <si>
    <t>Mid West</t>
  </si>
  <si>
    <t>Total number Employees working in North</t>
  </si>
  <si>
    <t>Vishnu</t>
  </si>
  <si>
    <t>Average Salary Paid to Sales Departement of North Region</t>
  </si>
  <si>
    <t>Dinesh</t>
  </si>
  <si>
    <t>Dhanuka</t>
  </si>
  <si>
    <t>East</t>
  </si>
  <si>
    <t>Max Salary paid in Digital Marketing</t>
  </si>
  <si>
    <t>Heena</t>
  </si>
  <si>
    <t>Dongre</t>
  </si>
  <si>
    <t>Min Salary paid in South Region</t>
  </si>
  <si>
    <t>Dhiren</t>
  </si>
  <si>
    <t>Haria</t>
  </si>
  <si>
    <t>Gururaj</t>
  </si>
  <si>
    <t>Joshi</t>
  </si>
  <si>
    <t>Ruffina</t>
  </si>
  <si>
    <t>CEO</t>
  </si>
  <si>
    <t>Jagjit</t>
  </si>
  <si>
    <t>Kahlon</t>
  </si>
  <si>
    <t>CCD</t>
  </si>
  <si>
    <t>Piyush</t>
  </si>
  <si>
    <t>Kamdar</t>
  </si>
  <si>
    <t>Department/Region</t>
  </si>
  <si>
    <t>D</t>
  </si>
  <si>
    <t>Kulkarni</t>
  </si>
  <si>
    <t>Raju</t>
  </si>
  <si>
    <t>Manek</t>
  </si>
  <si>
    <t>Yogesh</t>
  </si>
  <si>
    <t>Mansharamani</t>
  </si>
  <si>
    <t>Satish</t>
  </si>
  <si>
    <t>Pasari</t>
  </si>
  <si>
    <t>Nitin</t>
  </si>
  <si>
    <t>Patki</t>
  </si>
  <si>
    <t>Operations</t>
  </si>
  <si>
    <t>Prem</t>
  </si>
  <si>
    <t>Pherwani</t>
  </si>
  <si>
    <t>Finance</t>
  </si>
  <si>
    <t>Sudesh</t>
  </si>
  <si>
    <t>Pillai</t>
  </si>
  <si>
    <t>Boneca</t>
  </si>
  <si>
    <t>Rego</t>
  </si>
  <si>
    <t>Sharadchandra</t>
  </si>
  <si>
    <t>Riswadkar</t>
  </si>
  <si>
    <t>Simon</t>
  </si>
  <si>
    <t>Rodrigues</t>
  </si>
  <si>
    <t>Ashok</t>
  </si>
  <si>
    <t>Samtaney</t>
  </si>
  <si>
    <t>Sales</t>
  </si>
  <si>
    <t>Praful</t>
  </si>
  <si>
    <t>Savla</t>
  </si>
  <si>
    <t>Stan</t>
  </si>
  <si>
    <t>Serrao</t>
  </si>
  <si>
    <t>Shah</t>
  </si>
  <si>
    <t>Sheth</t>
  </si>
  <si>
    <t>Shankar</t>
  </si>
  <si>
    <t>Shetty</t>
  </si>
  <si>
    <t>Kawdoor</t>
  </si>
  <si>
    <t>Venitha</t>
  </si>
  <si>
    <t>Tulsidas</t>
  </si>
  <si>
    <t>Rajeev</t>
  </si>
  <si>
    <t>Singh</t>
  </si>
  <si>
    <t>Bobby</t>
  </si>
  <si>
    <t>Tanna</t>
  </si>
  <si>
    <t>Jitendra</t>
  </si>
  <si>
    <t>Thacker</t>
  </si>
  <si>
    <t>Yashraj</t>
  </si>
  <si>
    <t>Vaidya</t>
  </si>
  <si>
    <t>Region &amp; Departmentwise Report</t>
  </si>
  <si>
    <t>Region &amp; Departmentwise Salary</t>
  </si>
  <si>
    <t>Calculate HRA at 45% of Basic salary</t>
  </si>
  <si>
    <t>Give Annual Bonus as 1000 Gift Voucher plus 5% of Basic salary</t>
  </si>
  <si>
    <t>Calcualte Gross Salary</t>
  </si>
  <si>
    <t>Calculate professional tax at 5%</t>
  </si>
  <si>
    <t>Calcualte Net Salary</t>
  </si>
  <si>
    <t>HRA</t>
  </si>
  <si>
    <t>Annual  Bonus</t>
  </si>
  <si>
    <t>Gross Salary</t>
  </si>
  <si>
    <t>Net Salary</t>
  </si>
  <si>
    <t>Professional Tax</t>
  </si>
  <si>
    <t>Machado, Jason</t>
  </si>
  <si>
    <t>Elayedatt, Rubin</t>
  </si>
  <si>
    <t>V, Rajesh</t>
  </si>
  <si>
    <t>Manager name</t>
  </si>
  <si>
    <t>Scores</t>
  </si>
  <si>
    <t>Q. Calculate the average roll up for the respective managers using the data in the second table.</t>
  </si>
  <si>
    <t>**Use Name Range Concept</t>
  </si>
  <si>
    <t>Student 50</t>
  </si>
  <si>
    <t>Student 49</t>
  </si>
  <si>
    <t>Student 48</t>
  </si>
  <si>
    <t>Student 47</t>
  </si>
  <si>
    <t>Student 46</t>
  </si>
  <si>
    <t>Student 45</t>
  </si>
  <si>
    <t>Student 44</t>
  </si>
  <si>
    <t>Student 43</t>
  </si>
  <si>
    <t>Student 42</t>
  </si>
  <si>
    <t>Student 41</t>
  </si>
  <si>
    <t>Student 40</t>
  </si>
  <si>
    <t>Student 39</t>
  </si>
  <si>
    <t>Student 38</t>
  </si>
  <si>
    <t>Student 37</t>
  </si>
  <si>
    <t>Student 36</t>
  </si>
  <si>
    <t>Student 35</t>
  </si>
  <si>
    <t>Student 34</t>
  </si>
  <si>
    <t>Student 33</t>
  </si>
  <si>
    <t>Student 32</t>
  </si>
  <si>
    <t>Student 31</t>
  </si>
  <si>
    <t>Student 30</t>
  </si>
  <si>
    <t>Student 29</t>
  </si>
  <si>
    <t>Student 28</t>
  </si>
  <si>
    <t>Student 27</t>
  </si>
  <si>
    <t>Student 26</t>
  </si>
  <si>
    <t>Student 25</t>
  </si>
  <si>
    <t>Student 24</t>
  </si>
  <si>
    <t>Student 23</t>
  </si>
  <si>
    <t>Student 22</t>
  </si>
  <si>
    <t>Student 21</t>
  </si>
  <si>
    <t>Student 20</t>
  </si>
  <si>
    <t>Student 19</t>
  </si>
  <si>
    <t>Student 18</t>
  </si>
  <si>
    <t>Student 17</t>
  </si>
  <si>
    <t>Student 16</t>
  </si>
  <si>
    <t>Student 15</t>
  </si>
  <si>
    <t>Student 14</t>
  </si>
  <si>
    <t>Student 13</t>
  </si>
  <si>
    <t>Student 12</t>
  </si>
  <si>
    <t>Student 11</t>
  </si>
  <si>
    <t>Student 10</t>
  </si>
  <si>
    <t>Student 9</t>
  </si>
  <si>
    <t>Student 8</t>
  </si>
  <si>
    <t>F</t>
  </si>
  <si>
    <t>Student 7</t>
  </si>
  <si>
    <t>Student 6</t>
  </si>
  <si>
    <t>Student 5</t>
  </si>
  <si>
    <t>B</t>
  </si>
  <si>
    <t>Student 4</t>
  </si>
  <si>
    <t>A</t>
  </si>
  <si>
    <t>Student 3</t>
  </si>
  <si>
    <t>Grade</t>
  </si>
  <si>
    <t>Max</t>
  </si>
  <si>
    <t>Min</t>
  </si>
  <si>
    <t>Student 2</t>
  </si>
  <si>
    <t>Student 1</t>
  </si>
  <si>
    <t>Student</t>
  </si>
  <si>
    <t>Q. For the student database given alongside, Find the min and max values for the grades.</t>
  </si>
  <si>
    <t>Antonio Bendera</t>
  </si>
  <si>
    <t>Chi Lyn Cheng</t>
  </si>
  <si>
    <t>Jennifer Flynn</t>
  </si>
  <si>
    <t>Katie Wilson</t>
  </si>
  <si>
    <t>Apr_avg</t>
  </si>
  <si>
    <t>Tony Jackson</t>
  </si>
  <si>
    <t>Mar_avg</t>
  </si>
  <si>
    <t>Su Li Macado</t>
  </si>
  <si>
    <t>Feb_avg</t>
  </si>
  <si>
    <t>Maria Consuelo</t>
  </si>
  <si>
    <t>Jan_avg</t>
  </si>
  <si>
    <t>Jon Allen</t>
  </si>
  <si>
    <t>Averages of eachmonth</t>
  </si>
  <si>
    <t>April</t>
  </si>
  <si>
    <t>March</t>
  </si>
  <si>
    <t>February</t>
  </si>
  <si>
    <t>January</t>
  </si>
  <si>
    <t>Q - Use conditional formatting in such a manner that any Cell which has more than the average for that month will have a green colour else Red color</t>
  </si>
  <si>
    <t>AAAAX</t>
  </si>
  <si>
    <t>EQ-VAL</t>
  </si>
  <si>
    <t>EQ-MC&amp;S</t>
  </si>
  <si>
    <t>EQ-L&amp;MC</t>
  </si>
  <si>
    <t>EQ-L</t>
  </si>
  <si>
    <t>EQ-FLX</t>
  </si>
  <si>
    <t>DB-VAL</t>
  </si>
  <si>
    <t>DB-FLX</t>
  </si>
  <si>
    <t>BLUECHIP</t>
  </si>
  <si>
    <t>Total rev</t>
  </si>
  <si>
    <t>Product</t>
  </si>
  <si>
    <t>nav_per_share</t>
  </si>
  <si>
    <t>price_date</t>
  </si>
  <si>
    <t>fund_symbol</t>
  </si>
  <si>
    <t>Add Data bars in next column. 
It should look like the image as shown.</t>
  </si>
  <si>
    <t>Add arrows to show increase/ decrese in 'nav' as compared to previous day. 
It should look like the image as shown.</t>
  </si>
  <si>
    <t>3 pm to 7 pm</t>
  </si>
  <si>
    <t>Batch-1</t>
  </si>
  <si>
    <t>4 pm to 8 pm</t>
  </si>
  <si>
    <t>Batch-3</t>
  </si>
  <si>
    <t>Batch-2</t>
  </si>
  <si>
    <t>Trainers</t>
  </si>
  <si>
    <t>Session Dates</t>
  </si>
  <si>
    <t>Timeslots for Training</t>
  </si>
  <si>
    <t>Pax Count</t>
  </si>
  <si>
    <t>Batch</t>
  </si>
  <si>
    <t>S.no.</t>
  </si>
  <si>
    <t>Highlight whole row, where date is of 'Today'.</t>
  </si>
  <si>
    <t>Jun</t>
  </si>
  <si>
    <t>May</t>
  </si>
  <si>
    <t>Apr</t>
  </si>
  <si>
    <t>Mar</t>
  </si>
  <si>
    <t>Feb</t>
  </si>
  <si>
    <t>Jan</t>
  </si>
  <si>
    <t>Month</t>
  </si>
  <si>
    <t>Format whole column with any Color, based on the selection of month in C5</t>
  </si>
  <si>
    <t>For sort --&gt; Alt + A + S + A</t>
  </si>
  <si>
    <t>Date (mm/dd/yyyy)</t>
  </si>
  <si>
    <t>Date (yyyymmdd.000)</t>
  </si>
  <si>
    <t>Q. Convert the date from first format to the second format and sort in ascending order.</t>
  </si>
  <si>
    <t>Ashok Samtaney</t>
  </si>
  <si>
    <t>Dhiren Sheth</t>
  </si>
  <si>
    <t>Simon Rodrigues</t>
  </si>
  <si>
    <t>Ruffina Joshi</t>
  </si>
  <si>
    <t>Ram Ambradkar</t>
  </si>
  <si>
    <t>Yogesh Mansharamani</t>
  </si>
  <si>
    <t>Dinesh Dhanuka</t>
  </si>
  <si>
    <t>Yashraj Vaidya</t>
  </si>
  <si>
    <t>Sudesh Pillai</t>
  </si>
  <si>
    <t>Gururaj Joshi</t>
  </si>
  <si>
    <t>Rajeev Singh</t>
  </si>
  <si>
    <t>Boneca Rego</t>
  </si>
  <si>
    <t>Exact Age with Years, Month, Days</t>
  </si>
  <si>
    <t>Age(in years)</t>
  </si>
  <si>
    <t>Year</t>
  </si>
  <si>
    <t>Month(in text)</t>
  </si>
  <si>
    <t>Month(in number)</t>
  </si>
  <si>
    <t>Day</t>
  </si>
  <si>
    <t>Name</t>
  </si>
  <si>
    <t>Last Modified Time</t>
  </si>
  <si>
    <t>Current Time</t>
  </si>
  <si>
    <t>Last Modified Date</t>
  </si>
  <si>
    <t>Current Date</t>
  </si>
  <si>
    <t>Germany</t>
  </si>
  <si>
    <t>Enterprise</t>
  </si>
  <si>
    <t>United States of America</t>
  </si>
  <si>
    <t>Small Business</t>
  </si>
  <si>
    <t>France</t>
  </si>
  <si>
    <t>Midmarket</t>
  </si>
  <si>
    <t>Channel Partners</t>
  </si>
  <si>
    <t>Mexico</t>
  </si>
  <si>
    <t>Canada</t>
  </si>
  <si>
    <t>Government</t>
  </si>
  <si>
    <t>Quarter</t>
  </si>
  <si>
    <t>Profit</t>
  </si>
  <si>
    <t>Date</t>
  </si>
  <si>
    <t>Country</t>
  </si>
  <si>
    <t>Segment</t>
  </si>
  <si>
    <t>ID</t>
  </si>
  <si>
    <t>2. Filter the data in Quarter 3</t>
  </si>
  <si>
    <t>1. Filter all the Country name starts with letter "F"</t>
  </si>
  <si>
    <t>Sort as per conditions and Copy paste the results, by adding a new sheet in this file. 
Plus Paste Screenshots of Advanced Filter(wherever necessary)</t>
  </si>
  <si>
    <t>Screenshot</t>
  </si>
  <si>
    <t>Q3</t>
  </si>
  <si>
    <t>Quarter 3</t>
  </si>
  <si>
    <t>TA-DA Amount</t>
  </si>
  <si>
    <t>Amazon Voucher</t>
  </si>
  <si>
    <t>Bonus 2</t>
  </si>
  <si>
    <t>Job Status</t>
  </si>
  <si>
    <t>Bonus</t>
  </si>
  <si>
    <t>Gift Eligibility</t>
  </si>
  <si>
    <t>Join date</t>
  </si>
  <si>
    <t>Employees will receive TA-DA as per the Region they are posted in. North=5000, South=4000, East=4200, Midwest=3800</t>
  </si>
  <si>
    <t>Gift everyone 1500 rs. Amazon Voucher, except Director and CEO</t>
  </si>
  <si>
    <t>Employees belong to Sales and Marketing Department with Basic Salary &lt; 45000 get Bonus of 25000</t>
  </si>
  <si>
    <t>Employees joined before 1980 , write them as 'Retired'</t>
  </si>
  <si>
    <t>Employees having Salary less than 30000 and belong to CCD department, Get 9000 as Bonus</t>
  </si>
  <si>
    <t>Write 'Eligible for Gift', in front of Females having Salary less than 50000</t>
  </si>
  <si>
    <t>Add new column for each task</t>
  </si>
  <si>
    <t>Product12</t>
  </si>
  <si>
    <t>Product11</t>
  </si>
  <si>
    <t>Product10</t>
  </si>
  <si>
    <t>Product9</t>
  </si>
  <si>
    <t>Product8</t>
  </si>
  <si>
    <t>Product7</t>
  </si>
  <si>
    <t>Product6</t>
  </si>
  <si>
    <t>Product5</t>
  </si>
  <si>
    <t>Product4</t>
  </si>
  <si>
    <t>Product3</t>
  </si>
  <si>
    <t>Product2</t>
  </si>
  <si>
    <t>Product1</t>
  </si>
  <si>
    <t>Vendor for Low Bid</t>
  </si>
  <si>
    <t>Lowest Bid</t>
  </si>
  <si>
    <t>Vendor5</t>
  </si>
  <si>
    <t>Vendor4</t>
  </si>
  <si>
    <t>Vendor3</t>
  </si>
  <si>
    <t>Vendor2</t>
  </si>
  <si>
    <t>Vendor1</t>
  </si>
  <si>
    <t>Products/Vendors</t>
  </si>
  <si>
    <t>Use INDEX, MIN &amp; MATCH to find vendor name with lowest bid</t>
  </si>
  <si>
    <t>Puri, Om</t>
  </si>
  <si>
    <t>Jain, Anita</t>
  </si>
  <si>
    <t>Londo, Mollari</t>
  </si>
  <si>
    <t>Wayne, John</t>
  </si>
  <si>
    <t>Prakash, Surya</t>
  </si>
  <si>
    <t>Temp Mgr1</t>
  </si>
  <si>
    <t>Emp Badge#</t>
  </si>
  <si>
    <t>Manager Table by Month</t>
  </si>
  <si>
    <t>Kumar, Deepak</t>
  </si>
  <si>
    <t>Singh, Robin</t>
  </si>
  <si>
    <t>Maradonna, Diego</t>
  </si>
  <si>
    <t>Tendulkar, Sachin</t>
  </si>
  <si>
    <t>Kumar, Ram</t>
  </si>
  <si>
    <t>Suri, Aviral</t>
  </si>
  <si>
    <t>Tank, Ashwini</t>
  </si>
  <si>
    <t>Prashanth, Gopi</t>
  </si>
  <si>
    <t>Manager</t>
  </si>
  <si>
    <t>Badge#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</si>
  <si>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</si>
  <si>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</si>
  <si>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</si>
  <si>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</si>
  <si>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1. Sort Segment, inside each segment Country should be sorted, with sorted profit for each country Low to high.</t>
  </si>
  <si>
    <t>Sort as per conditions and Copy paste the results, by adding a new sheet in this file. Plus Paste Screenshots of Sort Box.</t>
  </si>
  <si>
    <t>Screenshot :</t>
  </si>
  <si>
    <t>Prem Pherwani</t>
  </si>
  <si>
    <t>Venitha Shetty</t>
  </si>
  <si>
    <t>Shankar Shetty</t>
  </si>
  <si>
    <t>Nitin Patki</t>
  </si>
  <si>
    <t>Sharadchandra Riswadkar</t>
  </si>
  <si>
    <t>Praful Savla</t>
  </si>
  <si>
    <t>D Kulkarni</t>
  </si>
  <si>
    <t>Piyush Kamdar</t>
  </si>
  <si>
    <t>Dattatray Desai</t>
  </si>
  <si>
    <t>Jitendra Thacker</t>
  </si>
  <si>
    <t>Kawdoor Shetty</t>
  </si>
  <si>
    <t>Satish Pasari</t>
  </si>
  <si>
    <t>Jagjit Kahlon</t>
  </si>
  <si>
    <t>Raju Manek</t>
  </si>
  <si>
    <t>Vishnu Desai</t>
  </si>
  <si>
    <t>Sachin Bangera</t>
  </si>
  <si>
    <t>Tulsidas Shetty</t>
  </si>
  <si>
    <t>Rajeesh C</t>
  </si>
  <si>
    <t>Stan Serrao</t>
  </si>
  <si>
    <t>Bobby Tanna</t>
  </si>
  <si>
    <t>Heena Dongre</t>
  </si>
  <si>
    <t>Rajesh Dedhia</t>
  </si>
  <si>
    <t>Dhiren Haria</t>
  </si>
  <si>
    <t>Rajesh Bohra</t>
  </si>
  <si>
    <t>Piyush Shah</t>
  </si>
  <si>
    <t>Melwyn Crasto</t>
  </si>
  <si>
    <t>Employee ID</t>
  </si>
  <si>
    <t>Hiring Date</t>
  </si>
  <si>
    <t>Last Name</t>
  </si>
  <si>
    <t>First Name</t>
  </si>
  <si>
    <t>Full Name</t>
  </si>
  <si>
    <t>S.No</t>
  </si>
  <si>
    <t>Create Employee ID: initials of Name+first 2 letters of Department name+region initial+S.No       (ALL IN UPPER CASE). Example: MCMAN01</t>
  </si>
  <si>
    <t>Separate First Name and Last Name for the below list .</t>
  </si>
  <si>
    <t>Minimum Salary</t>
  </si>
  <si>
    <t>Maximum Salary</t>
  </si>
  <si>
    <t>Name of Employees, who have</t>
  </si>
  <si>
    <t>Figure out who has the Max and Min Salary</t>
  </si>
  <si>
    <t>Salary</t>
  </si>
  <si>
    <t>*Use Name Range and Vlookup with Match Function</t>
  </si>
  <si>
    <t>If C-Code is not present, display "Retired"</t>
  </si>
  <si>
    <t>Get Region, Department and Salary of all Employees from Sheet "Source"</t>
  </si>
  <si>
    <t>Formatted Plot</t>
  </si>
  <si>
    <t>Revenue'000</t>
  </si>
  <si>
    <t>Should be formatted as shown in picture</t>
  </si>
  <si>
    <t>Question Plot</t>
  </si>
  <si>
    <t>Create Line Chart with Proper formatting</t>
  </si>
  <si>
    <t>Total</t>
  </si>
  <si>
    <t>%</t>
  </si>
  <si>
    <t>Running Total</t>
  </si>
  <si>
    <t>Create Combo Chart with Proper formatting</t>
  </si>
  <si>
    <t>(Y-YBAR)</t>
  </si>
  <si>
    <t>(X-XBAR)</t>
  </si>
  <si>
    <t>weight</t>
  </si>
  <si>
    <t>horsepower</t>
  </si>
  <si>
    <t>Y</t>
  </si>
  <si>
    <t>X</t>
  </si>
  <si>
    <t>Create Scatter Chart with Proper formatting</t>
  </si>
  <si>
    <t>Current Balance</t>
  </si>
  <si>
    <t>OCT FY2022</t>
  </si>
  <si>
    <t>SEP FY2022</t>
  </si>
  <si>
    <t>AUG FY2022</t>
  </si>
  <si>
    <t>JUL FY2022</t>
  </si>
  <si>
    <t>JUN FY2022</t>
  </si>
  <si>
    <t>MAY FY2022</t>
  </si>
  <si>
    <t>APR FY2022</t>
  </si>
  <si>
    <t>MAR FY2022</t>
  </si>
  <si>
    <t>FEB FY2022</t>
  </si>
  <si>
    <t>JAN FY2022</t>
  </si>
  <si>
    <t>Start Balance</t>
  </si>
  <si>
    <t>Net Cash Flow</t>
  </si>
  <si>
    <t>Period</t>
  </si>
  <si>
    <t>Create Waterfall Chart with Proper formatting</t>
  </si>
  <si>
    <t>Sub-task 3</t>
  </si>
  <si>
    <t>Sub-task 2</t>
  </si>
  <si>
    <t>Sub-task 1</t>
  </si>
  <si>
    <t>Main task 2</t>
  </si>
  <si>
    <t>Sub-task 6</t>
  </si>
  <si>
    <t>Sub-task 5</t>
  </si>
  <si>
    <t>Sub-task 4</t>
  </si>
  <si>
    <t>Main task 1</t>
  </si>
  <si>
    <t>Duration</t>
  </si>
  <si>
    <t>Start_Num</t>
  </si>
  <si>
    <t>Work Days Planned</t>
  </si>
  <si>
    <t>Planned 
End Date</t>
  </si>
  <si>
    <t>Start 
Date</t>
  </si>
  <si>
    <t>Task Description</t>
  </si>
  <si>
    <t>Create Gantt Chart with Proper formatting</t>
  </si>
  <si>
    <t>Select "Region" and"Area" only from dropdown.</t>
  </si>
  <si>
    <t>This sheet is designed with data validation and automation features. "Blank cells are intentionally left to allow users (i.e.,employees) to test and fill in manually.</t>
  </si>
  <si>
    <r>
      <rPr>
        <b/>
        <u/>
        <sz val="12"/>
        <rFont val="Arial"/>
        <family val="2"/>
      </rPr>
      <t>NOTE</t>
    </r>
    <r>
      <rPr>
        <b/>
        <sz val="12"/>
        <rFont val="Arial"/>
        <family val="2"/>
      </rPr>
      <t>:</t>
    </r>
  </si>
  <si>
    <t>6.Depending upon the region selected the user will get the respective Area</t>
  </si>
  <si>
    <t>5.Give validation to Region so that the user will select the region from list</t>
  </si>
  <si>
    <t>4.Give validation to User_Id so that the userid is minimum 5 character long</t>
  </si>
  <si>
    <t>3.Give validation to Salary so that the salary is between 25000-85000</t>
  </si>
  <si>
    <t>2.Give validation to Birthdate so that the date after 2002 should not be accepted</t>
  </si>
  <si>
    <t>1.Give validation to Emp_code so that the user can enter only between 1 to 1000 without decimal</t>
  </si>
  <si>
    <t>Indirect()-Area</t>
  </si>
  <si>
    <t>Dockyard</t>
  </si>
  <si>
    <t>Naigaon</t>
  </si>
  <si>
    <t>Gogeshwari</t>
  </si>
  <si>
    <t>Chembur</t>
  </si>
  <si>
    <t>Masjid Bunder</t>
  </si>
  <si>
    <t>Nallasopara</t>
  </si>
  <si>
    <t>Bandra</t>
  </si>
  <si>
    <t>Mulund</t>
  </si>
  <si>
    <t>Kalbadevi</t>
  </si>
  <si>
    <t>Vasai</t>
  </si>
  <si>
    <t>Khar</t>
  </si>
  <si>
    <t>Thane</t>
  </si>
  <si>
    <t>Colaba</t>
  </si>
  <si>
    <t>Mira Road</t>
  </si>
  <si>
    <t>Vileparle</t>
  </si>
  <si>
    <t>Vashi</t>
  </si>
  <si>
    <t>Nariman point</t>
  </si>
  <si>
    <t>Bhyander</t>
  </si>
  <si>
    <t>Santacruz</t>
  </si>
  <si>
    <t>Ghatkopar</t>
  </si>
  <si>
    <t>Churchgate</t>
  </si>
  <si>
    <t>Virar</t>
  </si>
  <si>
    <t>Andheri</t>
  </si>
  <si>
    <t>Kurla</t>
  </si>
  <si>
    <t>West</t>
  </si>
  <si>
    <t>Region Details</t>
  </si>
  <si>
    <t>Area</t>
  </si>
  <si>
    <t>UserID</t>
  </si>
  <si>
    <t>Emp_Code</t>
  </si>
  <si>
    <t>Consider yourself as a manager you need to send this sheet to employees 
to gather data. For proper data collection validate the columns</t>
  </si>
  <si>
    <t>VALIDATION SHEET</t>
  </si>
  <si>
    <r>
      <rPr>
        <sz val="11"/>
        <color theme="1"/>
        <rFont val="Calibri"/>
        <family val="2"/>
      </rPr>
      <t xml:space="preserve">▪ </t>
    </r>
    <r>
      <rPr>
        <sz val="11"/>
        <color theme="1"/>
        <rFont val="Calibri"/>
        <family val="2"/>
        <scheme val="minor"/>
      </rPr>
      <t>Two sample products and a customer have been added above to demonstrate the working.</t>
    </r>
  </si>
  <si>
    <t>This invoice is auto-calculated. Users need only select customer and product. Rates, total, GST and Discount will update automatically.</t>
  </si>
  <si>
    <t>NOTE:</t>
  </si>
  <si>
    <t>Net Amount</t>
  </si>
  <si>
    <t>Discount</t>
  </si>
  <si>
    <t>GST (5%)</t>
  </si>
  <si>
    <t>Gross Amount</t>
  </si>
  <si>
    <t>Disount eligibility: Gross upto 2500- 0%, Gross more than or equal to 2500 -- 2%</t>
  </si>
  <si>
    <t>Add appropriate formulas to complete all the necessary calculations</t>
  </si>
  <si>
    <t>Each cell under Product and Rate should have pre-defined lists to chose from</t>
  </si>
  <si>
    <t>S.no. should be automated, will display automatically when product is selected</t>
  </si>
  <si>
    <t>Customer should have pre-defined list, as per selection of Customer, Address should be automatically populated</t>
  </si>
  <si>
    <t>Date of Invoice should be automatic</t>
  </si>
  <si>
    <t>Chair</t>
  </si>
  <si>
    <t>Invoice No' should look like SEL001, if Number "1" is entered by the user</t>
  </si>
  <si>
    <t>Files &amp; Folders</t>
  </si>
  <si>
    <t>Amount</t>
  </si>
  <si>
    <t>Rate</t>
  </si>
  <si>
    <t>Qty</t>
  </si>
  <si>
    <t>Instructions:</t>
  </si>
  <si>
    <t>Avengers</t>
  </si>
  <si>
    <t>Customer</t>
  </si>
  <si>
    <t>Address</t>
  </si>
  <si>
    <t>Invoice No</t>
  </si>
  <si>
    <t>Objective: Create a fully automated Invoice where, End user needs to only select Customer Name, Product and Enter Number of Invoice &amp; Qty to generate an Invoice.</t>
  </si>
  <si>
    <t>31, Baker Street</t>
  </si>
  <si>
    <t>Stark Enterprises Ltd</t>
  </si>
  <si>
    <t>TAX INVOICE</t>
  </si>
  <si>
    <t>Bookcase</t>
  </si>
  <si>
    <t>Desk Organizer</t>
  </si>
  <si>
    <t>Study Table</t>
  </si>
  <si>
    <t>Rate'00</t>
  </si>
  <si>
    <t>Katmandu, Nepal</t>
  </si>
  <si>
    <t>Direct</t>
  </si>
  <si>
    <t>Moana</t>
  </si>
  <si>
    <t>Montpellier, France</t>
  </si>
  <si>
    <t>Retailer</t>
  </si>
  <si>
    <t>Wonder</t>
  </si>
  <si>
    <t>Limerick, Ireland</t>
  </si>
  <si>
    <t>Wholesaler</t>
  </si>
  <si>
    <t>Guardian</t>
  </si>
  <si>
    <t>Chennai, India</t>
  </si>
  <si>
    <t>Loki</t>
  </si>
  <si>
    <t>Bangalore, India</t>
  </si>
  <si>
    <t>Legend</t>
  </si>
  <si>
    <t>Warsaw, Poland</t>
  </si>
  <si>
    <t>Thor</t>
  </si>
  <si>
    <t>Turku, Finland</t>
  </si>
  <si>
    <t>Aquaman</t>
  </si>
  <si>
    <t>Tunis, Tunisia</t>
  </si>
  <si>
    <t>Inception</t>
  </si>
  <si>
    <t>Alien</t>
  </si>
  <si>
    <t>La Coruna, Spain</t>
  </si>
  <si>
    <t>Gravity</t>
  </si>
  <si>
    <t>Johannesburg, South Africa</t>
  </si>
  <si>
    <t>Interstellar</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</si>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</sst>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 #,##0;[Red]&quot;₹&quot;\ \-#,##0"/>
    <numFmt numFmtId="8" formatCode="&quot;₹&quot;\ #,##0.00;[Red]&quot;₹&quot;\ \-#,##0.00"/>
    <numFmt numFmtId="43" formatCode="_ * #,##0.00_ ;_ * \-#,##0.00_ ;_ * &quot;-&quot;??_ ;_ @_ "/>
    <numFmt numFmtId="164" formatCode="0.0%"/>
    <numFmt numFmtId="165" formatCode="dd/mmmm/yyyy"/>
    <numFmt numFmtId="166" formatCode="mm/dd/yyyy"/>
    <numFmt numFmtId="167" formatCode="[$-F400]h:mm:ss\ AM/PM"/>
    <numFmt numFmtId="168" formatCode="_ * #,##0_ ;_ * \-#,##0_ ;_ * &quot;-&quot;??_ ;_ @_ "/>
    <numFmt numFmtId="169" formatCode="&quot;$&quot;#,##0_);[Red]\(&quot;$&quot;#,##0\)"/>
    <numFmt numFmtId="170" formatCode="dd\-mmm\-yy;;"/>
    <numFmt numFmtId="171" formatCode="[$-409]dd\-mmm\-yy;@"/>
    <numFmt numFmtId="172" formatCode="&quot;SEL&quot;000"/>
  </numFmts>
  <fonts count="54" x14ac:knownFonts="1">
    <font>
      <sz val="11"/>
      <color theme="1"/>
      <name val="Calibri"/>
      <family val="2"/>
      <scheme val="minor"/>
    </font>
    <font>
      <b/>
      <sz val="11"/>
      <color rgb="FFFF0000"/>
      <name val="Calibri"/>
      <family val="2"/>
    </font>
    <font>
      <sz val="11"/>
      <name val="Calibri"/>
      <family val="2"/>
    </font>
    <font>
      <b/>
      <sz val="11"/>
      <color theme="1"/>
      <name val="Calibri"/>
      <family val="2"/>
    </font>
    <font>
      <sz val="11"/>
      <color theme="1"/>
      <name val="Calibri"/>
      <family val="2"/>
    </font>
    <font>
      <b/>
      <sz val="11"/>
      <color theme="1"/>
      <name val="Calibri"/>
      <family val="2"/>
      <scheme val="minor"/>
    </font>
    <font>
      <b/>
      <sz val="11"/>
      <color rgb="FFFF0000"/>
      <name val="Calibri"/>
      <family val="2"/>
      <scheme val="minor"/>
    </font>
    <font>
      <sz val="11"/>
      <color theme="1"/>
      <name val="Calibri"/>
      <family val="2"/>
      <scheme val="minor"/>
    </font>
    <font>
      <b/>
      <sz val="10"/>
      <color theme="1"/>
      <name val="Calibri"/>
      <family val="2"/>
    </font>
    <font>
      <sz val="10"/>
      <color theme="1"/>
      <name val="Calibri"/>
      <family val="2"/>
    </font>
    <font>
      <b/>
      <sz val="10"/>
      <color rgb="FFFFFFFF"/>
      <name val="Arial"/>
      <family val="2"/>
    </font>
    <font>
      <b/>
      <sz val="10"/>
      <color rgb="FF800000"/>
      <name val="Arial"/>
      <family val="2"/>
    </font>
    <font>
      <b/>
      <sz val="10"/>
      <color theme="1"/>
      <name val="Arial"/>
      <family val="2"/>
    </font>
    <font>
      <b/>
      <sz val="8"/>
      <color theme="1"/>
      <name val="Arial"/>
      <family val="2"/>
    </font>
    <font>
      <b/>
      <sz val="11"/>
      <color rgb="FF000080"/>
      <name val="Arial"/>
      <family val="2"/>
    </font>
    <font>
      <b/>
      <i/>
      <sz val="12"/>
      <color rgb="FF800000"/>
      <name val="Arial"/>
      <family val="2"/>
    </font>
    <font>
      <b/>
      <i/>
      <sz val="9"/>
      <color rgb="FF800080"/>
      <name val="Arial"/>
      <family val="2"/>
    </font>
    <font>
      <b/>
      <sz val="10"/>
      <color rgb="FFFF0000"/>
      <name val="Arial"/>
      <family val="2"/>
    </font>
    <font>
      <b/>
      <sz val="13"/>
      <color rgb="FFFF0000"/>
      <name val="Calibri"/>
      <family val="2"/>
      <scheme val="minor"/>
    </font>
    <font>
      <strike/>
      <sz val="11"/>
      <color theme="1"/>
      <name val="Calibri"/>
      <family val="2"/>
      <scheme val="minor"/>
    </font>
    <font>
      <sz val="12"/>
      <color rgb="FF222222"/>
      <name val="Calibri"/>
      <family val="2"/>
    </font>
    <font>
      <strike/>
      <sz val="12"/>
      <color rgb="FF222222"/>
      <name val="Calibri"/>
      <family val="2"/>
    </font>
    <font>
      <b/>
      <sz val="14"/>
      <color rgb="FFFF0000"/>
      <name val="Calibri"/>
      <family val="2"/>
      <scheme val="minor"/>
    </font>
    <font>
      <b/>
      <sz val="14"/>
      <color theme="1"/>
      <name val="Calibri"/>
      <family val="2"/>
      <scheme val="minor"/>
    </font>
    <font>
      <sz val="11"/>
      <color rgb="FF000000"/>
      <name val="Calibri"/>
      <family val="2"/>
    </font>
    <font>
      <sz val="14"/>
      <color rgb="FFFF0000"/>
      <name val="Calibri"/>
      <family val="2"/>
      <scheme val="minor"/>
    </font>
    <font>
      <sz val="9"/>
      <color rgb="FF000000"/>
      <name val="Segoe UI"/>
      <family val="2"/>
    </font>
    <font>
      <sz val="11"/>
      <color rgb="FFFF0000"/>
      <name val="Calibri"/>
      <family val="2"/>
    </font>
    <font>
      <b/>
      <sz val="12"/>
      <color rgb="FFFF0000"/>
      <name val="Calibri"/>
      <family val="2"/>
    </font>
    <font>
      <b/>
      <sz val="10"/>
      <color indexed="9"/>
      <name val="Arial"/>
      <family val="2"/>
    </font>
    <font>
      <sz val="10"/>
      <name val="Arial"/>
      <family val="2"/>
    </font>
    <font>
      <b/>
      <sz val="10"/>
      <color indexed="10"/>
      <name val="Arial"/>
      <family val="2"/>
    </font>
    <font>
      <b/>
      <sz val="14"/>
      <color theme="8"/>
      <name val="Calibri"/>
      <family val="2"/>
      <scheme val="minor"/>
    </font>
    <font>
      <b/>
      <sz val="11"/>
      <color rgb="FFCC0099"/>
      <name val="Calibri"/>
      <family val="2"/>
      <scheme val="minor"/>
    </font>
    <font>
      <b/>
      <sz val="11"/>
      <color theme="0"/>
      <name val="Calibri"/>
      <family val="2"/>
    </font>
    <font>
      <sz val="8"/>
      <name val="Verdana"/>
      <family val="2"/>
    </font>
    <font>
      <b/>
      <sz val="8"/>
      <color theme="1"/>
      <name val="Verdana"/>
      <family val="2"/>
    </font>
    <font>
      <b/>
      <sz val="8"/>
      <name val="Verdana"/>
      <family val="2"/>
    </font>
    <font>
      <b/>
      <sz val="12"/>
      <name val="Arial"/>
      <family val="2"/>
    </font>
    <font>
      <b/>
      <u/>
      <sz val="12"/>
      <name val="Arial"/>
      <family val="2"/>
    </font>
    <font>
      <sz val="10"/>
      <name val="Calibri"/>
      <family val="2"/>
      <scheme val="minor"/>
    </font>
    <font>
      <b/>
      <sz val="10"/>
      <color theme="3" tint="-0.499984740745262"/>
      <name val="Calibri"/>
      <family val="2"/>
      <scheme val="minor"/>
    </font>
    <font>
      <b/>
      <sz val="14"/>
      <color theme="3" tint="-0.499984740745262"/>
      <name val="Calibri"/>
      <family val="2"/>
      <scheme val="minor"/>
    </font>
    <font>
      <b/>
      <sz val="11"/>
      <color theme="3" tint="-0.499984740745262"/>
      <name val="Calibri"/>
      <family val="2"/>
      <scheme val="minor"/>
    </font>
    <font>
      <b/>
      <u/>
      <sz val="12"/>
      <color theme="1"/>
      <name val="Calibri"/>
      <family val="2"/>
      <scheme val="minor"/>
    </font>
    <font>
      <b/>
      <sz val="10"/>
      <color theme="1" tint="0.249977111117893"/>
      <name val="Arial"/>
      <family val="2"/>
    </font>
    <font>
      <sz val="10"/>
      <color indexed="8"/>
      <name val="Arial"/>
      <family val="2"/>
    </font>
    <font>
      <b/>
      <sz val="10"/>
      <color theme="2" tint="-0.749992370372631"/>
      <name val="Arial"/>
      <family val="2"/>
    </font>
    <font>
      <b/>
      <sz val="10"/>
      <name val="Arial"/>
      <family val="2"/>
    </font>
    <font>
      <sz val="10"/>
      <color theme="2" tint="-0.749992370372631"/>
      <name val="Arial"/>
      <family val="2"/>
    </font>
    <font>
      <sz val="9"/>
      <color theme="9" tint="-0.499984740745262"/>
      <name val="Arial"/>
      <family val="2"/>
    </font>
    <font>
      <b/>
      <sz val="16"/>
      <name val="Bahnschrift Light"/>
      <family val="2"/>
    </font>
    <font>
      <b/>
      <sz val="8"/>
      <color rgb="FF002060"/>
      <name val="Arial"/>
      <family val="2"/>
    </font>
    <font>
      <b/>
      <sz val="10"/>
      <name val="Calibri"/>
      <family val="2"/>
      <scheme val="minor"/>
    </font>
  </fonts>
  <fills count="25">
    <fill>
      <patternFill patternType="none"/>
    </fill>
    <fill>
      <patternFill patternType="gray125"/>
    </fill>
    <fill>
      <patternFill patternType="solid">
        <fgColor rgb="FFA8D08D"/>
        <bgColor rgb="FFA8D08D"/>
      </patternFill>
    </fill>
    <fill>
      <patternFill patternType="solid">
        <fgColor rgb="FFFFFF99"/>
        <bgColor rgb="FFFFFF99"/>
      </patternFill>
    </fill>
    <fill>
      <patternFill patternType="solid">
        <fgColor rgb="FF000080"/>
        <bgColor rgb="FF000080"/>
      </patternFill>
    </fill>
    <fill>
      <patternFill patternType="solid">
        <fgColor rgb="FFFFFF00"/>
        <bgColor indexed="64"/>
      </patternFill>
    </fill>
    <fill>
      <patternFill patternType="solid">
        <fgColor rgb="FFFFE598"/>
        <bgColor rgb="FFFFE598"/>
      </patternFill>
    </fill>
    <fill>
      <patternFill patternType="solid">
        <fgColor rgb="FFFFFF00"/>
        <bgColor rgb="FFFFFF00"/>
      </patternFill>
    </fill>
    <fill>
      <patternFill patternType="solid">
        <fgColor rgb="FFFBE4D5"/>
        <bgColor rgb="FFFBE4D5"/>
      </patternFill>
    </fill>
    <fill>
      <patternFill patternType="solid">
        <fgColor theme="0"/>
        <bgColor theme="0"/>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2060"/>
        <bgColor rgb="FF002060"/>
      </patternFill>
    </fill>
    <fill>
      <patternFill patternType="solid">
        <fgColor rgb="FFE2EFD9"/>
        <bgColor rgb="FFE2EFD9"/>
      </patternFill>
    </fill>
    <fill>
      <patternFill patternType="solid">
        <fgColor theme="9"/>
        <bgColor theme="9"/>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indexed="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9D4BD"/>
        <bgColor indexed="64"/>
      </patternFill>
    </fill>
  </fills>
  <borders count="5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top/>
      <bottom/>
      <diagonal/>
    </border>
    <border>
      <left style="thin">
        <color rgb="FF000000"/>
      </left>
      <right/>
      <top style="thin">
        <color rgb="FF000000"/>
      </top>
      <bottom/>
      <diagonal/>
    </border>
    <border>
      <left/>
      <right/>
      <top style="thin">
        <color rgb="FFA8D08D"/>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0.24994659260841701"/>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30" fillId="0" borderId="0"/>
  </cellStyleXfs>
  <cellXfs count="290">
    <xf numFmtId="0" fontId="0" fillId="0" borderId="0" xfId="0"/>
    <xf numFmtId="0" fontId="3" fillId="0" borderId="3" xfId="0" applyFont="1" applyBorder="1"/>
    <xf numFmtId="0" fontId="4" fillId="0" borderId="3" xfId="0" applyFont="1" applyBorder="1"/>
    <xf numFmtId="1" fontId="4" fillId="0" borderId="3" xfId="0" applyNumberFormat="1" applyFont="1" applyBorder="1"/>
    <xf numFmtId="0" fontId="4" fillId="0" borderId="3" xfId="0" applyFont="1" applyBorder="1" applyAlignment="1">
      <alignment horizontal="center"/>
    </xf>
    <xf numFmtId="0" fontId="4" fillId="0" borderId="3" xfId="0" quotePrefix="1" applyFont="1" applyBorder="1"/>
    <xf numFmtId="15"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4" xfId="0" applyFont="1" applyBorder="1"/>
    <xf numFmtId="0" fontId="4" fillId="0" borderId="1" xfId="0" applyFont="1" applyBorder="1"/>
    <xf numFmtId="0" fontId="0" fillId="0" borderId="5" xfId="0" applyBorder="1"/>
    <xf numFmtId="0" fontId="4" fillId="0" borderId="6" xfId="0" applyFont="1" applyBorder="1"/>
    <xf numFmtId="0" fontId="3" fillId="0" borderId="5" xfId="0" applyFont="1" applyBorder="1"/>
    <xf numFmtId="0" fontId="4" fillId="0" borderId="5" xfId="0" quotePrefix="1" applyFont="1" applyBorder="1"/>
    <xf numFmtId="0" fontId="4" fillId="0" borderId="5" xfId="0" applyFont="1" applyBorder="1"/>
    <xf numFmtId="0" fontId="6" fillId="0" borderId="0" xfId="0" applyFont="1"/>
    <xf numFmtId="0" fontId="5" fillId="0" borderId="5" xfId="0" applyFont="1" applyBorder="1"/>
    <xf numFmtId="0" fontId="6" fillId="0" borderId="5" xfId="0" applyFont="1" applyBorder="1"/>
    <xf numFmtId="0" fontId="0" fillId="0" borderId="5" xfId="0" quotePrefix="1" applyBorder="1" applyAlignment="1">
      <alignment horizontal="center"/>
    </xf>
    <xf numFmtId="0" fontId="0" fillId="0" borderId="5" xfId="0" quotePrefix="1" applyBorder="1"/>
    <xf numFmtId="15" fontId="0" fillId="0" borderId="5" xfId="0" applyNumberFormat="1" applyBorder="1" applyAlignment="1">
      <alignment horizontal="center"/>
    </xf>
    <xf numFmtId="0" fontId="6" fillId="0" borderId="5" xfId="0" applyFont="1" applyBorder="1" applyAlignment="1">
      <alignment horizontal="center"/>
    </xf>
    <xf numFmtId="0" fontId="6" fillId="0" borderId="5" xfId="0" applyFont="1" applyBorder="1" applyAlignment="1">
      <alignment horizontal="center" vertical="center"/>
    </xf>
    <xf numFmtId="0" fontId="6" fillId="0" borderId="0" xfId="0" applyFont="1" applyAlignment="1">
      <alignment horizontal="left"/>
    </xf>
    <xf numFmtId="164" fontId="8" fillId="0" borderId="3" xfId="0" applyNumberFormat="1" applyFont="1" applyBorder="1" applyAlignment="1">
      <alignment horizontal="center" vertical="center"/>
    </xf>
    <xf numFmtId="0" fontId="9" fillId="0" borderId="3" xfId="0" applyFont="1" applyBorder="1" applyAlignment="1">
      <alignment horizontal="center" vertical="center"/>
    </xf>
    <xf numFmtId="164" fontId="4" fillId="0" borderId="3" xfId="0" applyNumberFormat="1" applyFont="1" applyBorder="1"/>
    <xf numFmtId="0" fontId="4" fillId="3" borderId="3" xfId="0" applyFont="1" applyFill="1" applyBorder="1" applyAlignment="1">
      <alignment horizontal="center"/>
    </xf>
    <xf numFmtId="164" fontId="4" fillId="0" borderId="10" xfId="0" applyNumberFormat="1" applyFont="1" applyBorder="1"/>
    <xf numFmtId="0" fontId="10" fillId="4" borderId="0" xfId="0" applyFont="1" applyFill="1" applyAlignment="1">
      <alignment horizontal="center"/>
    </xf>
    <xf numFmtId="0" fontId="10" fillId="4" borderId="11" xfId="0" applyFont="1" applyFill="1" applyBorder="1" applyAlignment="1">
      <alignment horizontal="center"/>
    </xf>
    <xf numFmtId="0" fontId="4" fillId="0" borderId="0" xfId="0" applyFont="1" applyAlignment="1">
      <alignment horizontal="center"/>
    </xf>
    <xf numFmtId="0" fontId="11" fillId="0" borderId="3" xfId="0" applyFont="1" applyBorder="1" applyAlignment="1">
      <alignment horizontal="center"/>
    </xf>
    <xf numFmtId="0" fontId="12" fillId="0" borderId="0" xfId="0" applyFont="1"/>
    <xf numFmtId="0" fontId="3" fillId="0" borderId="3" xfId="0" applyFont="1" applyBorder="1" applyAlignment="1">
      <alignment horizontal="center"/>
    </xf>
    <xf numFmtId="0" fontId="13" fillId="0" borderId="3" xfId="0" applyFont="1" applyBorder="1" applyAlignment="1">
      <alignment horizontal="center"/>
    </xf>
    <xf numFmtId="0" fontId="3" fillId="0" borderId="0" xfId="0" applyFont="1"/>
    <xf numFmtId="0" fontId="12" fillId="0" borderId="3" xfId="0" applyFont="1" applyBorder="1" applyAlignment="1">
      <alignment horizontal="center"/>
    </xf>
    <xf numFmtId="0" fontId="14" fillId="0" borderId="3" xfId="0" applyFont="1" applyBorder="1" applyAlignment="1">
      <alignment horizontal="center"/>
    </xf>
    <xf numFmtId="0" fontId="15" fillId="0" borderId="0" xfId="0" applyFont="1" applyAlignment="1">
      <alignment horizontal="center"/>
    </xf>
    <xf numFmtId="0" fontId="16" fillId="0" borderId="0" xfId="0" applyFont="1" applyAlignment="1">
      <alignment horizontal="center"/>
    </xf>
    <xf numFmtId="0" fontId="0" fillId="0" borderId="0" xfId="0" applyAlignment="1">
      <alignment vertical="center"/>
    </xf>
    <xf numFmtId="1" fontId="0" fillId="0" borderId="5" xfId="0" applyNumberFormat="1" applyBorder="1" applyAlignment="1">
      <alignment vertical="center"/>
    </xf>
    <xf numFmtId="0" fontId="5" fillId="5" borderId="5" xfId="0" applyFont="1" applyFill="1" applyBorder="1" applyAlignment="1">
      <alignment vertical="center"/>
    </xf>
    <xf numFmtId="0" fontId="0" fillId="0" borderId="0" xfId="0" applyAlignment="1">
      <alignment horizontal="right" vertical="center"/>
    </xf>
    <xf numFmtId="1" fontId="0" fillId="0" borderId="0" xfId="0" applyNumberFormat="1" applyAlignment="1">
      <alignment vertical="center"/>
    </xf>
    <xf numFmtId="0" fontId="5" fillId="0" borderId="0" xfId="0" applyFont="1" applyAlignment="1">
      <alignment vertical="center"/>
    </xf>
    <xf numFmtId="0" fontId="18" fillId="0" borderId="0" xfId="0" applyFont="1" applyAlignment="1">
      <alignment vertical="center"/>
    </xf>
    <xf numFmtId="0" fontId="5" fillId="5" borderId="5" xfId="0" applyFont="1" applyFill="1" applyBorder="1" applyAlignment="1">
      <alignment horizontal="center" vertical="center"/>
    </xf>
    <xf numFmtId="0" fontId="0" fillId="5" borderId="5" xfId="0" applyFill="1" applyBorder="1" applyAlignment="1">
      <alignment vertical="center"/>
    </xf>
    <xf numFmtId="0" fontId="6" fillId="0" borderId="0" xfId="0" applyFont="1" applyAlignment="1">
      <alignment vertical="top" wrapText="1"/>
    </xf>
    <xf numFmtId="0" fontId="0" fillId="0" borderId="5" xfId="0" applyBorder="1" applyAlignment="1">
      <alignment horizontal="center" vertical="center"/>
    </xf>
    <xf numFmtId="15" fontId="0" fillId="0" borderId="5" xfId="0" applyNumberFormat="1" applyBorder="1"/>
    <xf numFmtId="1" fontId="0" fillId="0" borderId="5" xfId="0" applyNumberFormat="1" applyBorder="1"/>
    <xf numFmtId="0" fontId="0" fillId="0" borderId="5" xfId="0" applyBorder="1" applyAlignment="1">
      <alignment horizontal="center" vertical="center" wrapText="1"/>
    </xf>
    <xf numFmtId="165" fontId="0" fillId="0" borderId="5" xfId="0" applyNumberFormat="1" applyBorder="1" applyAlignment="1">
      <alignment horizontal="center" vertical="center"/>
    </xf>
    <xf numFmtId="0" fontId="19" fillId="0" borderId="5" xfId="0" applyFont="1" applyBorder="1" applyAlignment="1">
      <alignment horizontal="center" vertical="center"/>
    </xf>
    <xf numFmtId="0" fontId="20" fillId="0" borderId="5" xfId="0" applyFont="1" applyBorder="1" applyAlignment="1">
      <alignment horizontal="center" wrapText="1"/>
    </xf>
    <xf numFmtId="165" fontId="19" fillId="0" borderId="5" xfId="0" applyNumberFormat="1" applyFont="1" applyBorder="1" applyAlignment="1">
      <alignment horizontal="center" vertical="center"/>
    </xf>
    <xf numFmtId="0" fontId="21" fillId="0" borderId="5" xfId="0" applyFont="1" applyBorder="1" applyAlignment="1">
      <alignment horizontal="center" wrapText="1"/>
    </xf>
    <xf numFmtId="0" fontId="5" fillId="0" borderId="5" xfId="0" applyFont="1" applyBorder="1" applyAlignment="1">
      <alignment horizontal="center" vertical="center" wrapText="1"/>
    </xf>
    <xf numFmtId="0" fontId="0" fillId="0" borderId="15" xfId="0" applyBorder="1"/>
    <xf numFmtId="0" fontId="5" fillId="5" borderId="16" xfId="0" applyFont="1" applyFill="1" applyBorder="1"/>
    <xf numFmtId="0" fontId="6" fillId="0" borderId="0" xfId="0" applyFont="1" applyAlignment="1">
      <alignment horizontal="left" wrapText="1"/>
    </xf>
    <xf numFmtId="0" fontId="7" fillId="0" borderId="0" xfId="0" applyFont="1"/>
    <xf numFmtId="166" fontId="0" fillId="0" borderId="5" xfId="0" applyNumberFormat="1" applyBorder="1"/>
    <xf numFmtId="0" fontId="4" fillId="3" borderId="5" xfId="0" applyFont="1" applyFill="1" applyBorder="1" applyAlignment="1">
      <alignment horizontal="right"/>
    </xf>
    <xf numFmtId="0" fontId="23" fillId="0" borderId="0" xfId="0" applyFont="1"/>
    <xf numFmtId="0" fontId="22" fillId="0" borderId="0" xfId="0" applyFont="1"/>
    <xf numFmtId="0" fontId="10" fillId="4" borderId="4"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3" xfId="0" applyFont="1" applyFill="1" applyBorder="1"/>
    <xf numFmtId="14" fontId="0" fillId="0" borderId="0" xfId="0" applyNumberFormat="1"/>
    <xf numFmtId="0" fontId="3" fillId="2" borderId="3" xfId="0" applyFont="1" applyFill="1" applyBorder="1" applyAlignment="1">
      <alignment horizontal="center" vertical="center"/>
    </xf>
    <xf numFmtId="0" fontId="3" fillId="2" borderId="3" xfId="0" applyFont="1" applyFill="1" applyBorder="1"/>
    <xf numFmtId="22" fontId="0" fillId="0" borderId="0" xfId="0" applyNumberFormat="1"/>
    <xf numFmtId="167" fontId="4" fillId="6" borderId="3" xfId="0" applyNumberFormat="1" applyFont="1" applyFill="1" applyBorder="1"/>
    <xf numFmtId="14" fontId="4" fillId="6" borderId="3" xfId="0" applyNumberFormat="1" applyFont="1" applyFill="1" applyBorder="1"/>
    <xf numFmtId="0" fontId="7" fillId="0" borderId="5" xfId="0" applyFont="1" applyBorder="1"/>
    <xf numFmtId="14" fontId="4" fillId="0" borderId="5" xfId="0" applyNumberFormat="1" applyFont="1" applyBorder="1"/>
    <xf numFmtId="0" fontId="24" fillId="0" borderId="5" xfId="0" applyFont="1" applyBorder="1"/>
    <xf numFmtId="0" fontId="1" fillId="0" borderId="0" xfId="0" applyFont="1" applyAlignment="1">
      <alignment horizontal="left"/>
    </xf>
    <xf numFmtId="0" fontId="25" fillId="0" borderId="0" xfId="0" applyFont="1"/>
    <xf numFmtId="0" fontId="4" fillId="0" borderId="0" xfId="0" applyFont="1"/>
    <xf numFmtId="0" fontId="26" fillId="0" borderId="0" xfId="0" applyFont="1"/>
    <xf numFmtId="0" fontId="4" fillId="7" borderId="3" xfId="0" applyFont="1" applyFill="1" applyBorder="1"/>
    <xf numFmtId="168" fontId="4" fillId="7" borderId="3" xfId="1" applyNumberFormat="1" applyFont="1" applyFill="1" applyBorder="1"/>
    <xf numFmtId="43" fontId="4" fillId="7" borderId="3" xfId="1" applyFont="1" applyFill="1" applyBorder="1" applyAlignment="1">
      <alignment horizontal="center" vertical="center"/>
    </xf>
    <xf numFmtId="0" fontId="3" fillId="7" borderId="3" xfId="0" applyFont="1" applyFill="1" applyBorder="1"/>
    <xf numFmtId="0" fontId="27" fillId="0" borderId="0" xfId="0" applyFont="1"/>
    <xf numFmtId="0" fontId="4" fillId="8" borderId="3" xfId="0" applyFont="1" applyFill="1" applyBorder="1" applyAlignment="1">
      <alignment horizontal="center"/>
    </xf>
    <xf numFmtId="0" fontId="4" fillId="8" borderId="3" xfId="0" applyFont="1" applyFill="1" applyBorder="1"/>
    <xf numFmtId="0" fontId="3" fillId="9" borderId="3" xfId="0" applyFont="1" applyFill="1" applyBorder="1"/>
    <xf numFmtId="0" fontId="0" fillId="10" borderId="27" xfId="0" applyFill="1" applyBorder="1" applyAlignment="1">
      <alignment horizontal="center"/>
    </xf>
    <xf numFmtId="0" fontId="0" fillId="10" borderId="28" xfId="0" applyFill="1" applyBorder="1" applyAlignment="1">
      <alignment horizontal="center"/>
    </xf>
    <xf numFmtId="0" fontId="0" fillId="11" borderId="19" xfId="0" applyFill="1"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0" fontId="0" fillId="11" borderId="31" xfId="0" applyFill="1" applyBorder="1" applyAlignment="1">
      <alignment horizontal="center"/>
    </xf>
    <xf numFmtId="0" fontId="0" fillId="10" borderId="32" xfId="0" applyFill="1" applyBorder="1" applyAlignment="1">
      <alignment horizontal="center"/>
    </xf>
    <xf numFmtId="0" fontId="0" fillId="10" borderId="33" xfId="0" applyFill="1" applyBorder="1" applyAlignment="1">
      <alignment horizontal="center"/>
    </xf>
    <xf numFmtId="0" fontId="0" fillId="11" borderId="34" xfId="0" applyFill="1" applyBorder="1" applyAlignment="1">
      <alignment horizontal="center"/>
    </xf>
    <xf numFmtId="0" fontId="29" fillId="12" borderId="35" xfId="0" applyFont="1" applyFill="1" applyBorder="1" applyAlignment="1">
      <alignment horizontal="center"/>
    </xf>
    <xf numFmtId="0" fontId="29" fillId="12" borderId="0" xfId="0" applyFont="1" applyFill="1" applyAlignment="1">
      <alignment horizontal="center"/>
    </xf>
    <xf numFmtId="0" fontId="29" fillId="12" borderId="31" xfId="0" applyFont="1" applyFill="1" applyBorder="1" applyAlignment="1">
      <alignment horizontal="center"/>
    </xf>
    <xf numFmtId="0" fontId="0" fillId="0" borderId="20" xfId="0" applyBorder="1"/>
    <xf numFmtId="0" fontId="0" fillId="0" borderId="21" xfId="0" applyBorder="1"/>
    <xf numFmtId="0" fontId="0" fillId="0" borderId="38" xfId="0" applyBorder="1"/>
    <xf numFmtId="0" fontId="0" fillId="11" borderId="39" xfId="0" applyFill="1" applyBorder="1" applyAlignment="1">
      <alignment horizontal="center"/>
    </xf>
    <xf numFmtId="0" fontId="0" fillId="11" borderId="40" xfId="0" applyFill="1" applyBorder="1" applyAlignment="1">
      <alignment horizontal="center"/>
    </xf>
    <xf numFmtId="0" fontId="0" fillId="11" borderId="5" xfId="0" applyFill="1" applyBorder="1" applyAlignment="1">
      <alignment horizontal="center"/>
    </xf>
    <xf numFmtId="0" fontId="0" fillId="11" borderId="41" xfId="0" applyFill="1" applyBorder="1" applyAlignment="1">
      <alignment horizontal="center"/>
    </xf>
    <xf numFmtId="0" fontId="30" fillId="11" borderId="41" xfId="0" applyFont="1" applyFill="1" applyBorder="1" applyAlignment="1">
      <alignment horizontal="center"/>
    </xf>
    <xf numFmtId="0" fontId="29" fillId="12" borderId="38" xfId="0" applyFont="1" applyFill="1" applyBorder="1" applyAlignment="1">
      <alignment horizontal="center"/>
    </xf>
    <xf numFmtId="0" fontId="29" fillId="12" borderId="5" xfId="0" applyFont="1" applyFill="1" applyBorder="1" applyAlignment="1">
      <alignment horizontal="center"/>
    </xf>
    <xf numFmtId="0" fontId="29" fillId="12" borderId="41" xfId="0" applyFont="1" applyFill="1" applyBorder="1" applyAlignment="1">
      <alignment horizontal="center"/>
    </xf>
    <xf numFmtId="0" fontId="31" fillId="0" borderId="0" xfId="0" applyFont="1"/>
    <xf numFmtId="0" fontId="5" fillId="5" borderId="5" xfId="0" applyFont="1" applyFill="1" applyBorder="1" applyAlignment="1">
      <alignment horizontal="left" indent="1"/>
    </xf>
    <xf numFmtId="0" fontId="31" fillId="0" borderId="5" xfId="0" applyFont="1" applyBorder="1" applyAlignment="1">
      <alignment horizontal="right" indent="1"/>
    </xf>
    <xf numFmtId="0" fontId="32" fillId="0" borderId="0" xfId="0" applyFont="1"/>
    <xf numFmtId="0" fontId="0" fillId="5" borderId="5" xfId="0" quotePrefix="1" applyFill="1" applyBorder="1"/>
    <xf numFmtId="0" fontId="3" fillId="0" borderId="45" xfId="0" applyFont="1" applyBorder="1"/>
    <xf numFmtId="0" fontId="3" fillId="0" borderId="1" xfId="0" applyFont="1" applyBorder="1"/>
    <xf numFmtId="0" fontId="3" fillId="0" borderId="4" xfId="0" applyFont="1" applyBorder="1"/>
    <xf numFmtId="0" fontId="1" fillId="2" borderId="46" xfId="0" applyFont="1" applyFill="1" applyBorder="1" applyAlignment="1">
      <alignment horizontal="left"/>
    </xf>
    <xf numFmtId="0" fontId="3" fillId="14" borderId="45" xfId="0" applyFont="1" applyFill="1" applyBorder="1"/>
    <xf numFmtId="0" fontId="0" fillId="0" borderId="0" xfId="0" quotePrefix="1"/>
    <xf numFmtId="0" fontId="3" fillId="2" borderId="4" xfId="0" applyFont="1" applyFill="1" applyBorder="1"/>
    <xf numFmtId="6" fontId="4" fillId="0" borderId="3" xfId="0" applyNumberFormat="1" applyFont="1" applyBorder="1"/>
    <xf numFmtId="6" fontId="4" fillId="0" borderId="4" xfId="0" applyNumberFormat="1" applyFont="1" applyBorder="1"/>
    <xf numFmtId="0" fontId="4" fillId="0" borderId="46" xfId="0" applyFont="1" applyBorder="1"/>
    <xf numFmtId="0" fontId="5" fillId="0" borderId="0" xfId="0" applyFont="1"/>
    <xf numFmtId="0" fontId="33" fillId="0" borderId="0" xfId="0" applyFont="1"/>
    <xf numFmtId="169" fontId="4" fillId="0" borderId="5" xfId="0" applyNumberFormat="1" applyFont="1" applyBorder="1"/>
    <xf numFmtId="9" fontId="4" fillId="0" borderId="5" xfId="0" applyNumberFormat="1" applyFont="1" applyBorder="1"/>
    <xf numFmtId="4" fontId="4" fillId="0" borderId="5" xfId="0" applyNumberFormat="1" applyFont="1" applyBorder="1"/>
    <xf numFmtId="0" fontId="34" fillId="15" borderId="5" xfId="0" applyFont="1" applyFill="1" applyBorder="1" applyAlignment="1">
      <alignment horizontal="right"/>
    </xf>
    <xf numFmtId="0" fontId="34" fillId="15" borderId="5" xfId="0" applyFont="1" applyFill="1" applyBorder="1"/>
    <xf numFmtId="0" fontId="4" fillId="0" borderId="47" xfId="0" applyFont="1" applyBorder="1"/>
    <xf numFmtId="0" fontId="4" fillId="16" borderId="47" xfId="0" applyFont="1" applyFill="1" applyBorder="1"/>
    <xf numFmtId="0" fontId="34" fillId="17" borderId="47" xfId="0" applyFont="1" applyFill="1" applyBorder="1"/>
    <xf numFmtId="0" fontId="1" fillId="0" borderId="0" xfId="0" applyFont="1"/>
    <xf numFmtId="8" fontId="0" fillId="0" borderId="0" xfId="0" applyNumberFormat="1"/>
    <xf numFmtId="8" fontId="0" fillId="0" borderId="5" xfId="0" applyNumberFormat="1" applyBorder="1"/>
    <xf numFmtId="1" fontId="0" fillId="0" borderId="0" xfId="0" applyNumberFormat="1"/>
    <xf numFmtId="1" fontId="35" fillId="0" borderId="0" xfId="0" applyNumberFormat="1" applyFont="1" applyAlignment="1">
      <alignment horizontal="center"/>
    </xf>
    <xf numFmtId="15" fontId="35" fillId="0" borderId="48" xfId="0" applyNumberFormat="1" applyFont="1" applyBorder="1" applyAlignment="1" applyProtection="1">
      <alignment horizontal="right"/>
      <protection locked="0"/>
    </xf>
    <xf numFmtId="170" fontId="35" fillId="0" borderId="48" xfId="0" applyNumberFormat="1" applyFont="1" applyBorder="1" applyAlignment="1" applyProtection="1">
      <alignment horizontal="right"/>
      <protection locked="0"/>
    </xf>
    <xf numFmtId="0" fontId="35" fillId="0" borderId="48" xfId="0" applyFont="1" applyBorder="1" applyProtection="1">
      <protection locked="0"/>
    </xf>
    <xf numFmtId="15" fontId="35" fillId="0" borderId="0" xfId="0" applyNumberFormat="1" applyFont="1" applyAlignment="1" applyProtection="1">
      <alignment horizontal="right"/>
      <protection locked="0"/>
    </xf>
    <xf numFmtId="0" fontId="35" fillId="0" borderId="0" xfId="0" applyFont="1" applyProtection="1">
      <protection locked="0"/>
    </xf>
    <xf numFmtId="0" fontId="5" fillId="0" borderId="49" xfId="0" applyFont="1" applyBorder="1" applyAlignment="1">
      <alignment vertical="center"/>
    </xf>
    <xf numFmtId="0" fontId="36" fillId="0" borderId="49" xfId="0" applyFont="1" applyBorder="1" applyAlignment="1">
      <alignment horizontal="center" vertical="center" wrapText="1"/>
    </xf>
    <xf numFmtId="0" fontId="37" fillId="0" borderId="50" xfId="0" applyFont="1" applyBorder="1" applyAlignment="1">
      <alignment horizontal="center" vertical="center" wrapText="1"/>
    </xf>
    <xf numFmtId="0" fontId="37" fillId="0" borderId="50" xfId="0" applyFont="1" applyBorder="1" applyAlignment="1">
      <alignment horizontal="left" vertical="center"/>
    </xf>
    <xf numFmtId="0" fontId="30" fillId="0" borderId="0" xfId="2"/>
    <xf numFmtId="171" fontId="30" fillId="0" borderId="0" xfId="2" applyNumberFormat="1"/>
    <xf numFmtId="0" fontId="38" fillId="0" borderId="0" xfId="2" applyFont="1"/>
    <xf numFmtId="0" fontId="40" fillId="0" borderId="23" xfId="2" applyFont="1" applyBorder="1"/>
    <xf numFmtId="0" fontId="40" fillId="0" borderId="51" xfId="2" applyFont="1" applyBorder="1"/>
    <xf numFmtId="0" fontId="40" fillId="0" borderId="52" xfId="2" applyFont="1" applyBorder="1"/>
    <xf numFmtId="0" fontId="40" fillId="0" borderId="30" xfId="2" applyFont="1" applyBorder="1"/>
    <xf numFmtId="14" fontId="0" fillId="0" borderId="5" xfId="0" applyNumberFormat="1" applyBorder="1"/>
    <xf numFmtId="0" fontId="40" fillId="0" borderId="25" xfId="2" applyFont="1" applyBorder="1"/>
    <xf numFmtId="0" fontId="40" fillId="0" borderId="33" xfId="2" applyFont="1" applyBorder="1"/>
    <xf numFmtId="0" fontId="41" fillId="18" borderId="5" xfId="0" applyFont="1" applyFill="1" applyBorder="1" applyAlignment="1">
      <alignment horizontal="center"/>
    </xf>
    <xf numFmtId="0" fontId="17" fillId="0" borderId="0" xfId="2" applyFont="1" applyAlignment="1">
      <alignment vertical="center" wrapText="1"/>
    </xf>
    <xf numFmtId="0" fontId="30" fillId="0" borderId="0" xfId="2" applyAlignment="1">
      <alignment vertical="center"/>
    </xf>
    <xf numFmtId="0" fontId="43" fillId="18" borderId="5" xfId="0" applyFont="1" applyFill="1" applyBorder="1" applyAlignment="1">
      <alignment horizontal="center" vertical="center"/>
    </xf>
    <xf numFmtId="0" fontId="17" fillId="0" borderId="0" xfId="2" applyFont="1" applyAlignment="1">
      <alignment horizontal="left" vertical="center" wrapText="1"/>
    </xf>
    <xf numFmtId="0" fontId="44" fillId="0" borderId="0" xfId="0" applyFont="1"/>
    <xf numFmtId="0" fontId="45" fillId="20" borderId="5" xfId="0" applyFont="1" applyFill="1" applyBorder="1" applyAlignment="1">
      <alignment horizontal="right"/>
    </xf>
    <xf numFmtId="0" fontId="0" fillId="21" borderId="23" xfId="0" applyFill="1" applyBorder="1"/>
    <xf numFmtId="0" fontId="0" fillId="21" borderId="24" xfId="0" applyFill="1" applyBorder="1"/>
    <xf numFmtId="0" fontId="46" fillId="21" borderId="5" xfId="0" applyFont="1" applyFill="1" applyBorder="1" applyAlignment="1">
      <alignment horizontal="right"/>
    </xf>
    <xf numFmtId="0" fontId="0" fillId="21" borderId="52" xfId="0" applyFill="1" applyBorder="1"/>
    <xf numFmtId="0" fontId="0" fillId="21" borderId="56" xfId="0" applyFill="1" applyBorder="1"/>
    <xf numFmtId="0" fontId="0" fillId="21" borderId="25" xfId="0" applyFill="1" applyBorder="1"/>
    <xf numFmtId="0" fontId="0" fillId="21" borderId="26" xfId="0" applyFill="1" applyBorder="1"/>
    <xf numFmtId="0" fontId="0" fillId="0" borderId="51" xfId="0" applyBorder="1" applyAlignment="1">
      <alignment horizontal="right"/>
    </xf>
    <xf numFmtId="0" fontId="0" fillId="0" borderId="51" xfId="0" applyBorder="1" applyAlignment="1">
      <alignment horizontal="center"/>
    </xf>
    <xf numFmtId="0" fontId="0" fillId="0" borderId="33" xfId="0" applyBorder="1" applyAlignment="1">
      <alignment horizontal="center"/>
    </xf>
    <xf numFmtId="0" fontId="0" fillId="0" borderId="51" xfId="0" applyBorder="1" applyAlignment="1">
      <alignment horizontal="left"/>
    </xf>
    <xf numFmtId="0" fontId="0" fillId="0" borderId="5" xfId="0" applyBorder="1" applyAlignment="1">
      <alignment horizontal="center"/>
    </xf>
    <xf numFmtId="0" fontId="0" fillId="0" borderId="24" xfId="0" applyBorder="1"/>
    <xf numFmtId="0" fontId="0" fillId="0" borderId="56" xfId="0" applyBorder="1"/>
    <xf numFmtId="0" fontId="0" fillId="0" borderId="26" xfId="0" applyBorder="1"/>
    <xf numFmtId="0" fontId="47" fillId="22" borderId="5" xfId="0" applyFont="1" applyFill="1" applyBorder="1" applyAlignment="1">
      <alignment horizontal="center"/>
    </xf>
    <xf numFmtId="0" fontId="47" fillId="22" borderId="51" xfId="0" applyFont="1" applyFill="1" applyBorder="1" applyAlignment="1">
      <alignment horizontal="center"/>
    </xf>
    <xf numFmtId="0" fontId="49" fillId="23" borderId="51" xfId="0" applyFont="1" applyFill="1" applyBorder="1"/>
    <xf numFmtId="0" fontId="49" fillId="23" borderId="7" xfId="0" applyFont="1" applyFill="1" applyBorder="1" applyAlignment="1">
      <alignment horizontal="left"/>
    </xf>
    <xf numFmtId="0" fontId="47" fillId="23" borderId="5" xfId="0" applyFont="1" applyFill="1" applyBorder="1"/>
    <xf numFmtId="0" fontId="0" fillId="0" borderId="0" xfId="0" applyAlignment="1">
      <alignment vertical="top"/>
    </xf>
    <xf numFmtId="0" fontId="47" fillId="23" borderId="30" xfId="0" applyFont="1" applyFill="1" applyBorder="1"/>
    <xf numFmtId="14" fontId="49" fillId="23" borderId="7" xfId="0" applyNumberFormat="1" applyFont="1" applyFill="1" applyBorder="1" applyAlignment="1">
      <alignment horizontal="left"/>
    </xf>
    <xf numFmtId="0" fontId="49" fillId="23" borderId="33" xfId="0" applyFont="1" applyFill="1" applyBorder="1"/>
    <xf numFmtId="172" fontId="49" fillId="23" borderId="7" xfId="0" applyNumberFormat="1" applyFont="1" applyFill="1" applyBorder="1" applyAlignment="1">
      <alignment horizontal="left"/>
    </xf>
    <xf numFmtId="0" fontId="40" fillId="0" borderId="5" xfId="0" applyFont="1" applyBorder="1"/>
    <xf numFmtId="0" fontId="53" fillId="18" borderId="5" xfId="0" applyFont="1" applyFill="1" applyBorder="1"/>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0" xfId="0" applyFont="1" applyFill="1" applyAlignment="1">
      <alignment horizontal="center"/>
    </xf>
    <xf numFmtId="0" fontId="1" fillId="2" borderId="1" xfId="0" applyFont="1" applyFill="1" applyBorder="1" applyAlignment="1">
      <alignment horizontal="center"/>
    </xf>
    <xf numFmtId="0" fontId="2" fillId="0" borderId="2" xfId="0" applyFont="1" applyBorder="1"/>
    <xf numFmtId="0" fontId="6" fillId="0" borderId="0" xfId="0" applyFont="1" applyAlignment="1">
      <alignment horizontal="left"/>
    </xf>
    <xf numFmtId="0" fontId="1" fillId="0" borderId="0" xfId="0" applyFont="1" applyAlignment="1">
      <alignment horizontal="center"/>
    </xf>
    <xf numFmtId="0" fontId="17" fillId="0" borderId="0" xfId="0" applyFont="1" applyAlignment="1">
      <alignment horizontal="center"/>
    </xf>
    <xf numFmtId="0" fontId="6" fillId="0" borderId="5" xfId="0" applyFont="1" applyBorder="1" applyAlignment="1">
      <alignment horizontal="left" vertical="top" wrapText="1"/>
    </xf>
    <xf numFmtId="0" fontId="6" fillId="0" borderId="14" xfId="0" applyFont="1" applyBorder="1" applyAlignment="1">
      <alignment horizontal="left" vertical="top" wrapText="1"/>
    </xf>
    <xf numFmtId="0" fontId="6" fillId="0" borderId="13" xfId="0" applyFont="1" applyBorder="1" applyAlignment="1">
      <alignment horizontal="left" vertical="top" wrapText="1"/>
    </xf>
    <xf numFmtId="0" fontId="6" fillId="0" borderId="12" xfId="0" applyFont="1" applyBorder="1" applyAlignment="1">
      <alignment horizontal="left" vertical="top" wrapText="1"/>
    </xf>
    <xf numFmtId="0" fontId="22" fillId="0" borderId="14" xfId="0" applyFont="1" applyBorder="1" applyAlignment="1">
      <alignment horizontal="center"/>
    </xf>
    <xf numFmtId="0" fontId="22" fillId="0" borderId="13" xfId="0" applyFont="1" applyBorder="1" applyAlignment="1">
      <alignment horizontal="center"/>
    </xf>
    <xf numFmtId="0" fontId="22" fillId="0" borderId="12" xfId="0" applyFont="1" applyBorder="1" applyAlignment="1">
      <alignment horizontal="center"/>
    </xf>
    <xf numFmtId="0" fontId="6" fillId="0" borderId="22" xfId="0" applyFont="1" applyBorder="1" applyAlignment="1">
      <alignment horizontal="left" wrapText="1"/>
    </xf>
    <xf numFmtId="0" fontId="6" fillId="0" borderId="21" xfId="0" applyFont="1" applyBorder="1" applyAlignment="1">
      <alignment horizontal="left" wrapText="1"/>
    </xf>
    <xf numFmtId="0" fontId="6" fillId="0" borderId="20" xfId="0" applyFont="1" applyBorder="1" applyAlignment="1">
      <alignment horizontal="left" wrapText="1"/>
    </xf>
    <xf numFmtId="0" fontId="6" fillId="0" borderId="19" xfId="0" applyFont="1" applyBorder="1" applyAlignment="1">
      <alignment horizontal="left" wrapText="1"/>
    </xf>
    <xf numFmtId="0" fontId="6" fillId="0" borderId="18" xfId="0" applyFont="1" applyBorder="1" applyAlignment="1">
      <alignment horizontal="left" wrapText="1"/>
    </xf>
    <xf numFmtId="0" fontId="6" fillId="0" borderId="17" xfId="0" applyFont="1" applyBorder="1" applyAlignment="1">
      <alignment horizontal="left" wrapText="1"/>
    </xf>
    <xf numFmtId="0" fontId="17" fillId="0" borderId="26" xfId="0" applyFont="1" applyBorder="1" applyAlignment="1">
      <alignment horizontal="center" vertical="center" wrapText="1"/>
    </xf>
    <xf numFmtId="0" fontId="17" fillId="0" borderId="25"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23" xfId="0" applyFont="1" applyBorder="1" applyAlignment="1">
      <alignment horizontal="center" vertical="center" wrapText="1"/>
    </xf>
    <xf numFmtId="0" fontId="1" fillId="0" borderId="0" xfId="0" applyFont="1" applyAlignment="1">
      <alignment horizontal="left" wrapText="1"/>
    </xf>
    <xf numFmtId="0" fontId="1" fillId="0" borderId="0" xfId="0" applyFont="1" applyAlignment="1">
      <alignment horizontal="left"/>
    </xf>
    <xf numFmtId="0" fontId="27" fillId="0" borderId="0" xfId="0" applyFont="1" applyAlignment="1">
      <alignment horizontal="left"/>
    </xf>
    <xf numFmtId="0" fontId="28" fillId="0" borderId="0" xfId="0" applyFont="1" applyAlignment="1">
      <alignment horizontal="left"/>
    </xf>
    <xf numFmtId="0" fontId="1" fillId="0" borderId="5" xfId="0" applyFont="1" applyBorder="1" applyAlignment="1">
      <alignment horizontal="center"/>
    </xf>
    <xf numFmtId="0" fontId="31" fillId="0" borderId="0" xfId="0" applyFont="1" applyAlignment="1">
      <alignment horizontal="left"/>
    </xf>
    <xf numFmtId="0" fontId="31" fillId="0" borderId="0" xfId="0" applyFont="1" applyAlignment="1">
      <alignment horizontal="left" vertical="top" wrapText="1"/>
    </xf>
    <xf numFmtId="0" fontId="0" fillId="10" borderId="44" xfId="0" applyFill="1" applyBorder="1" applyAlignment="1">
      <alignment horizontal="center" vertical="center"/>
    </xf>
    <xf numFmtId="0" fontId="0" fillId="10" borderId="43" xfId="0" applyFill="1" applyBorder="1" applyAlignment="1">
      <alignment horizontal="center" vertical="center"/>
    </xf>
    <xf numFmtId="0" fontId="0" fillId="10" borderId="42" xfId="0" applyFill="1" applyBorder="1" applyAlignment="1">
      <alignment horizontal="center" vertical="center"/>
    </xf>
    <xf numFmtId="0" fontId="0" fillId="0" borderId="0" xfId="0" applyAlignment="1">
      <alignment horizontal="center"/>
    </xf>
    <xf numFmtId="0" fontId="0" fillId="13" borderId="37" xfId="0" applyFill="1" applyBorder="1" applyAlignment="1">
      <alignment horizontal="center" vertical="center"/>
    </xf>
    <xf numFmtId="0" fontId="0" fillId="13" borderId="36" xfId="0" applyFill="1" applyBorder="1" applyAlignment="1">
      <alignment horizontal="center" vertical="center"/>
    </xf>
    <xf numFmtId="0" fontId="30" fillId="0" borderId="31" xfId="2" applyBorder="1" applyAlignment="1">
      <alignment horizontal="left"/>
    </xf>
    <xf numFmtId="0" fontId="30" fillId="0" borderId="0" xfId="2" applyAlignment="1">
      <alignment horizontal="left"/>
    </xf>
    <xf numFmtId="0" fontId="30" fillId="0" borderId="35" xfId="2" applyBorder="1" applyAlignment="1">
      <alignment horizontal="left"/>
    </xf>
    <xf numFmtId="0" fontId="30" fillId="0" borderId="19" xfId="2" applyBorder="1" applyAlignment="1">
      <alignment horizontal="left"/>
    </xf>
    <xf numFmtId="0" fontId="30" fillId="0" borderId="18" xfId="2" applyBorder="1" applyAlignment="1">
      <alignment horizontal="left"/>
    </xf>
    <xf numFmtId="0" fontId="30" fillId="0" borderId="17" xfId="2" applyBorder="1" applyAlignment="1">
      <alignment horizontal="left"/>
    </xf>
    <xf numFmtId="0" fontId="42" fillId="19" borderId="44" xfId="2" applyFont="1" applyFill="1" applyBorder="1" applyAlignment="1">
      <alignment horizontal="center"/>
    </xf>
    <xf numFmtId="0" fontId="42" fillId="19" borderId="43" xfId="2" applyFont="1" applyFill="1" applyBorder="1" applyAlignment="1">
      <alignment horizontal="center"/>
    </xf>
    <xf numFmtId="0" fontId="42" fillId="19" borderId="42" xfId="2" applyFont="1" applyFill="1" applyBorder="1" applyAlignment="1">
      <alignment horizontal="center"/>
    </xf>
    <xf numFmtId="0" fontId="17" fillId="0" borderId="55" xfId="2" applyFont="1" applyBorder="1" applyAlignment="1">
      <alignment horizontal="left" vertical="center" wrapText="1"/>
    </xf>
    <xf numFmtId="0" fontId="17" fillId="0" borderId="54" xfId="2" applyFont="1" applyBorder="1" applyAlignment="1">
      <alignment horizontal="left" vertical="center" wrapText="1"/>
    </xf>
    <xf numFmtId="0" fontId="17" fillId="0" borderId="53" xfId="2" applyFont="1" applyBorder="1" applyAlignment="1">
      <alignment horizontal="left" vertical="center" wrapText="1"/>
    </xf>
    <xf numFmtId="0" fontId="42" fillId="19" borderId="5" xfId="2" applyFont="1" applyFill="1" applyBorder="1" applyAlignment="1">
      <alignment horizontal="center" vertical="center"/>
    </xf>
    <xf numFmtId="0" fontId="30" fillId="0" borderId="0" xfId="2" applyAlignment="1">
      <alignment horizontal="center"/>
    </xf>
    <xf numFmtId="0" fontId="30" fillId="0" borderId="22" xfId="2" applyBorder="1" applyAlignment="1">
      <alignment horizontal="left"/>
    </xf>
    <xf numFmtId="0" fontId="30" fillId="0" borderId="21" xfId="2" applyBorder="1" applyAlignment="1">
      <alignment horizontal="left"/>
    </xf>
    <xf numFmtId="0" fontId="30" fillId="0" borderId="20" xfId="2" applyBorder="1" applyAlignment="1">
      <alignment horizontal="left"/>
    </xf>
    <xf numFmtId="0" fontId="45" fillId="20" borderId="9" xfId="0" applyFont="1" applyFill="1" applyBorder="1" applyAlignment="1">
      <alignment horizontal="left"/>
    </xf>
    <xf numFmtId="0" fontId="45" fillId="20" borderId="5" xfId="0" applyFont="1" applyFill="1" applyBorder="1" applyAlignment="1">
      <alignment horizontal="left"/>
    </xf>
    <xf numFmtId="0" fontId="0" fillId="0" borderId="57" xfId="0" quotePrefix="1" applyBorder="1" applyAlignment="1">
      <alignment horizontal="left"/>
    </xf>
    <xf numFmtId="0" fontId="0" fillId="0" borderId="25" xfId="0" quotePrefix="1" applyBorder="1" applyAlignment="1">
      <alignment horizontal="left"/>
    </xf>
    <xf numFmtId="0" fontId="0" fillId="0" borderId="0" xfId="0" applyAlignment="1">
      <alignment horizontal="left"/>
    </xf>
    <xf numFmtId="0" fontId="0" fillId="0" borderId="52" xfId="0" applyBorder="1" applyAlignment="1">
      <alignment horizontal="left"/>
    </xf>
    <xf numFmtId="0" fontId="0" fillId="0" borderId="0" xfId="0" applyAlignment="1">
      <alignment horizontal="left" vertical="top"/>
    </xf>
    <xf numFmtId="0" fontId="0" fillId="0" borderId="52" xfId="0" applyBorder="1" applyAlignment="1">
      <alignment horizontal="left" vertical="top"/>
    </xf>
    <xf numFmtId="0" fontId="0" fillId="0" borderId="49" xfId="0" applyBorder="1" applyAlignment="1">
      <alignment horizontal="left"/>
    </xf>
    <xf numFmtId="0" fontId="0" fillId="0" borderId="23" xfId="0" applyBorder="1" applyAlignment="1">
      <alignment horizontal="left"/>
    </xf>
    <xf numFmtId="0" fontId="47" fillId="21" borderId="9" xfId="0" applyFont="1" applyFill="1" applyBorder="1" applyAlignment="1">
      <alignment horizontal="left"/>
    </xf>
    <xf numFmtId="0" fontId="47" fillId="21" borderId="5" xfId="0" applyFont="1" applyFill="1" applyBorder="1" applyAlignment="1">
      <alignment horizontal="left"/>
    </xf>
    <xf numFmtId="0" fontId="52" fillId="24" borderId="26" xfId="0" applyFont="1" applyFill="1" applyBorder="1" applyAlignment="1">
      <alignment horizontal="center"/>
    </xf>
    <xf numFmtId="0" fontId="52" fillId="24" borderId="57" xfId="0" applyFont="1" applyFill="1" applyBorder="1" applyAlignment="1">
      <alignment horizontal="center"/>
    </xf>
    <xf numFmtId="0" fontId="52" fillId="24" borderId="25" xfId="0" applyFont="1" applyFill="1" applyBorder="1" applyAlignment="1">
      <alignment horizontal="center"/>
    </xf>
    <xf numFmtId="0" fontId="51" fillId="18" borderId="56" xfId="0" applyFont="1" applyFill="1" applyBorder="1" applyAlignment="1">
      <alignment horizontal="center"/>
    </xf>
    <xf numFmtId="0" fontId="51" fillId="18" borderId="0" xfId="0" applyFont="1" applyFill="1" applyAlignment="1">
      <alignment horizontal="center"/>
    </xf>
    <xf numFmtId="0" fontId="51" fillId="18" borderId="52" xfId="0" applyFont="1" applyFill="1" applyBorder="1" applyAlignment="1">
      <alignment horizontal="center"/>
    </xf>
    <xf numFmtId="0" fontId="50" fillId="18" borderId="24" xfId="0" applyFont="1" applyFill="1" applyBorder="1" applyAlignment="1">
      <alignment horizontal="center"/>
    </xf>
    <xf numFmtId="0" fontId="50" fillId="18" borderId="49" xfId="0" applyFont="1" applyFill="1" applyBorder="1" applyAlignment="1">
      <alignment horizontal="center"/>
    </xf>
    <xf numFmtId="0" fontId="50" fillId="18" borderId="0" xfId="0" applyFont="1" applyFill="1" applyAlignment="1">
      <alignment horizontal="center"/>
    </xf>
    <xf numFmtId="0" fontId="50" fillId="18" borderId="23" xfId="0" applyFont="1" applyFill="1" applyBorder="1" applyAlignment="1">
      <alignment horizontal="center"/>
    </xf>
    <xf numFmtId="0" fontId="0" fillId="0" borderId="26" xfId="0" applyBorder="1" applyAlignment="1">
      <alignment horizontal="left" wrapText="1"/>
    </xf>
    <xf numFmtId="0" fontId="0" fillId="0" borderId="57"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wrapText="1"/>
    </xf>
    <xf numFmtId="0" fontId="0" fillId="0" borderId="49" xfId="0" applyBorder="1" applyAlignment="1">
      <alignment horizontal="left" wrapText="1"/>
    </xf>
    <xf numFmtId="0" fontId="0" fillId="0" borderId="23" xfId="0" applyBorder="1" applyAlignment="1">
      <alignment horizontal="left" wrapText="1"/>
    </xf>
    <xf numFmtId="0" fontId="49" fillId="23" borderId="57" xfId="0" applyFont="1" applyFill="1" applyBorder="1" applyAlignment="1">
      <alignment horizontal="center" vertical="center"/>
    </xf>
    <xf numFmtId="0" fontId="49" fillId="23" borderId="25" xfId="0" applyFont="1" applyFill="1" applyBorder="1" applyAlignment="1">
      <alignment horizontal="center" vertical="center"/>
    </xf>
    <xf numFmtId="0" fontId="49" fillId="23" borderId="0" xfId="0" applyFont="1" applyFill="1" applyAlignment="1">
      <alignment horizontal="center" vertical="center"/>
    </xf>
    <xf numFmtId="0" fontId="49" fillId="23" borderId="52" xfId="0" applyFont="1" applyFill="1" applyBorder="1" applyAlignment="1">
      <alignment horizontal="center" vertical="center"/>
    </xf>
    <xf numFmtId="0" fontId="49" fillId="23" borderId="49" xfId="0" applyFont="1" applyFill="1" applyBorder="1" applyAlignment="1">
      <alignment horizontal="center" vertical="center"/>
    </xf>
    <xf numFmtId="0" fontId="49" fillId="23" borderId="23" xfId="0" applyFont="1" applyFill="1" applyBorder="1" applyAlignment="1">
      <alignment horizontal="center" vertical="center"/>
    </xf>
    <xf numFmtId="0" fontId="48" fillId="0" borderId="0" xfId="0" applyFont="1" applyAlignment="1">
      <alignment horizontal="left"/>
    </xf>
  </cellXfs>
  <cellStyles count="3">
    <cellStyle name="Comma" xfId="1" builtinId="3"/>
    <cellStyle name="Normal" xfId="0" builtinId="0"/>
    <cellStyle name="Normal 2" xfId="2" xr:uid="{28FB0F2B-6BF7-49E8-AD17-5FFBDB17D0D1}"/>
  </cellStyles>
  <dxfs count="14">
    <dxf>
      <fill>
        <patternFill>
          <bgColor theme="4" tint="0.39994506668294322"/>
        </patternFill>
      </fill>
    </dxf>
    <dxf>
      <fill>
        <patternFill>
          <bgColor theme="8" tint="-0.24994659260841701"/>
        </patternFill>
      </fill>
    </dxf>
    <dxf>
      <fill>
        <patternFill>
          <bgColor rgb="FF00B050"/>
        </patternFill>
      </fill>
    </dxf>
    <dxf>
      <fill>
        <patternFill>
          <bgColor theme="8" tint="-0.24994659260841701"/>
        </patternFill>
      </fill>
    </dxf>
    <dxf>
      <fill>
        <patternFill>
          <bgColor theme="8" tint="-0.2499465926084170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fgColor rgb="FFFF0000"/>
          <bgColor rgb="FFFF0000"/>
        </patternFill>
      </fill>
    </dxf>
  </dxfs>
  <tableStyles count="1" defaultTableStyle="TableStyleMedium2" defaultPivotStyle="PivotStyleLight16">
    <tableStyle name="Invisible" pivot="0" table="0" count="0" xr9:uid="{7EEED74E-581D-4831-83CB-C23C4A0D14D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50000"/>
                    <a:lumOff val="50000"/>
                  </a:schemeClr>
                </a:solidFill>
                <a:latin typeface="+mn-lt"/>
                <a:ea typeface="+mn-ea"/>
                <a:cs typeface="+mn-cs"/>
              </a:defRPr>
            </a:pPr>
            <a:r>
              <a:rPr lang="en-US" sz="1000"/>
              <a:t>Revenue'000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50000"/>
                  <a:lumOff val="50000"/>
                </a:schemeClr>
              </a:solidFill>
              <a:latin typeface="+mn-lt"/>
              <a:ea typeface="+mn-ea"/>
              <a:cs typeface="+mn-cs"/>
            </a:defRPr>
          </a:pPr>
          <a:endParaRPr lang="en-US"/>
        </a:p>
      </c:txPr>
    </c:title>
    <c:autoTitleDeleted val="0"/>
    <c:plotArea>
      <c:layout/>
      <c:lineChart>
        <c:grouping val="standard"/>
        <c:varyColors val="0"/>
        <c:ser>
          <c:idx val="1"/>
          <c:order val="0"/>
          <c:tx>
            <c:strRef>
              <c:f>'AS11-Charts1'!$C$5</c:f>
              <c:strCache>
                <c:ptCount val="1"/>
                <c:pt idx="0">
                  <c:v>Revenue'000</c:v>
                </c:pt>
              </c:strCache>
            </c:strRef>
          </c:tx>
          <c:spPr>
            <a:ln w="9525" cap="rnd">
              <a:solidFill>
                <a:srgbClr val="0070C0"/>
              </a:solidFill>
              <a:round/>
            </a:ln>
            <a:effectLst/>
          </c:spPr>
          <c:marker>
            <c:symbol val="triangle"/>
            <c:size val="4"/>
            <c:spPr>
              <a:solidFill>
                <a:schemeClr val="accent2"/>
              </a:solidFill>
              <a:ln w="9525">
                <a:solidFill>
                  <a:schemeClr val="accent2"/>
                </a:solidFill>
              </a:ln>
              <a:effectLst/>
            </c:spPr>
          </c:marker>
          <c:dLbls>
            <c:numFmt formatCode="&quot;₹&quot;\ #,##0" sourceLinked="0"/>
            <c:spPr>
              <a:noFill/>
              <a:ln>
                <a:noFill/>
              </a:ln>
              <a:effectLst/>
            </c:spPr>
            <c:txPr>
              <a:bodyPr rot="0" spcFirstLastPara="1" vertOverflow="ellipsis" vert="horz" wrap="square" anchor="ctr" anchorCtr="1"/>
              <a:lstStyle/>
              <a:p>
                <a:pPr>
                  <a:defRPr sz="6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'AS11-Charts1'!$B$6:$B$20</c:f>
              <c:numCache>
                <c:formatCode>General</c:formatCode>
                <c:ptCount val="1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numCache>
            </c:numRef>
          </c:cat>
          <c:val>
            <c:numRef>
              <c:f>'AS11-Charts1'!$C$6:$C$20</c:f>
              <c:numCache>
                <c:formatCode>"₹"#,##0_);[Red]\("₹"#,##0\)</c:formatCode>
                <c:ptCount val="15"/>
                <c:pt idx="0">
                  <c:v>2156</c:v>
                </c:pt>
                <c:pt idx="1">
                  <c:v>3562</c:v>
                </c:pt>
                <c:pt idx="2">
                  <c:v>7506</c:v>
                </c:pt>
                <c:pt idx="3">
                  <c:v>6258</c:v>
                </c:pt>
                <c:pt idx="4">
                  <c:v>6279</c:v>
                </c:pt>
                <c:pt idx="5">
                  <c:v>1963</c:v>
                </c:pt>
                <c:pt idx="6">
                  <c:v>6736</c:v>
                </c:pt>
                <c:pt idx="7">
                  <c:v>3280</c:v>
                </c:pt>
                <c:pt idx="8">
                  <c:v>8398</c:v>
                </c:pt>
                <c:pt idx="9">
                  <c:v>2882</c:v>
                </c:pt>
                <c:pt idx="10">
                  <c:v>4686</c:v>
                </c:pt>
                <c:pt idx="11">
                  <c:v>6976</c:v>
                </c:pt>
                <c:pt idx="12">
                  <c:v>2173</c:v>
                </c:pt>
                <c:pt idx="13">
                  <c:v>2166</c:v>
                </c:pt>
                <c:pt idx="14">
                  <c:v>8418</c:v>
                </c:pt>
              </c:numCache>
            </c:numRef>
          </c:val>
          <c:smooth val="0"/>
          <c:extLst>
            <c:ext xmlns:c16="http://schemas.microsoft.com/office/drawing/2014/chart" uri="{C3380CC4-5D6E-409C-BE32-E72D297353CC}">
              <c16:uniqueId val="{00000000-7503-43D7-B400-F95C31DEFF64}"/>
            </c:ext>
          </c:extLst>
        </c:ser>
        <c:dLbls>
          <c:showLegendKey val="0"/>
          <c:showVal val="0"/>
          <c:showCatName val="0"/>
          <c:showSerName val="0"/>
          <c:showPercent val="0"/>
          <c:showBubbleSize val="0"/>
        </c:dLbls>
        <c:marker val="1"/>
        <c:smooth val="0"/>
        <c:axId val="863665583"/>
        <c:axId val="863665103"/>
      </c:lineChart>
      <c:catAx>
        <c:axId val="863665583"/>
        <c:scaling>
          <c:orientation val="minMax"/>
        </c:scaling>
        <c:delete val="0"/>
        <c:axPos val="b"/>
        <c:numFmt formatCode="General" sourceLinked="1"/>
        <c:majorTickMark val="none"/>
        <c:minorTickMark val="none"/>
        <c:tickLblPos val="nextTo"/>
        <c:spPr>
          <a:solidFill>
            <a:schemeClr val="accent4">
              <a:lumMod val="20000"/>
              <a:lumOff val="80000"/>
              <a:alpha val="38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50000"/>
                    <a:lumOff val="50000"/>
                  </a:schemeClr>
                </a:solidFill>
                <a:latin typeface="+mn-lt"/>
                <a:ea typeface="+mn-ea"/>
                <a:cs typeface="+mn-cs"/>
              </a:defRPr>
            </a:pPr>
            <a:endParaRPr lang="en-US"/>
          </a:p>
        </c:txPr>
        <c:crossAx val="863665103"/>
        <c:crosses val="autoZero"/>
        <c:auto val="1"/>
        <c:lblAlgn val="ctr"/>
        <c:lblOffset val="100"/>
        <c:tickLblSkip val="2"/>
        <c:noMultiLvlLbl val="0"/>
      </c:catAx>
      <c:valAx>
        <c:axId val="863665103"/>
        <c:scaling>
          <c:orientation val="minMax"/>
        </c:scaling>
        <c:delete val="1"/>
        <c:axPos val="l"/>
        <c:numFmt formatCode="&quot;₹&quot;#,##0_);[Red]\(&quot;₹&quot;#,##0\)" sourceLinked="1"/>
        <c:majorTickMark val="none"/>
        <c:minorTickMark val="none"/>
        <c:tickLblPos val="nextTo"/>
        <c:crossAx val="86366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6350" cap="flat" cmpd="sng" algn="ctr">
      <a:solidFill>
        <a:schemeClr val="tx1">
          <a:lumMod val="15000"/>
          <a:lumOff val="85000"/>
        </a:schemeClr>
      </a:solidFill>
      <a:round/>
    </a:ln>
    <a:effectLst/>
  </c:spPr>
  <c:txPr>
    <a:bodyPr/>
    <a:lstStyle/>
    <a:p>
      <a:pPr>
        <a:defRPr>
          <a:solidFill>
            <a:schemeClr val="tx1">
              <a:lumMod val="50000"/>
              <a:lumOff val="50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'AS11-Charts2'!$C$5</c:f>
              <c:strCache>
                <c:ptCount val="1"/>
                <c:pt idx="0">
                  <c:v>Revenue'000</c:v>
                </c:pt>
              </c:strCache>
            </c:strRef>
          </c:tx>
          <c:spPr>
            <a:solidFill>
              <a:schemeClr val="accent2">
                <a:lumMod val="60000"/>
                <a:lumOff val="4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85-41BB-BE94-5DFEAC4134CA}"/>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85-41BB-BE94-5DFEAC4134CA}"/>
                </c:ext>
              </c:extLst>
            </c:dLbl>
            <c:spPr>
              <a:noFill/>
              <a:ln>
                <a:noFill/>
              </a:ln>
              <a:effectLst/>
            </c:spPr>
            <c:txPr>
              <a:bodyPr rot="-5400000" spcFirstLastPara="1" vertOverflow="ellipsis" wrap="square" lIns="38100" tIns="19050" rIns="38100" bIns="19050" anchor="ctr" anchorCtr="1">
                <a:spAutoFit/>
              </a:bodyPr>
              <a:lstStyle/>
              <a:p>
                <a:pPr>
                  <a:defRPr sz="6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'AS11-Charts2'!$B$6:$B$23</c:f>
              <c:numCache>
                <c:formatCode>m/d/yyyy</c:formatCode>
                <c:ptCount val="18"/>
                <c:pt idx="0">
                  <c:v>38353</c:v>
                </c:pt>
                <c:pt idx="1">
                  <c:v>38718</c:v>
                </c:pt>
                <c:pt idx="2">
                  <c:v>39083</c:v>
                </c:pt>
                <c:pt idx="3">
                  <c:v>39448</c:v>
                </c:pt>
                <c:pt idx="4">
                  <c:v>39814</c:v>
                </c:pt>
                <c:pt idx="5">
                  <c:v>40179</c:v>
                </c:pt>
                <c:pt idx="6">
                  <c:v>40544</c:v>
                </c:pt>
                <c:pt idx="7">
                  <c:v>40909</c:v>
                </c:pt>
                <c:pt idx="8">
                  <c:v>41275</c:v>
                </c:pt>
                <c:pt idx="9">
                  <c:v>41640</c:v>
                </c:pt>
                <c:pt idx="10">
                  <c:v>42005</c:v>
                </c:pt>
                <c:pt idx="11">
                  <c:v>42370</c:v>
                </c:pt>
                <c:pt idx="12">
                  <c:v>42736</c:v>
                </c:pt>
                <c:pt idx="13">
                  <c:v>43101</c:v>
                </c:pt>
                <c:pt idx="14">
                  <c:v>43466</c:v>
                </c:pt>
                <c:pt idx="15">
                  <c:v>43831</c:v>
                </c:pt>
                <c:pt idx="16">
                  <c:v>44197</c:v>
                </c:pt>
                <c:pt idx="17">
                  <c:v>44562</c:v>
                </c:pt>
              </c:numCache>
            </c:numRef>
          </c:cat>
          <c:val>
            <c:numRef>
              <c:f>'AS11-Charts2'!$C$6:$C$23</c:f>
              <c:numCache>
                <c:formatCode>"$"#,##0_);[Red]\("$"#,##0\)</c:formatCode>
                <c:ptCount val="18"/>
                <c:pt idx="0">
                  <c:v>528</c:v>
                </c:pt>
                <c:pt idx="1">
                  <c:v>4550</c:v>
                </c:pt>
                <c:pt idx="2">
                  <c:v>8189</c:v>
                </c:pt>
                <c:pt idx="3">
                  <c:v>1730</c:v>
                </c:pt>
                <c:pt idx="4">
                  <c:v>5262</c:v>
                </c:pt>
                <c:pt idx="5">
                  <c:v>2172</c:v>
                </c:pt>
                <c:pt idx="6">
                  <c:v>4384</c:v>
                </c:pt>
                <c:pt idx="7">
                  <c:v>8709</c:v>
                </c:pt>
                <c:pt idx="8">
                  <c:v>3618</c:v>
                </c:pt>
                <c:pt idx="9">
                  <c:v>6372</c:v>
                </c:pt>
                <c:pt idx="10">
                  <c:v>3456</c:v>
                </c:pt>
                <c:pt idx="11">
                  <c:v>7478</c:v>
                </c:pt>
                <c:pt idx="12">
                  <c:v>4649</c:v>
                </c:pt>
                <c:pt idx="13">
                  <c:v>5831</c:v>
                </c:pt>
                <c:pt idx="14">
                  <c:v>1599</c:v>
                </c:pt>
                <c:pt idx="15">
                  <c:v>3695</c:v>
                </c:pt>
                <c:pt idx="16">
                  <c:v>1678</c:v>
                </c:pt>
                <c:pt idx="17">
                  <c:v>3490</c:v>
                </c:pt>
              </c:numCache>
            </c:numRef>
          </c:val>
          <c:extLst>
            <c:ext xmlns:c16="http://schemas.microsoft.com/office/drawing/2014/chart" uri="{C3380CC4-5D6E-409C-BE32-E72D297353CC}">
              <c16:uniqueId val="{00000002-0385-41BB-BE94-5DFEAC4134CA}"/>
            </c:ext>
          </c:extLst>
        </c:ser>
        <c:dLbls>
          <c:showLegendKey val="0"/>
          <c:showVal val="0"/>
          <c:showCatName val="0"/>
          <c:showSerName val="0"/>
          <c:showPercent val="0"/>
          <c:showBubbleSize val="0"/>
        </c:dLbls>
        <c:gapWidth val="60"/>
        <c:axId val="863714543"/>
        <c:axId val="863715023"/>
      </c:barChart>
      <c:lineChart>
        <c:grouping val="standard"/>
        <c:varyColors val="0"/>
        <c:ser>
          <c:idx val="1"/>
          <c:order val="1"/>
          <c:tx>
            <c:strRef>
              <c:f>'AS11-Charts2'!$E$5</c:f>
              <c:strCache>
                <c:ptCount val="1"/>
                <c:pt idx="0">
                  <c:v>%</c:v>
                </c:pt>
              </c:strCache>
            </c:strRef>
          </c:tx>
          <c:spPr>
            <a:ln w="28575" cap="rnd">
              <a:solidFill>
                <a:schemeClr val="accent6">
                  <a:lumMod val="50000"/>
                </a:schemeClr>
              </a:solidFill>
              <a:round/>
              <a:tailEnd type="diamond" w="med" len="lg"/>
            </a:ln>
            <a:effectLst>
              <a:softEdge rad="0"/>
            </a:effectLst>
          </c:spPr>
          <c:marker>
            <c:symbol val="circle"/>
            <c:size val="5"/>
            <c:spPr>
              <a:solidFill>
                <a:schemeClr val="accent6">
                  <a:lumMod val="50000"/>
                </a:schemeClr>
              </a:solidFill>
              <a:ln w="9525">
                <a:solidFill>
                  <a:schemeClr val="accent6">
                    <a:lumMod val="50000"/>
                  </a:schemeClr>
                </a:solidFill>
              </a:ln>
              <a:effectLst>
                <a:softEdge rad="0"/>
              </a:effectLst>
            </c:spPr>
          </c:marker>
          <c:dPt>
            <c:idx val="17"/>
            <c:marker>
              <c:symbol val="circle"/>
              <c:size val="5"/>
              <c:spPr>
                <a:solidFill>
                  <a:schemeClr val="accent6">
                    <a:lumMod val="50000"/>
                  </a:schemeClr>
                </a:solidFill>
                <a:ln w="9525">
                  <a:solidFill>
                    <a:schemeClr val="accent6">
                      <a:lumMod val="50000"/>
                    </a:schemeClr>
                  </a:solidFill>
                </a:ln>
                <a:effectLst>
                  <a:softEdge rad="0"/>
                </a:effectLst>
              </c:spPr>
            </c:marker>
            <c:bubble3D val="0"/>
            <c:extLst>
              <c:ext xmlns:c16="http://schemas.microsoft.com/office/drawing/2014/chart" uri="{C3380CC4-5D6E-409C-BE32-E72D297353CC}">
                <c16:uniqueId val="{00000003-0385-41BB-BE94-5DFEAC4134CA}"/>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'AS11-Charts2'!$E$6:$E$23</c:f>
              <c:numCache>
                <c:formatCode>0%</c:formatCode>
                <c:ptCount val="18"/>
                <c:pt idx="1">
                  <c:v>6.5615712624370076E-2</c:v>
                </c:pt>
                <c:pt idx="2">
                  <c:v>0.17143041736658482</c:v>
                </c:pt>
                <c:pt idx="3">
                  <c:v>0.19378472670887711</c:v>
                </c:pt>
                <c:pt idx="4">
                  <c:v>0.26177800749450836</c:v>
                </c:pt>
                <c:pt idx="5">
                  <c:v>0.28984364905026488</c:v>
                </c:pt>
                <c:pt idx="6">
                  <c:v>0.34649179480553044</c:v>
                </c:pt>
                <c:pt idx="7">
                  <c:v>0.45902571391652669</c:v>
                </c:pt>
                <c:pt idx="8">
                  <c:v>0.50577594004393334</c:v>
                </c:pt>
                <c:pt idx="9">
                  <c:v>0.58811215919369431</c:v>
                </c:pt>
                <c:pt idx="10">
                  <c:v>0.6327690916139036</c:v>
                </c:pt>
                <c:pt idx="11">
                  <c:v>0.72939656286341903</c:v>
                </c:pt>
                <c:pt idx="12">
                  <c:v>0.78946892363354437</c:v>
                </c:pt>
                <c:pt idx="13">
                  <c:v>0.86481457552655383</c:v>
                </c:pt>
                <c:pt idx="14">
                  <c:v>0.88547615971055693</c:v>
                </c:pt>
                <c:pt idx="15">
                  <c:v>0.93322134642718702</c:v>
                </c:pt>
                <c:pt idx="16">
                  <c:v>0.95490373433260112</c:v>
                </c:pt>
                <c:pt idx="17">
                  <c:v>1</c:v>
                </c:pt>
              </c:numCache>
            </c:numRef>
          </c:val>
          <c:smooth val="0"/>
          <c:extLst>
            <c:ext xmlns:c16="http://schemas.microsoft.com/office/drawing/2014/chart" uri="{C3380CC4-5D6E-409C-BE32-E72D297353CC}">
              <c16:uniqueId val="{00000004-0385-41BB-BE94-5DFEAC4134CA}"/>
            </c:ext>
          </c:extLst>
        </c:ser>
        <c:dLbls>
          <c:showLegendKey val="0"/>
          <c:showVal val="0"/>
          <c:showCatName val="0"/>
          <c:showSerName val="0"/>
          <c:showPercent val="0"/>
          <c:showBubbleSize val="0"/>
        </c:dLbls>
        <c:marker val="1"/>
        <c:smooth val="0"/>
        <c:axId val="854597807"/>
        <c:axId val="854597327"/>
      </c:lineChart>
      <c:dateAx>
        <c:axId val="86371454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63715023"/>
        <c:crosses val="autoZero"/>
        <c:auto val="1"/>
        <c:lblOffset val="100"/>
        <c:baseTimeUnit val="years"/>
        <c:majorUnit val="1"/>
        <c:majorTimeUnit val="years"/>
      </c:dateAx>
      <c:valAx>
        <c:axId val="863715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63714543"/>
        <c:crosses val="autoZero"/>
        <c:crossBetween val="between"/>
      </c:valAx>
      <c:valAx>
        <c:axId val="854597327"/>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97807"/>
        <c:crosses val="max"/>
        <c:crossBetween val="between"/>
      </c:valAx>
      <c:catAx>
        <c:axId val="854597807"/>
        <c:scaling>
          <c:orientation val="minMax"/>
        </c:scaling>
        <c:delete val="1"/>
        <c:axPos val="b"/>
        <c:majorTickMark val="out"/>
        <c:minorTickMark val="none"/>
        <c:tickLblPos val="nextTo"/>
        <c:crossAx val="854597327"/>
        <c:crosses val="autoZero"/>
        <c:auto val="1"/>
        <c:lblAlgn val="ctr"/>
        <c:lblOffset val="100"/>
        <c:tickLblSkip val="1"/>
        <c:tickMarkSkip val="1"/>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weight</a:t>
            </a:r>
            <a:r>
              <a:rPr lang="en-IN" sz="1200" baseline="0"/>
              <a:t> vs horsepower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lumMod val="75000"/>
                  </a:schemeClr>
                </a:solidFill>
              </a:ln>
              <a:effectLst/>
            </c:spPr>
          </c:marker>
          <c:trendline>
            <c:spPr>
              <a:ln w="19050" cap="rnd">
                <a:solidFill>
                  <a:schemeClr val="accent2">
                    <a:lumMod val="50000"/>
                  </a:schemeClr>
                </a:solidFill>
                <a:prstDash val="dash"/>
                <a:headEnd type="oval"/>
                <a:tailEnd type="arrow"/>
              </a:ln>
              <a:effectLst/>
            </c:spPr>
            <c:trendlineType val="linear"/>
            <c:dispRSqr val="1"/>
            <c:dispEq val="1"/>
            <c:trendlineLbl>
              <c:layout>
                <c:manualLayout>
                  <c:x val="2.3392025258835266E-2"/>
                  <c:y val="-0.11000162590295683"/>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rendlineLbl>
          </c:trendline>
          <c:xVal>
            <c:numRef>
              <c:f>'AS11-Charts3'!$B$6:$B$37</c:f>
              <c:numCache>
                <c:formatCode>General</c:formatCode>
                <c:ptCount val="32"/>
                <c:pt idx="0">
                  <c:v>130</c:v>
                </c:pt>
                <c:pt idx="1">
                  <c:v>165</c:v>
                </c:pt>
                <c:pt idx="2">
                  <c:v>150</c:v>
                </c:pt>
                <c:pt idx="3">
                  <c:v>150</c:v>
                </c:pt>
                <c:pt idx="4">
                  <c:v>140</c:v>
                </c:pt>
                <c:pt idx="5">
                  <c:v>198</c:v>
                </c:pt>
                <c:pt idx="6">
                  <c:v>220</c:v>
                </c:pt>
                <c:pt idx="7">
                  <c:v>215</c:v>
                </c:pt>
                <c:pt idx="8">
                  <c:v>225</c:v>
                </c:pt>
                <c:pt idx="9">
                  <c:v>190</c:v>
                </c:pt>
                <c:pt idx="10">
                  <c:v>170</c:v>
                </c:pt>
                <c:pt idx="11">
                  <c:v>160</c:v>
                </c:pt>
                <c:pt idx="12">
                  <c:v>150</c:v>
                </c:pt>
                <c:pt idx="13">
                  <c:v>225</c:v>
                </c:pt>
                <c:pt idx="14">
                  <c:v>95</c:v>
                </c:pt>
                <c:pt idx="15">
                  <c:v>95</c:v>
                </c:pt>
                <c:pt idx="16">
                  <c:v>97</c:v>
                </c:pt>
                <c:pt idx="17">
                  <c:v>85</c:v>
                </c:pt>
                <c:pt idx="18">
                  <c:v>88</c:v>
                </c:pt>
                <c:pt idx="19">
                  <c:v>46</c:v>
                </c:pt>
                <c:pt idx="20">
                  <c:v>87</c:v>
                </c:pt>
                <c:pt idx="21">
                  <c:v>90</c:v>
                </c:pt>
                <c:pt idx="22">
                  <c:v>95</c:v>
                </c:pt>
                <c:pt idx="23">
                  <c:v>113</c:v>
                </c:pt>
                <c:pt idx="24">
                  <c:v>90</c:v>
                </c:pt>
                <c:pt idx="25">
                  <c:v>215</c:v>
                </c:pt>
                <c:pt idx="26">
                  <c:v>200</c:v>
                </c:pt>
                <c:pt idx="27">
                  <c:v>210</c:v>
                </c:pt>
                <c:pt idx="28">
                  <c:v>193</c:v>
                </c:pt>
                <c:pt idx="29">
                  <c:v>88</c:v>
                </c:pt>
                <c:pt idx="30">
                  <c:v>90</c:v>
                </c:pt>
                <c:pt idx="31">
                  <c:v>95</c:v>
                </c:pt>
              </c:numCache>
            </c:numRef>
          </c:xVal>
          <c:yVal>
            <c:numRef>
              <c:f>'AS11-Charts3'!$C$6:$C$37</c:f>
              <c:numCache>
                <c:formatCode>General</c:formatCode>
                <c:ptCount val="32"/>
                <c:pt idx="0">
                  <c:v>3504</c:v>
                </c:pt>
                <c:pt idx="1">
                  <c:v>3693</c:v>
                </c:pt>
                <c:pt idx="2">
                  <c:v>3436</c:v>
                </c:pt>
                <c:pt idx="3">
                  <c:v>3433</c:v>
                </c:pt>
                <c:pt idx="4">
                  <c:v>3449</c:v>
                </c:pt>
                <c:pt idx="5">
                  <c:v>4341</c:v>
                </c:pt>
                <c:pt idx="6">
                  <c:v>4354</c:v>
                </c:pt>
                <c:pt idx="7">
                  <c:v>4312</c:v>
                </c:pt>
                <c:pt idx="8">
                  <c:v>4425</c:v>
                </c:pt>
                <c:pt idx="9">
                  <c:v>3850</c:v>
                </c:pt>
                <c:pt idx="10">
                  <c:v>3563</c:v>
                </c:pt>
                <c:pt idx="11">
                  <c:v>3609</c:v>
                </c:pt>
                <c:pt idx="12">
                  <c:v>3761</c:v>
                </c:pt>
                <c:pt idx="13">
                  <c:v>3086</c:v>
                </c:pt>
                <c:pt idx="14">
                  <c:v>2372</c:v>
                </c:pt>
                <c:pt idx="15">
                  <c:v>2833</c:v>
                </c:pt>
                <c:pt idx="16">
                  <c:v>2774</c:v>
                </c:pt>
                <c:pt idx="17">
                  <c:v>2587</c:v>
                </c:pt>
                <c:pt idx="18">
                  <c:v>2130</c:v>
                </c:pt>
                <c:pt idx="19">
                  <c:v>1835</c:v>
                </c:pt>
                <c:pt idx="20">
                  <c:v>2672</c:v>
                </c:pt>
                <c:pt idx="21">
                  <c:v>2430</c:v>
                </c:pt>
                <c:pt idx="22">
                  <c:v>2375</c:v>
                </c:pt>
                <c:pt idx="23">
                  <c:v>2234</c:v>
                </c:pt>
                <c:pt idx="24">
                  <c:v>2648</c:v>
                </c:pt>
                <c:pt idx="25">
                  <c:v>4615</c:v>
                </c:pt>
                <c:pt idx="26">
                  <c:v>4376</c:v>
                </c:pt>
                <c:pt idx="27">
                  <c:v>4382</c:v>
                </c:pt>
                <c:pt idx="28">
                  <c:v>4732</c:v>
                </c:pt>
                <c:pt idx="29">
                  <c:v>2130</c:v>
                </c:pt>
                <c:pt idx="30">
                  <c:v>2264</c:v>
                </c:pt>
                <c:pt idx="31">
                  <c:v>2228</c:v>
                </c:pt>
              </c:numCache>
            </c:numRef>
          </c:yVal>
          <c:smooth val="0"/>
          <c:extLst>
            <c:ext xmlns:c16="http://schemas.microsoft.com/office/drawing/2014/chart" uri="{C3380CC4-5D6E-409C-BE32-E72D297353CC}">
              <c16:uniqueId val="{00000001-2DDD-4FA0-9070-0AE889A0ABD4}"/>
            </c:ext>
          </c:extLst>
        </c:ser>
        <c:dLbls>
          <c:showLegendKey val="0"/>
          <c:showVal val="0"/>
          <c:showCatName val="0"/>
          <c:showSerName val="0"/>
          <c:showPercent val="0"/>
          <c:showBubbleSize val="0"/>
        </c:dLbls>
        <c:axId val="962908239"/>
        <c:axId val="962908719"/>
      </c:scatterChart>
      <c:valAx>
        <c:axId val="962908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08719"/>
        <c:crosses val="autoZero"/>
        <c:crossBetween val="midCat"/>
      </c:valAx>
      <c:valAx>
        <c:axId val="962908719"/>
        <c:scaling>
          <c:orientation val="minMax"/>
          <c:max val="6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08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v>Start 
Date</c:v>
          </c:tx>
          <c:spPr>
            <a:noFill/>
            <a:ln>
              <a:noFill/>
            </a:ln>
            <a:effectLst/>
          </c:spPr>
          <c:invertIfNegative val="0"/>
          <c:cat>
            <c:strLit>
              <c:ptCount val="11"/>
              <c:pt idx="0">
                <c:v>Main task 1</c:v>
              </c:pt>
              <c:pt idx="1">
                <c:v>Sub-task 1</c:v>
              </c:pt>
              <c:pt idx="2">
                <c:v>Sub-task 2</c:v>
              </c:pt>
              <c:pt idx="3">
                <c:v>Sub-task 3</c:v>
              </c:pt>
              <c:pt idx="4">
                <c:v>Sub-task 4</c:v>
              </c:pt>
              <c:pt idx="5">
                <c:v>Sub-task 5</c:v>
              </c:pt>
              <c:pt idx="6">
                <c:v>Sub-task 6</c:v>
              </c:pt>
              <c:pt idx="7">
                <c:v>Main task 2</c:v>
              </c:pt>
              <c:pt idx="8">
                <c:v>Sub-task 1</c:v>
              </c:pt>
              <c:pt idx="9">
                <c:v>Sub-task 2</c:v>
              </c:pt>
              <c:pt idx="10">
                <c:v>Sub-task 3</c:v>
              </c:pt>
            </c:strLit>
          </c:cat>
          <c:val>
            <c:numLit>
              <c:formatCode>General</c:formatCode>
              <c:ptCount val="11"/>
              <c:pt idx="0">
                <c:v>40081</c:v>
              </c:pt>
              <c:pt idx="1">
                <c:v>40081</c:v>
              </c:pt>
              <c:pt idx="2">
                <c:v>40119</c:v>
              </c:pt>
              <c:pt idx="3">
                <c:v>40148</c:v>
              </c:pt>
              <c:pt idx="4">
                <c:v>40148</c:v>
              </c:pt>
              <c:pt idx="5">
                <c:v>40168</c:v>
              </c:pt>
              <c:pt idx="6">
                <c:v>40182</c:v>
              </c:pt>
              <c:pt idx="7">
                <c:v>40182</c:v>
              </c:pt>
              <c:pt idx="8">
                <c:v>40182</c:v>
              </c:pt>
              <c:pt idx="9">
                <c:v>40189</c:v>
              </c:pt>
              <c:pt idx="10">
                <c:v>40203</c:v>
              </c:pt>
            </c:numLit>
          </c:val>
          <c:extLst>
            <c:ext xmlns:c16="http://schemas.microsoft.com/office/drawing/2014/chart" uri="{C3380CC4-5D6E-409C-BE32-E72D297353CC}">
              <c16:uniqueId val="{00000000-2B84-479C-845B-3ED811E4799C}"/>
            </c:ext>
          </c:extLst>
        </c:ser>
        <c:ser>
          <c:idx val="1"/>
          <c:order val="1"/>
          <c:tx>
            <c:v>Work Days Planned</c:v>
          </c:tx>
          <c:spPr>
            <a:solidFill>
              <a:schemeClr val="accent2"/>
            </a:solidFill>
            <a:ln>
              <a:noFill/>
            </a:ln>
            <a:effectLst/>
          </c:spPr>
          <c:invertIfNegative val="0"/>
          <c:val>
            <c:numLit>
              <c:formatCode>General</c:formatCode>
              <c:ptCount val="11"/>
              <c:pt idx="0">
                <c:v>159</c:v>
              </c:pt>
              <c:pt idx="1">
                <c:v>114</c:v>
              </c:pt>
              <c:pt idx="2">
                <c:v>88</c:v>
              </c:pt>
              <c:pt idx="3">
                <c:v>20</c:v>
              </c:pt>
              <c:pt idx="4">
                <c:v>45</c:v>
              </c:pt>
              <c:pt idx="5">
                <c:v>25</c:v>
              </c:pt>
              <c:pt idx="6">
                <c:v>25</c:v>
              </c:pt>
              <c:pt idx="7">
                <c:v>51</c:v>
              </c:pt>
              <c:pt idx="8">
                <c:v>7</c:v>
              </c:pt>
              <c:pt idx="9">
                <c:v>15</c:v>
              </c:pt>
              <c:pt idx="10">
                <c:v>30</c:v>
              </c:pt>
            </c:numLit>
          </c:val>
          <c:extLst>
            <c:ext xmlns:c16="http://schemas.microsoft.com/office/drawing/2014/chart" uri="{C3380CC4-5D6E-409C-BE32-E72D297353CC}">
              <c16:uniqueId val="{00000001-2B84-479C-845B-3ED811E4799C}"/>
            </c:ext>
          </c:extLst>
        </c:ser>
        <c:dLbls>
          <c:showLegendKey val="0"/>
          <c:showVal val="0"/>
          <c:showCatName val="0"/>
          <c:showSerName val="0"/>
          <c:showPercent val="0"/>
          <c:showBubbleSize val="0"/>
        </c:dLbls>
        <c:gapWidth val="52"/>
        <c:overlap val="100"/>
        <c:axId val="1989517535"/>
        <c:axId val="1996987263"/>
      </c:barChart>
      <c:catAx>
        <c:axId val="19895175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87263"/>
        <c:crosses val="autoZero"/>
        <c:auto val="1"/>
        <c:lblAlgn val="ctr"/>
        <c:lblOffset val="100"/>
        <c:noMultiLvlLbl val="0"/>
      </c:catAx>
      <c:valAx>
        <c:axId val="1996987263"/>
        <c:scaling>
          <c:orientation val="minMax"/>
          <c:max val="40233"/>
          <c:min val="40081"/>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1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v>Start_Num</c:v>
          </c:tx>
          <c:spPr>
            <a:noFill/>
            <a:ln>
              <a:noFill/>
            </a:ln>
            <a:effectLst/>
          </c:spPr>
          <c:invertIfNegative val="0"/>
          <c:cat>
            <c:strRef>
              <c:f>'AS11-Charts5'!$B$7:$B$17</c:f>
              <c:strCache>
                <c:ptCount val="11"/>
                <c:pt idx="0">
                  <c:v>Main task 1</c:v>
                </c:pt>
                <c:pt idx="1">
                  <c:v>Sub-task 1</c:v>
                </c:pt>
                <c:pt idx="2">
                  <c:v>Sub-task 2</c:v>
                </c:pt>
                <c:pt idx="3">
                  <c:v>Sub-task 3</c:v>
                </c:pt>
                <c:pt idx="4">
                  <c:v>Sub-task 4</c:v>
                </c:pt>
                <c:pt idx="5">
                  <c:v>Sub-task 5</c:v>
                </c:pt>
                <c:pt idx="6">
                  <c:v>Sub-task 6</c:v>
                </c:pt>
                <c:pt idx="7">
                  <c:v>Main task 2</c:v>
                </c:pt>
                <c:pt idx="8">
                  <c:v>Sub-task 1</c:v>
                </c:pt>
                <c:pt idx="9">
                  <c:v>Sub-task 2</c:v>
                </c:pt>
                <c:pt idx="10">
                  <c:v>Sub-task 3</c:v>
                </c:pt>
              </c:strCache>
            </c:strRef>
          </c:cat>
          <c:val>
            <c:numRef>
              <c:f>'AS11-Charts5'!$F$7:$F$17</c:f>
              <c:numCache>
                <c:formatCode>0</c:formatCode>
                <c:ptCount val="11"/>
                <c:pt idx="0">
                  <c:v>40081</c:v>
                </c:pt>
                <c:pt idx="1">
                  <c:v>40081</c:v>
                </c:pt>
                <c:pt idx="2">
                  <c:v>40119</c:v>
                </c:pt>
                <c:pt idx="3">
                  <c:v>40148</c:v>
                </c:pt>
                <c:pt idx="4">
                  <c:v>40148</c:v>
                </c:pt>
                <c:pt idx="5">
                  <c:v>40168</c:v>
                </c:pt>
                <c:pt idx="6">
                  <c:v>40182</c:v>
                </c:pt>
                <c:pt idx="7">
                  <c:v>40182</c:v>
                </c:pt>
                <c:pt idx="8">
                  <c:v>40182</c:v>
                </c:pt>
                <c:pt idx="9">
                  <c:v>40189</c:v>
                </c:pt>
                <c:pt idx="10">
                  <c:v>40203</c:v>
                </c:pt>
              </c:numCache>
            </c:numRef>
          </c:val>
          <c:extLst>
            <c:ext xmlns:c16="http://schemas.microsoft.com/office/drawing/2014/chart" uri="{C3380CC4-5D6E-409C-BE32-E72D297353CC}">
              <c16:uniqueId val="{00000000-0472-45A8-A443-17739E0D8DE3}"/>
            </c:ext>
          </c:extLst>
        </c:ser>
        <c:ser>
          <c:idx val="1"/>
          <c:order val="1"/>
          <c:tx>
            <c:v>Duration</c:v>
          </c:tx>
          <c:spPr>
            <a:solidFill>
              <a:schemeClr val="accent2"/>
            </a:solidFill>
            <a:ln>
              <a:noFill/>
            </a:ln>
            <a:effectLst/>
          </c:spPr>
          <c:invertIfNegative val="0"/>
          <c:cat>
            <c:strRef>
              <c:f>'AS11-Charts5'!$B$7:$B$17</c:f>
              <c:strCache>
                <c:ptCount val="11"/>
                <c:pt idx="0">
                  <c:v>Main task 1</c:v>
                </c:pt>
                <c:pt idx="1">
                  <c:v>Sub-task 1</c:v>
                </c:pt>
                <c:pt idx="2">
                  <c:v>Sub-task 2</c:v>
                </c:pt>
                <c:pt idx="3">
                  <c:v>Sub-task 3</c:v>
                </c:pt>
                <c:pt idx="4">
                  <c:v>Sub-task 4</c:v>
                </c:pt>
                <c:pt idx="5">
                  <c:v>Sub-task 5</c:v>
                </c:pt>
                <c:pt idx="6">
                  <c:v>Sub-task 6</c:v>
                </c:pt>
                <c:pt idx="7">
                  <c:v>Main task 2</c:v>
                </c:pt>
                <c:pt idx="8">
                  <c:v>Sub-task 1</c:v>
                </c:pt>
                <c:pt idx="9">
                  <c:v>Sub-task 2</c:v>
                </c:pt>
                <c:pt idx="10">
                  <c:v>Sub-task 3</c:v>
                </c:pt>
              </c:strCache>
            </c:strRef>
          </c:cat>
          <c:val>
            <c:numRef>
              <c:f>'AS11-Charts5'!$G$7:$G$17</c:f>
              <c:numCache>
                <c:formatCode>0</c:formatCode>
                <c:ptCount val="11"/>
                <c:pt idx="0">
                  <c:v>159</c:v>
                </c:pt>
                <c:pt idx="1">
                  <c:v>114</c:v>
                </c:pt>
                <c:pt idx="2">
                  <c:v>88</c:v>
                </c:pt>
                <c:pt idx="3">
                  <c:v>20</c:v>
                </c:pt>
                <c:pt idx="4">
                  <c:v>45</c:v>
                </c:pt>
                <c:pt idx="5">
                  <c:v>25</c:v>
                </c:pt>
                <c:pt idx="6">
                  <c:v>25</c:v>
                </c:pt>
                <c:pt idx="7">
                  <c:v>51</c:v>
                </c:pt>
                <c:pt idx="8">
                  <c:v>7</c:v>
                </c:pt>
                <c:pt idx="9">
                  <c:v>15</c:v>
                </c:pt>
                <c:pt idx="10">
                  <c:v>30</c:v>
                </c:pt>
              </c:numCache>
            </c:numRef>
          </c:val>
          <c:extLst>
            <c:ext xmlns:c16="http://schemas.microsoft.com/office/drawing/2014/chart" uri="{C3380CC4-5D6E-409C-BE32-E72D297353CC}">
              <c16:uniqueId val="{00000001-0472-45A8-A443-17739E0D8DE3}"/>
            </c:ext>
          </c:extLst>
        </c:ser>
        <c:dLbls>
          <c:showLegendKey val="0"/>
          <c:showVal val="0"/>
          <c:showCatName val="0"/>
          <c:showSerName val="0"/>
          <c:showPercent val="0"/>
          <c:showBubbleSize val="0"/>
        </c:dLbls>
        <c:gapWidth val="75"/>
        <c:overlap val="100"/>
        <c:axId val="1079129408"/>
        <c:axId val="1079141888"/>
      </c:barChart>
      <c:catAx>
        <c:axId val="107912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41888"/>
        <c:crosses val="autoZero"/>
        <c:auto val="1"/>
        <c:lblAlgn val="ctr"/>
        <c:lblOffset val="100"/>
        <c:noMultiLvlLbl val="0"/>
      </c:catAx>
      <c:valAx>
        <c:axId val="1079141888"/>
        <c:scaling>
          <c:orientation val="minMax"/>
          <c:max val="40230"/>
          <c:min val="4008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2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5E2817B1-01B8-4FC5-A65E-8EACF6579974}">
          <cx:tx>
            <cx:txData>
              <cx:f>_xlchart.v1.1</cx:f>
              <cx:v>Net Cash Flow</cx:v>
            </cx:txData>
          </cx:tx>
          <cx:dataLabels pos="outEnd">
            <cx:txPr>
              <a:bodyPr spcFirstLastPara="1" vertOverflow="ellipsis" horzOverflow="overflow" wrap="square" lIns="0" tIns="0" rIns="0" bIns="0" anchor="ctr" anchorCtr="1"/>
              <a:lstStyle/>
              <a:p>
                <a:pPr algn="ctr" rtl="0">
                  <a:defRPr sz="600"/>
                </a:pPr>
                <a:endParaRPr lang="en-US" sz="6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600"/>
            </a:pPr>
            <a:endParaRPr lang="en-US" sz="600" b="0" i="0" u="none" strike="noStrike" baseline="0">
              <a:solidFill>
                <a:sysClr val="windowText" lastClr="000000">
                  <a:lumMod val="65000"/>
                  <a:lumOff val="35000"/>
                </a:sysClr>
              </a:solidFill>
              <a:latin typeface="Calibri" panose="020F0502020204030204"/>
            </a:endParaRPr>
          </a:p>
        </cx:txPr>
      </cx:axis>
      <cx:axis id="1">
        <cx:valScaling/>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plotArea>
      <cx:plotAreaRegion>
        <cx:series layoutId="waterfall" uniqueId="{1AFF551E-3FAA-4E14-99B9-F9683510AF2A}">
          <cx:dataLabels pos="outEnd">
            <cx:numFmt formatCode="###0;[Red]-###0" sourceLinked="0"/>
            <cx:txPr>
              <a:bodyPr spcFirstLastPara="1" vertOverflow="ellipsis" horzOverflow="overflow" wrap="square" lIns="0" tIns="0" rIns="0" bIns="0" anchor="ctr" anchorCtr="1"/>
              <a:lstStyle/>
              <a:p>
                <a:pPr algn="ctr" rtl="0">
                  <a:defRPr sz="600"/>
                </a:pPr>
                <a:endParaRPr lang="en-US" sz="6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 idx="0">
              <cx:numFmt formatCode="###0" sourceLinked="0"/>
              <cx:visibility seriesName="0" categoryName="0" value="1"/>
              <cx:separator>, </cx:separator>
            </cx:dataLabel>
            <cx:dataLabel idx="1">
              <cx:txPr>
                <a:bodyPr spcFirstLastPara="1" vertOverflow="ellipsis" horzOverflow="overflow" wrap="square" lIns="0" tIns="0" rIns="0" bIns="0" anchor="ctr" anchorCtr="1"/>
                <a:lstStyle/>
                <a:p>
                  <a:pPr algn="ctr" rtl="0">
                    <a:defRPr/>
                  </a:pPr>
                  <a:r>
                    <a:rPr lang="en-US" sz="600" b="0" i="0" u="none" strike="noStrike" baseline="0">
                      <a:solidFill>
                        <a:sysClr val="windowText" lastClr="000000">
                          <a:lumMod val="65000"/>
                          <a:lumOff val="35000"/>
                        </a:sysClr>
                      </a:solidFill>
                      <a:latin typeface="Calibri" panose="020F0502020204030204"/>
                    </a:rPr>
                    <a:t>-25000</a:t>
                  </a:r>
                </a:p>
              </cx:txPr>
            </cx:dataLabel>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700"/>
            </a:pPr>
            <a:endParaRPr lang="en-US" sz="700" b="0" i="0" u="none" strike="noStrike" baseline="0">
              <a:solidFill>
                <a:sysClr val="windowText" lastClr="000000">
                  <a:lumMod val="65000"/>
                  <a:lumOff val="35000"/>
                </a:sysClr>
              </a:solidFill>
              <a:latin typeface="Calibri" panose="020F0502020204030204"/>
            </a:endParaRPr>
          </a:p>
        </cx:txPr>
      </cx:axis>
      <cx:axis id="1">
        <cx:valScaling max="180000" min="0"/>
        <cx:majorGridlines>
          <cx:spPr>
            <a:ln>
              <a:noFill/>
            </a:ln>
          </cx:spPr>
        </cx:majorGridlines>
        <cx:tickLabels/>
        <cx:numFmt formatCode="###0" sourceLinked="0"/>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571500</xdr:colOff>
      <xdr:row>2</xdr:row>
      <xdr:rowOff>152400</xdr:rowOff>
    </xdr:from>
    <xdr:ext cx="2804403" cy="2834886"/>
    <xdr:pic>
      <xdr:nvPicPr>
        <xdr:cNvPr id="2" name="Picture 1">
          <a:extLst>
            <a:ext uri="{FF2B5EF4-FFF2-40B4-BE49-F238E27FC236}">
              <a16:creationId xmlns:a16="http://schemas.microsoft.com/office/drawing/2014/main" id="{6D66A7BF-E493-451B-ADA4-91A2AD4DE10C}"/>
            </a:ext>
          </a:extLst>
        </xdr:cNvPr>
        <xdr:cNvPicPr>
          <a:picLocks noChangeAspect="1"/>
        </xdr:cNvPicPr>
      </xdr:nvPicPr>
      <xdr:blipFill>
        <a:blip xmlns:r="http://schemas.openxmlformats.org/officeDocument/2006/relationships" r:embed="rId1"/>
        <a:stretch>
          <a:fillRect/>
        </a:stretch>
      </xdr:blipFill>
      <xdr:spPr>
        <a:xfrm>
          <a:off x="3619500" y="518160"/>
          <a:ext cx="2804403" cy="2834886"/>
        </a:xfrm>
        <a:prstGeom prst="rect">
          <a:avLst/>
        </a:prstGeom>
      </xdr:spPr>
    </xdr:pic>
    <xdr:clientData/>
  </xdr:oneCellAnchor>
  <xdr:oneCellAnchor>
    <xdr:from>
      <xdr:col>16</xdr:col>
      <xdr:colOff>0</xdr:colOff>
      <xdr:row>4</xdr:row>
      <xdr:rowOff>22860</xdr:rowOff>
    </xdr:from>
    <xdr:ext cx="1714695" cy="1325307"/>
    <xdr:pic>
      <xdr:nvPicPr>
        <xdr:cNvPr id="3" name="Picture 2">
          <a:extLst>
            <a:ext uri="{FF2B5EF4-FFF2-40B4-BE49-F238E27FC236}">
              <a16:creationId xmlns:a16="http://schemas.microsoft.com/office/drawing/2014/main" id="{58B093B9-9FA9-464D-93C0-7BECC9FDA0F8}"/>
            </a:ext>
          </a:extLst>
        </xdr:cNvPr>
        <xdr:cNvPicPr>
          <a:picLocks noChangeAspect="1"/>
        </xdr:cNvPicPr>
      </xdr:nvPicPr>
      <xdr:blipFill>
        <a:blip xmlns:r="http://schemas.openxmlformats.org/officeDocument/2006/relationships" r:embed="rId2"/>
        <a:stretch>
          <a:fillRect/>
        </a:stretch>
      </xdr:blipFill>
      <xdr:spPr>
        <a:xfrm>
          <a:off x="9753600" y="754380"/>
          <a:ext cx="1714695" cy="132530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8</xdr:col>
      <xdr:colOff>579120</xdr:colOff>
      <xdr:row>4</xdr:row>
      <xdr:rowOff>129540</xdr:rowOff>
    </xdr:from>
    <xdr:ext cx="4892040" cy="2346960"/>
    <xdr:pic>
      <xdr:nvPicPr>
        <xdr:cNvPr id="2" name="Picture 1">
          <a:extLst>
            <a:ext uri="{FF2B5EF4-FFF2-40B4-BE49-F238E27FC236}">
              <a16:creationId xmlns:a16="http://schemas.microsoft.com/office/drawing/2014/main" id="{13E4F451-261C-4BC6-949B-01B5A9DFD4F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04" t="6194" r="1987" b="2958"/>
        <a:stretch>
          <a:fillRect/>
        </a:stretch>
      </xdr:blipFill>
      <xdr:spPr>
        <a:xfrm>
          <a:off x="5455920" y="861060"/>
          <a:ext cx="4892040" cy="234696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10</xdr:col>
      <xdr:colOff>38100</xdr:colOff>
      <xdr:row>4</xdr:row>
      <xdr:rowOff>30480</xdr:rowOff>
    </xdr:from>
    <xdr:ext cx="2153103" cy="3413760"/>
    <xdr:pic>
      <xdr:nvPicPr>
        <xdr:cNvPr id="2" name="Picture 1">
          <a:extLst>
            <a:ext uri="{FF2B5EF4-FFF2-40B4-BE49-F238E27FC236}">
              <a16:creationId xmlns:a16="http://schemas.microsoft.com/office/drawing/2014/main" id="{CA1C812F-9B24-4D01-8F40-8377A2F4597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289" t="4498" r="3226" b="874"/>
        <a:stretch>
          <a:fillRect/>
        </a:stretch>
      </xdr:blipFill>
      <xdr:spPr>
        <a:xfrm>
          <a:off x="6134100" y="762000"/>
          <a:ext cx="2153103" cy="341376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594360</xdr:colOff>
      <xdr:row>6</xdr:row>
      <xdr:rowOff>38100</xdr:rowOff>
    </xdr:from>
    <xdr:ext cx="5669280" cy="2651760"/>
    <xdr:pic>
      <xdr:nvPicPr>
        <xdr:cNvPr id="2" name="Picture 1">
          <a:extLst>
            <a:ext uri="{FF2B5EF4-FFF2-40B4-BE49-F238E27FC236}">
              <a16:creationId xmlns:a16="http://schemas.microsoft.com/office/drawing/2014/main" id="{463A8A91-A695-4B83-BFE5-8D2FCEF010E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46" t="2412" r="3362" b="4298"/>
        <a:stretch>
          <a:fillRect/>
        </a:stretch>
      </xdr:blipFill>
      <xdr:spPr>
        <a:xfrm>
          <a:off x="5471160" y="1135380"/>
          <a:ext cx="5669280" cy="265176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5</xdr:col>
      <xdr:colOff>579814</xdr:colOff>
      <xdr:row>1</xdr:row>
      <xdr:rowOff>170757</xdr:rowOff>
    </xdr:from>
    <xdr:ext cx="4671060" cy="1809750"/>
    <xdr:pic>
      <xdr:nvPicPr>
        <xdr:cNvPr id="2" name="image2.png">
          <a:extLst>
            <a:ext uri="{FF2B5EF4-FFF2-40B4-BE49-F238E27FC236}">
              <a16:creationId xmlns:a16="http://schemas.microsoft.com/office/drawing/2014/main" id="{BD75D381-C55E-4C4B-905F-42544B70EA99}"/>
            </a:ext>
          </a:extLst>
        </xdr:cNvPr>
        <xdr:cNvPicPr preferRelativeResize="0"/>
      </xdr:nvPicPr>
      <xdr:blipFill>
        <a:blip xmlns:r="http://schemas.openxmlformats.org/officeDocument/2006/relationships" r:embed="rId1" cstate="print"/>
        <a:stretch>
          <a:fillRect/>
        </a:stretch>
      </xdr:blipFill>
      <xdr:spPr>
        <a:xfrm>
          <a:off x="5532814" y="353637"/>
          <a:ext cx="4671060" cy="1809750"/>
        </a:xfrm>
        <a:prstGeom prst="rect">
          <a:avLst/>
        </a:prstGeom>
        <a:noFill/>
      </xdr:spPr>
    </xdr:pic>
    <xdr:clientData fLocksWithSheet="0"/>
  </xdr:oneCellAnchor>
  <xdr:twoCellAnchor>
    <xdr:from>
      <xdr:col>6</xdr:col>
      <xdr:colOff>13856</xdr:colOff>
      <xdr:row>14</xdr:row>
      <xdr:rowOff>16281</xdr:rowOff>
    </xdr:from>
    <xdr:to>
      <xdr:col>13</xdr:col>
      <xdr:colOff>263237</xdr:colOff>
      <xdr:row>24</xdr:row>
      <xdr:rowOff>76200</xdr:rowOff>
    </xdr:to>
    <xdr:graphicFrame macro="">
      <xdr:nvGraphicFramePr>
        <xdr:cNvPr id="3" name="Chart 2">
          <a:extLst>
            <a:ext uri="{FF2B5EF4-FFF2-40B4-BE49-F238E27FC236}">
              <a16:creationId xmlns:a16="http://schemas.microsoft.com/office/drawing/2014/main" id="{F83BE3E9-5BAB-4ADE-A654-CBB58F383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5</xdr:col>
      <xdr:colOff>590960</xdr:colOff>
      <xdr:row>3</xdr:row>
      <xdr:rowOff>150993</xdr:rowOff>
    </xdr:from>
    <xdr:ext cx="3905250" cy="2158365"/>
    <xdr:pic>
      <xdr:nvPicPr>
        <xdr:cNvPr id="2" name="image1.png">
          <a:extLst>
            <a:ext uri="{FF2B5EF4-FFF2-40B4-BE49-F238E27FC236}">
              <a16:creationId xmlns:a16="http://schemas.microsoft.com/office/drawing/2014/main" id="{4F89F91F-C467-4750-BCF1-FB4E68B04706}"/>
            </a:ext>
          </a:extLst>
        </xdr:cNvPr>
        <xdr:cNvPicPr preferRelativeResize="0"/>
      </xdr:nvPicPr>
      <xdr:blipFill>
        <a:blip xmlns:r="http://schemas.openxmlformats.org/officeDocument/2006/relationships" r:embed="rId1" cstate="print"/>
        <a:stretch>
          <a:fillRect/>
        </a:stretch>
      </xdr:blipFill>
      <xdr:spPr>
        <a:xfrm>
          <a:off x="5543960" y="699633"/>
          <a:ext cx="3905250" cy="2158365"/>
        </a:xfrm>
        <a:prstGeom prst="rect">
          <a:avLst/>
        </a:prstGeom>
        <a:noFill/>
      </xdr:spPr>
    </xdr:pic>
    <xdr:clientData fLocksWithSheet="0"/>
  </xdr:oneCellAnchor>
  <xdr:twoCellAnchor>
    <xdr:from>
      <xdr:col>13</xdr:col>
      <xdr:colOff>14242</xdr:colOff>
      <xdr:row>3</xdr:row>
      <xdr:rowOff>170915</xdr:rowOff>
    </xdr:from>
    <xdr:to>
      <xdr:col>18</xdr:col>
      <xdr:colOff>378434</xdr:colOff>
      <xdr:row>16</xdr:row>
      <xdr:rowOff>19548</xdr:rowOff>
    </xdr:to>
    <xdr:graphicFrame macro="">
      <xdr:nvGraphicFramePr>
        <xdr:cNvPr id="3" name="Chart 2">
          <a:extLst>
            <a:ext uri="{FF2B5EF4-FFF2-40B4-BE49-F238E27FC236}">
              <a16:creationId xmlns:a16="http://schemas.microsoft.com/office/drawing/2014/main" id="{86293E94-E1DD-447A-99CD-7BD8E91DD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6</xdr:col>
      <xdr:colOff>575310</xdr:colOff>
      <xdr:row>3</xdr:row>
      <xdr:rowOff>163830</xdr:rowOff>
    </xdr:from>
    <xdr:ext cx="4042410" cy="1954530"/>
    <xdr:pic>
      <xdr:nvPicPr>
        <xdr:cNvPr id="2" name="image3.png">
          <a:extLst>
            <a:ext uri="{FF2B5EF4-FFF2-40B4-BE49-F238E27FC236}">
              <a16:creationId xmlns:a16="http://schemas.microsoft.com/office/drawing/2014/main" id="{496608B1-9718-4285-9D19-5D4F34860181}"/>
            </a:ext>
          </a:extLst>
        </xdr:cNvPr>
        <xdr:cNvPicPr preferRelativeResize="0"/>
      </xdr:nvPicPr>
      <xdr:blipFill>
        <a:blip xmlns:r="http://schemas.openxmlformats.org/officeDocument/2006/relationships" r:embed="rId1" cstate="print"/>
        <a:stretch>
          <a:fillRect/>
        </a:stretch>
      </xdr:blipFill>
      <xdr:spPr>
        <a:xfrm>
          <a:off x="6518910" y="712470"/>
          <a:ext cx="4042410" cy="1954530"/>
        </a:xfrm>
        <a:prstGeom prst="rect">
          <a:avLst/>
        </a:prstGeom>
        <a:noFill/>
      </xdr:spPr>
    </xdr:pic>
    <xdr:clientData fLocksWithSheet="0"/>
  </xdr:oneCellAnchor>
  <xdr:twoCellAnchor>
    <xdr:from>
      <xdr:col>14</xdr:col>
      <xdr:colOff>0</xdr:colOff>
      <xdr:row>4</xdr:row>
      <xdr:rowOff>3810</xdr:rowOff>
    </xdr:from>
    <xdr:to>
      <xdr:col>20</xdr:col>
      <xdr:colOff>60960</xdr:colOff>
      <xdr:row>14</xdr:row>
      <xdr:rowOff>129540</xdr:rowOff>
    </xdr:to>
    <xdr:graphicFrame macro="">
      <xdr:nvGraphicFramePr>
        <xdr:cNvPr id="3" name="Chart 2">
          <a:extLst>
            <a:ext uri="{FF2B5EF4-FFF2-40B4-BE49-F238E27FC236}">
              <a16:creationId xmlns:a16="http://schemas.microsoft.com/office/drawing/2014/main" id="{6E412ED7-C510-4EFA-AD7E-B9C1BB7BD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655320</xdr:colOff>
      <xdr:row>3</xdr:row>
      <xdr:rowOff>11430</xdr:rowOff>
    </xdr:from>
    <xdr:to>
      <xdr:col>11</xdr:col>
      <xdr:colOff>350520</xdr:colOff>
      <xdr:row>15</xdr:row>
      <xdr:rowOff>167640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1E6CFF6-232C-475C-9528-CDA0908A41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08120" y="560070"/>
              <a:ext cx="4983480" cy="23507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10484</xdr:colOff>
      <xdr:row>3</xdr:row>
      <xdr:rowOff>34892</xdr:rowOff>
    </xdr:from>
    <xdr:to>
      <xdr:col>19</xdr:col>
      <xdr:colOff>399384</xdr:colOff>
      <xdr:row>15</xdr:row>
      <xdr:rowOff>178994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BBE842C-D878-4E1C-B8CC-AD7297CF21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261164" y="583532"/>
              <a:ext cx="4983760" cy="23386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7</xdr:col>
      <xdr:colOff>601980</xdr:colOff>
      <xdr:row>2</xdr:row>
      <xdr:rowOff>179070</xdr:rowOff>
    </xdr:from>
    <xdr:to>
      <xdr:col>15</xdr:col>
      <xdr:colOff>228600</xdr:colOff>
      <xdr:row>14</xdr:row>
      <xdr:rowOff>91440</xdr:rowOff>
    </xdr:to>
    <xdr:graphicFrame macro="">
      <xdr:nvGraphicFramePr>
        <xdr:cNvPr id="2" name="Chart 1">
          <a:extLst>
            <a:ext uri="{FF2B5EF4-FFF2-40B4-BE49-F238E27FC236}">
              <a16:creationId xmlns:a16="http://schemas.microsoft.com/office/drawing/2014/main" id="{58D18704-EAA4-4E42-92FF-0DB1108E9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25595</xdr:colOff>
      <xdr:row>16</xdr:row>
      <xdr:rowOff>11429</xdr:rowOff>
    </xdr:from>
    <xdr:to>
      <xdr:col>14</xdr:col>
      <xdr:colOff>880891</xdr:colOff>
      <xdr:row>31</xdr:row>
      <xdr:rowOff>14751</xdr:rowOff>
    </xdr:to>
    <xdr:graphicFrame macro="">
      <xdr:nvGraphicFramePr>
        <xdr:cNvPr id="3" name="Chart 2">
          <a:extLst>
            <a:ext uri="{FF2B5EF4-FFF2-40B4-BE49-F238E27FC236}">
              <a16:creationId xmlns:a16="http://schemas.microsoft.com/office/drawing/2014/main" id="{7B025929-3FF9-401E-8D4D-B75BF15E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ExcelR%20-%20DA\Advanced%20Excel\Assignments\Assignment\Assignment%206.xlsx" TargetMode="External"/><Relationship Id="rId1" Type="http://schemas.openxmlformats.org/officeDocument/2006/relationships/externalLinkPath" Target="file:///E:\ExcelR%20-%20DA\Advanced%20Excel\Assignments\Assignment\Assignment%206.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E:\ExcelR%20-%20DA\Advanced%20Excel\Assignments\Assignment%20Day%204.xlsx" TargetMode="External"/><Relationship Id="rId1" Type="http://schemas.openxmlformats.org/officeDocument/2006/relationships/externalLinkPath" Target="file:///E:\ExcelR%20-%20DA\Advanced%20Excel\Assignments\Assignment%20Day%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ts"/>
      <sheetName val="Charts2"/>
      <sheetName val="Scatter"/>
      <sheetName val="Waterfall"/>
      <sheetName val="Gantt chart"/>
    </sheetNames>
    <sheetDataSet>
      <sheetData sheetId="0"/>
      <sheetData sheetId="1"/>
      <sheetData sheetId="2"/>
      <sheetData sheetId="3">
        <row r="5">
          <cell r="D5" t="str">
            <v>Net Cash Flow</v>
          </cell>
        </row>
        <row r="6">
          <cell r="C6" t="str">
            <v>Start Balance</v>
          </cell>
          <cell r="D6">
            <v>100000</v>
          </cell>
        </row>
        <row r="7">
          <cell r="C7" t="str">
            <v>JAN FY2022</v>
          </cell>
          <cell r="D7">
            <v>-25000</v>
          </cell>
        </row>
        <row r="8">
          <cell r="C8" t="str">
            <v>FEB FY2022</v>
          </cell>
          <cell r="D8">
            <v>10000</v>
          </cell>
        </row>
        <row r="9">
          <cell r="C9" t="str">
            <v>MAR FY2022</v>
          </cell>
          <cell r="D9">
            <v>14000</v>
          </cell>
        </row>
        <row r="10">
          <cell r="C10" t="str">
            <v>APR FY2022</v>
          </cell>
          <cell r="D10">
            <v>-15000</v>
          </cell>
        </row>
        <row r="11">
          <cell r="C11" t="str">
            <v>MAY FY2022</v>
          </cell>
          <cell r="D11">
            <v>-5000</v>
          </cell>
        </row>
        <row r="12">
          <cell r="C12" t="str">
            <v>JUN FY2022</v>
          </cell>
          <cell r="D12">
            <v>7000</v>
          </cell>
        </row>
        <row r="13">
          <cell r="C13" t="str">
            <v>JUL FY2022</v>
          </cell>
          <cell r="D13">
            <v>8500</v>
          </cell>
        </row>
        <row r="14">
          <cell r="C14" t="str">
            <v>AUG FY2022</v>
          </cell>
          <cell r="D14">
            <v>-10000</v>
          </cell>
        </row>
        <row r="15">
          <cell r="C15" t="str">
            <v>SEP FY2022</v>
          </cell>
          <cell r="D15">
            <v>-16000</v>
          </cell>
        </row>
        <row r="16">
          <cell r="C16" t="str">
            <v>OCT FY2022</v>
          </cell>
          <cell r="D16">
            <v>10000</v>
          </cell>
        </row>
        <row r="17">
          <cell r="C17" t="str">
            <v>Current Balance</v>
          </cell>
          <cell r="D17">
            <v>78500</v>
          </cell>
        </row>
      </sheetData>
      <sheetData sheetId="4">
        <row r="6">
          <cell r="D6" t="str">
            <v>Start 
Date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lookup"/>
      <sheetName val="Master Emp sheet"/>
      <sheetName val="Source"/>
    </sheetNames>
    <sheetDataSet>
      <sheetData sheetId="0"/>
      <sheetData sheetId="1"/>
      <sheetData sheetId="2">
        <row r="1">
          <cell r="B1" t="str">
            <v>C_Code</v>
          </cell>
          <cell r="C1" t="str">
            <v>Department</v>
          </cell>
          <cell r="D1" t="str">
            <v>Region</v>
          </cell>
          <cell r="E1" t="str">
            <v>Salary</v>
          </cell>
        </row>
        <row r="2">
          <cell r="B2">
            <v>150773</v>
          </cell>
          <cell r="C2" t="str">
            <v>Finance</v>
          </cell>
          <cell r="D2" t="str">
            <v>North</v>
          </cell>
          <cell r="E2">
            <v>85000</v>
          </cell>
        </row>
        <row r="3">
          <cell r="B3">
            <v>150777</v>
          </cell>
          <cell r="C3" t="str">
            <v>Marketing</v>
          </cell>
          <cell r="D3" t="str">
            <v>North</v>
          </cell>
          <cell r="E3">
            <v>22000</v>
          </cell>
        </row>
        <row r="4">
          <cell r="B4">
            <v>150784</v>
          </cell>
          <cell r="C4" t="str">
            <v>Digital Marketing</v>
          </cell>
          <cell r="D4" t="str">
            <v>North</v>
          </cell>
          <cell r="E4">
            <v>35000</v>
          </cell>
        </row>
        <row r="5">
          <cell r="B5">
            <v>150791</v>
          </cell>
          <cell r="C5" t="str">
            <v>Digital Marketing</v>
          </cell>
          <cell r="D5" t="str">
            <v>North</v>
          </cell>
          <cell r="E5">
            <v>67000</v>
          </cell>
        </row>
        <row r="6">
          <cell r="B6">
            <v>150798</v>
          </cell>
          <cell r="C6" t="str">
            <v>Digital Marketing</v>
          </cell>
          <cell r="D6" t="str">
            <v>North</v>
          </cell>
          <cell r="E6">
            <v>81000</v>
          </cell>
        </row>
        <row r="7">
          <cell r="B7">
            <v>150805</v>
          </cell>
          <cell r="C7" t="str">
            <v>Director</v>
          </cell>
          <cell r="D7" t="str">
            <v>North</v>
          </cell>
          <cell r="E7">
            <v>91000</v>
          </cell>
        </row>
        <row r="8">
          <cell r="B8">
            <v>150814</v>
          </cell>
          <cell r="C8" t="str">
            <v>Inside Sales</v>
          </cell>
          <cell r="D8" t="str">
            <v>North</v>
          </cell>
          <cell r="E8">
            <v>50000</v>
          </cell>
        </row>
        <row r="9">
          <cell r="B9">
            <v>150821</v>
          </cell>
          <cell r="C9" t="str">
            <v>CCD</v>
          </cell>
          <cell r="D9" t="str">
            <v>North</v>
          </cell>
          <cell r="E9">
            <v>26000</v>
          </cell>
        </row>
        <row r="10">
          <cell r="B10">
            <v>150830</v>
          </cell>
          <cell r="C10" t="str">
            <v>Sales</v>
          </cell>
          <cell r="D10" t="str">
            <v>North</v>
          </cell>
          <cell r="E10">
            <v>52000</v>
          </cell>
        </row>
        <row r="11">
          <cell r="B11">
            <v>150834</v>
          </cell>
          <cell r="C11" t="str">
            <v>FLM</v>
          </cell>
          <cell r="D11" t="str">
            <v>North</v>
          </cell>
          <cell r="E11">
            <v>48000</v>
          </cell>
        </row>
        <row r="12">
          <cell r="B12">
            <v>150840</v>
          </cell>
          <cell r="C12" t="str">
            <v>Inside Sales</v>
          </cell>
          <cell r="D12" t="str">
            <v>East</v>
          </cell>
          <cell r="E12">
            <v>20000</v>
          </cell>
        </row>
        <row r="13">
          <cell r="B13">
            <v>150850</v>
          </cell>
          <cell r="C13" t="str">
            <v>CCD</v>
          </cell>
          <cell r="D13" t="str">
            <v>East</v>
          </cell>
          <cell r="E13">
            <v>47000</v>
          </cell>
        </row>
        <row r="14">
          <cell r="B14">
            <v>150851</v>
          </cell>
          <cell r="C14" t="str">
            <v>Inside Sales</v>
          </cell>
          <cell r="D14" t="str">
            <v>East</v>
          </cell>
          <cell r="E14">
            <v>75000</v>
          </cell>
        </row>
        <row r="15">
          <cell r="B15">
            <v>150865</v>
          </cell>
          <cell r="C15" t="str">
            <v>CEO</v>
          </cell>
          <cell r="D15" t="str">
            <v>East</v>
          </cell>
          <cell r="E15">
            <v>90000</v>
          </cell>
        </row>
        <row r="16">
          <cell r="B16">
            <v>150867</v>
          </cell>
          <cell r="C16" t="str">
            <v>Finance</v>
          </cell>
          <cell r="D16" t="str">
            <v>East</v>
          </cell>
          <cell r="E16">
            <v>49000</v>
          </cell>
        </row>
        <row r="17">
          <cell r="B17">
            <v>150874</v>
          </cell>
          <cell r="C17" t="str">
            <v>Marketing</v>
          </cell>
          <cell r="D17" t="str">
            <v>East</v>
          </cell>
          <cell r="E17">
            <v>27000</v>
          </cell>
        </row>
        <row r="18">
          <cell r="B18">
            <v>150881</v>
          </cell>
          <cell r="C18" t="str">
            <v>Digital Marketing</v>
          </cell>
          <cell r="D18" t="str">
            <v>East</v>
          </cell>
          <cell r="E18">
            <v>92000</v>
          </cell>
        </row>
        <row r="19">
          <cell r="B19">
            <v>150888</v>
          </cell>
          <cell r="C19" t="str">
            <v>Learning &amp; Development</v>
          </cell>
          <cell r="D19" t="str">
            <v>East</v>
          </cell>
          <cell r="E19">
            <v>43000</v>
          </cell>
        </row>
        <row r="20">
          <cell r="B20">
            <v>150894</v>
          </cell>
          <cell r="C20" t="str">
            <v>Inside Sales</v>
          </cell>
          <cell r="D20" t="str">
            <v>South</v>
          </cell>
          <cell r="E20">
            <v>67000</v>
          </cell>
        </row>
        <row r="21">
          <cell r="B21">
            <v>150901</v>
          </cell>
          <cell r="C21" t="str">
            <v>Sales</v>
          </cell>
          <cell r="D21" t="str">
            <v>South</v>
          </cell>
          <cell r="E21">
            <v>53000</v>
          </cell>
        </row>
        <row r="22">
          <cell r="B22">
            <v>150905</v>
          </cell>
          <cell r="C22" t="str">
            <v>FLM</v>
          </cell>
          <cell r="D22" t="str">
            <v>South</v>
          </cell>
          <cell r="E22">
            <v>62000</v>
          </cell>
        </row>
        <row r="23">
          <cell r="B23">
            <v>150912</v>
          </cell>
          <cell r="C23" t="str">
            <v>Operations</v>
          </cell>
          <cell r="D23" t="str">
            <v>South</v>
          </cell>
          <cell r="E23">
            <v>81000</v>
          </cell>
        </row>
        <row r="24">
          <cell r="B24">
            <v>150921</v>
          </cell>
          <cell r="C24" t="str">
            <v>Finance</v>
          </cell>
          <cell r="D24" t="str">
            <v>South</v>
          </cell>
          <cell r="E24">
            <v>19000</v>
          </cell>
        </row>
        <row r="25">
          <cell r="B25">
            <v>150929</v>
          </cell>
          <cell r="C25" t="str">
            <v>Marketing</v>
          </cell>
          <cell r="D25" t="str">
            <v>South</v>
          </cell>
          <cell r="E25">
            <v>58000</v>
          </cell>
        </row>
        <row r="26">
          <cell r="B26">
            <v>150930</v>
          </cell>
          <cell r="C26" t="str">
            <v>Digital Marketing</v>
          </cell>
          <cell r="D26" t="str">
            <v>South</v>
          </cell>
          <cell r="E26">
            <v>82000</v>
          </cell>
        </row>
        <row r="27">
          <cell r="B27">
            <v>150937</v>
          </cell>
          <cell r="C27" t="str">
            <v>Learning &amp; Development</v>
          </cell>
          <cell r="D27" t="str">
            <v>South</v>
          </cell>
          <cell r="E27">
            <v>37000</v>
          </cell>
        </row>
        <row r="28">
          <cell r="B28">
            <v>150940</v>
          </cell>
          <cell r="C28" t="str">
            <v>Inside Sales</v>
          </cell>
          <cell r="D28" t="str">
            <v>South</v>
          </cell>
          <cell r="E28">
            <v>87000</v>
          </cell>
        </row>
        <row r="29">
          <cell r="B29">
            <v>150947</v>
          </cell>
          <cell r="C29" t="str">
            <v>CCD</v>
          </cell>
          <cell r="D29" t="str">
            <v>South</v>
          </cell>
          <cell r="E29">
            <v>85000</v>
          </cell>
        </row>
        <row r="30">
          <cell r="B30">
            <v>150962</v>
          </cell>
          <cell r="C30" t="str">
            <v>Director</v>
          </cell>
          <cell r="D30" t="str">
            <v>South</v>
          </cell>
          <cell r="E30">
            <v>87000</v>
          </cell>
        </row>
        <row r="31">
          <cell r="B31">
            <v>150968</v>
          </cell>
          <cell r="C31" t="str">
            <v>Operations</v>
          </cell>
          <cell r="D31" t="str">
            <v>South</v>
          </cell>
          <cell r="E31">
            <v>65000</v>
          </cell>
        </row>
        <row r="32">
          <cell r="B32">
            <v>150975</v>
          </cell>
          <cell r="C32" t="str">
            <v>Finance</v>
          </cell>
          <cell r="D32" t="str">
            <v>Mid West</v>
          </cell>
          <cell r="E32">
            <v>83000</v>
          </cell>
        </row>
        <row r="33">
          <cell r="B33">
            <v>150982</v>
          </cell>
          <cell r="C33" t="str">
            <v>Marketing</v>
          </cell>
          <cell r="D33" t="str">
            <v>Mid West</v>
          </cell>
          <cell r="E33">
            <v>47000</v>
          </cell>
        </row>
        <row r="34">
          <cell r="B34">
            <v>150989</v>
          </cell>
          <cell r="C34" t="str">
            <v>Digital Marketing</v>
          </cell>
          <cell r="D34" t="str">
            <v>Mid West</v>
          </cell>
          <cell r="E34">
            <v>45000</v>
          </cell>
        </row>
        <row r="35">
          <cell r="B35">
            <v>150990</v>
          </cell>
          <cell r="C35" t="str">
            <v>Learning &amp; Development</v>
          </cell>
          <cell r="D35" t="str">
            <v>Mid West</v>
          </cell>
          <cell r="E35">
            <v>77000</v>
          </cell>
        </row>
        <row r="36">
          <cell r="B36">
            <v>150995</v>
          </cell>
          <cell r="C36" t="str">
            <v>Inside Sales</v>
          </cell>
          <cell r="D36" t="str">
            <v>Mid West</v>
          </cell>
          <cell r="E36">
            <v>15000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44"/>
  <sheetViews>
    <sheetView tabSelected="1" zoomScaleNormal="100" workbookViewId="0">
      <selection activeCell="S11" sqref="S11"/>
    </sheetView>
  </sheetViews>
  <sheetFormatPr defaultColWidth="14.44140625" defaultRowHeight="14.4" x14ac:dyDescent="0.3"/>
  <cols>
    <col min="1" max="1" width="8.6640625" customWidth="1"/>
    <col min="2" max="2" width="7.44140625" bestFit="1" customWidth="1"/>
    <col min="3" max="4" width="13.33203125" bestFit="1" customWidth="1"/>
    <col min="5" max="5" width="10" bestFit="1" customWidth="1"/>
    <col min="6" max="6" width="7.33203125" bestFit="1" customWidth="1"/>
    <col min="7" max="7" width="9" bestFit="1" customWidth="1"/>
    <col min="8" max="8" width="21.5546875" bestFit="1" customWidth="1"/>
    <col min="9" max="9" width="8.6640625" bestFit="1" customWidth="1"/>
    <col min="10" max="10" width="10.6640625" bestFit="1" customWidth="1"/>
    <col min="11" max="12" width="8.6640625" customWidth="1"/>
    <col min="13" max="13" width="49.5546875" bestFit="1" customWidth="1"/>
    <col min="14" max="16" width="8.33203125" customWidth="1"/>
    <col min="17" max="17" width="9" customWidth="1"/>
    <col min="18" max="26" width="8.6640625" customWidth="1"/>
  </cols>
  <sheetData>
    <row r="2" spans="2:14" x14ac:dyDescent="0.3">
      <c r="C2" s="202" t="s">
        <v>0</v>
      </c>
      <c r="D2" s="202"/>
      <c r="E2" s="202"/>
      <c r="F2" s="202"/>
      <c r="G2" s="202"/>
      <c r="H2" s="202"/>
      <c r="I2" s="202"/>
      <c r="J2" s="202"/>
      <c r="M2" s="203" t="s">
        <v>1</v>
      </c>
      <c r="N2" s="204"/>
    </row>
    <row r="3" spans="2:14" x14ac:dyDescent="0.3">
      <c r="C3" s="202" t="s">
        <v>2</v>
      </c>
      <c r="D3" s="202"/>
      <c r="E3" s="202"/>
      <c r="F3" s="202"/>
      <c r="G3" s="202"/>
      <c r="H3" s="202"/>
      <c r="I3" s="202"/>
      <c r="J3" s="202"/>
      <c r="M3" s="1" t="s">
        <v>3</v>
      </c>
      <c r="N3" s="2">
        <f>SUM(Basic_Salary)</f>
        <v>2191000</v>
      </c>
    </row>
    <row r="4" spans="2:14" x14ac:dyDescent="0.3">
      <c r="M4" s="1" t="s">
        <v>4</v>
      </c>
      <c r="N4" s="3">
        <f>AVERAGE(Basic_Salary)</f>
        <v>57657.894736842107</v>
      </c>
    </row>
    <row r="5" spans="2:14" x14ac:dyDescent="0.3">
      <c r="M5" s="1" t="s">
        <v>5</v>
      </c>
      <c r="N5" s="2">
        <f>MEDIAN(Basic_Salary)</f>
        <v>55000</v>
      </c>
    </row>
    <row r="6" spans="2:14" x14ac:dyDescent="0.3">
      <c r="B6" s="1" t="s">
        <v>6</v>
      </c>
      <c r="C6" s="1" t="s">
        <v>7</v>
      </c>
      <c r="D6" s="1" t="s">
        <v>8</v>
      </c>
      <c r="E6" s="1" t="s">
        <v>9</v>
      </c>
      <c r="F6" s="1" t="s">
        <v>10</v>
      </c>
      <c r="G6" s="1" t="s">
        <v>11</v>
      </c>
      <c r="H6" s="1" t="s">
        <v>12</v>
      </c>
      <c r="I6" s="1" t="s">
        <v>13</v>
      </c>
      <c r="J6" s="1" t="s">
        <v>14</v>
      </c>
      <c r="M6" s="1" t="s">
        <v>15</v>
      </c>
      <c r="N6" s="2">
        <f>COUNTA(C_Code)</f>
        <v>39</v>
      </c>
    </row>
    <row r="7" spans="2:14" x14ac:dyDescent="0.3">
      <c r="B7" s="4">
        <v>150834</v>
      </c>
      <c r="C7" s="5" t="s">
        <v>16</v>
      </c>
      <c r="D7" s="5" t="s">
        <v>17</v>
      </c>
      <c r="E7" s="6">
        <v>31199</v>
      </c>
      <c r="F7" s="7" t="s">
        <v>18</v>
      </c>
      <c r="G7" s="5" t="s">
        <v>19</v>
      </c>
      <c r="H7" s="5" t="s">
        <v>20</v>
      </c>
      <c r="I7" s="5" t="s">
        <v>21</v>
      </c>
      <c r="J7" s="2">
        <v>48000</v>
      </c>
      <c r="M7" s="1" t="s">
        <v>22</v>
      </c>
      <c r="N7" s="2">
        <f>MAX(Basic_Salary)</f>
        <v>92000</v>
      </c>
    </row>
    <row r="8" spans="2:14" x14ac:dyDescent="0.3">
      <c r="B8" s="4">
        <v>150784</v>
      </c>
      <c r="C8" s="5" t="s">
        <v>23</v>
      </c>
      <c r="D8" s="5" t="s">
        <v>24</v>
      </c>
      <c r="E8" s="6">
        <v>28365</v>
      </c>
      <c r="F8" s="7" t="s">
        <v>18</v>
      </c>
      <c r="G8" s="5" t="s">
        <v>25</v>
      </c>
      <c r="H8" s="5" t="s">
        <v>26</v>
      </c>
      <c r="I8" s="5" t="s">
        <v>21</v>
      </c>
      <c r="J8" s="2">
        <v>35000</v>
      </c>
      <c r="M8" s="1" t="s">
        <v>27</v>
      </c>
      <c r="N8" s="2">
        <f>MIN(Basic_Salary)</f>
        <v>15000</v>
      </c>
    </row>
    <row r="9" spans="2:14" x14ac:dyDescent="0.3">
      <c r="B9" s="4">
        <v>150791</v>
      </c>
      <c r="C9" s="5" t="s">
        <v>28</v>
      </c>
      <c r="D9" s="5" t="s">
        <v>29</v>
      </c>
      <c r="E9" s="6">
        <v>23346</v>
      </c>
      <c r="F9" s="7" t="s">
        <v>18</v>
      </c>
      <c r="G9" s="5" t="s">
        <v>19</v>
      </c>
      <c r="H9" s="5" t="s">
        <v>26</v>
      </c>
      <c r="I9" s="5" t="s">
        <v>21</v>
      </c>
      <c r="J9" s="2">
        <v>67000</v>
      </c>
    </row>
    <row r="10" spans="2:14" x14ac:dyDescent="0.3">
      <c r="B10" s="4">
        <v>150940</v>
      </c>
      <c r="C10" s="5" t="s">
        <v>30</v>
      </c>
      <c r="D10" s="5" t="s">
        <v>31</v>
      </c>
      <c r="E10" s="6">
        <v>26906</v>
      </c>
      <c r="F10" s="7" t="s">
        <v>32</v>
      </c>
      <c r="G10" s="5" t="s">
        <v>25</v>
      </c>
      <c r="H10" s="5" t="s">
        <v>33</v>
      </c>
      <c r="I10" s="5" t="s">
        <v>34</v>
      </c>
      <c r="J10" s="2">
        <v>87000</v>
      </c>
      <c r="M10" s="203" t="s">
        <v>35</v>
      </c>
      <c r="N10" s="204"/>
    </row>
    <row r="11" spans="2:14" x14ac:dyDescent="0.3">
      <c r="B11" s="4">
        <v>150777</v>
      </c>
      <c r="C11" s="5" t="s">
        <v>36</v>
      </c>
      <c r="D11" s="5" t="s">
        <v>37</v>
      </c>
      <c r="E11" s="6">
        <v>21123</v>
      </c>
      <c r="F11" s="7" t="s">
        <v>32</v>
      </c>
      <c r="G11" s="5" t="s">
        <v>19</v>
      </c>
      <c r="H11" s="5" t="s">
        <v>38</v>
      </c>
      <c r="I11" s="5" t="s">
        <v>21</v>
      </c>
      <c r="J11" s="2">
        <v>22000</v>
      </c>
      <c r="M11" s="2" t="s">
        <v>39</v>
      </c>
      <c r="N11" s="2">
        <f>COUNTIF(Gender,"Male")</f>
        <v>23</v>
      </c>
    </row>
    <row r="12" spans="2:14" x14ac:dyDescent="0.3">
      <c r="B12" s="4">
        <v>150805</v>
      </c>
      <c r="C12" s="5" t="s">
        <v>28</v>
      </c>
      <c r="D12" s="5" t="s">
        <v>40</v>
      </c>
      <c r="E12" s="6">
        <v>26172</v>
      </c>
      <c r="F12" s="7" t="s">
        <v>32</v>
      </c>
      <c r="G12" s="5" t="s">
        <v>19</v>
      </c>
      <c r="H12" s="5" t="s">
        <v>41</v>
      </c>
      <c r="I12" s="5" t="s">
        <v>21</v>
      </c>
      <c r="J12" s="2">
        <v>91000</v>
      </c>
      <c r="M12" s="2" t="s">
        <v>42</v>
      </c>
      <c r="N12" s="2">
        <f>COUNTIF(Gender,"Female")</f>
        <v>15</v>
      </c>
    </row>
    <row r="13" spans="2:14" x14ac:dyDescent="0.3">
      <c r="B13" s="4">
        <v>150990</v>
      </c>
      <c r="C13" s="5" t="s">
        <v>43</v>
      </c>
      <c r="D13" s="5" t="s">
        <v>44</v>
      </c>
      <c r="E13" s="6">
        <v>36400</v>
      </c>
      <c r="F13" s="7" t="s">
        <v>32</v>
      </c>
      <c r="G13" s="5" t="s">
        <v>19</v>
      </c>
      <c r="H13" s="5" t="s">
        <v>45</v>
      </c>
      <c r="I13" s="5" t="s">
        <v>46</v>
      </c>
      <c r="J13" s="2">
        <v>77000</v>
      </c>
      <c r="M13" s="2" t="s">
        <v>47</v>
      </c>
      <c r="N13" s="8">
        <f>COUNTIF(Region,"North")</f>
        <v>10</v>
      </c>
    </row>
    <row r="14" spans="2:14" x14ac:dyDescent="0.3">
      <c r="B14" s="4">
        <v>150989</v>
      </c>
      <c r="C14" s="5" t="s">
        <v>48</v>
      </c>
      <c r="D14" s="5" t="s">
        <v>44</v>
      </c>
      <c r="E14" s="6">
        <v>33113</v>
      </c>
      <c r="F14" s="7" t="s">
        <v>32</v>
      </c>
      <c r="G14" s="5" t="s">
        <v>19</v>
      </c>
      <c r="H14" s="5" t="s">
        <v>26</v>
      </c>
      <c r="I14" s="5" t="s">
        <v>46</v>
      </c>
      <c r="J14" s="2">
        <v>45000</v>
      </c>
      <c r="M14" s="9" t="s">
        <v>49</v>
      </c>
      <c r="N14" s="10">
        <f>AVERAGEIFS(Basic_Salary,Department,"Sales",Region,"North")</f>
        <v>52000</v>
      </c>
    </row>
    <row r="15" spans="2:14" x14ac:dyDescent="0.3">
      <c r="B15" s="4">
        <v>150881</v>
      </c>
      <c r="C15" s="5" t="s">
        <v>50</v>
      </c>
      <c r="D15" s="5" t="s">
        <v>51</v>
      </c>
      <c r="E15" s="6">
        <v>30337</v>
      </c>
      <c r="F15" s="7" t="s">
        <v>32</v>
      </c>
      <c r="G15" s="5" t="s">
        <v>25</v>
      </c>
      <c r="H15" s="5" t="s">
        <v>26</v>
      </c>
      <c r="I15" s="5" t="s">
        <v>52</v>
      </c>
      <c r="J15" s="2">
        <v>92000</v>
      </c>
      <c r="M15" s="2" t="s">
        <v>53</v>
      </c>
      <c r="N15" s="11">
        <f>_xlfn.MAXIFS(Basic_Salary,Department,"Digital Marketing")</f>
        <v>92000</v>
      </c>
    </row>
    <row r="16" spans="2:14" x14ac:dyDescent="0.3">
      <c r="B16" s="4">
        <v>150814</v>
      </c>
      <c r="C16" s="5" t="s">
        <v>54</v>
      </c>
      <c r="D16" s="5" t="s">
        <v>55</v>
      </c>
      <c r="E16" s="6">
        <v>26246</v>
      </c>
      <c r="F16" s="7" t="s">
        <v>32</v>
      </c>
      <c r="G16" s="5" t="s">
        <v>19</v>
      </c>
      <c r="H16" s="5" t="s">
        <v>33</v>
      </c>
      <c r="I16" s="5" t="s">
        <v>21</v>
      </c>
      <c r="J16" s="2">
        <v>50000</v>
      </c>
      <c r="M16" s="9" t="s">
        <v>56</v>
      </c>
      <c r="N16" s="10">
        <f>_xlfn.MINIFS(Basic_Salary,Department,"South")</f>
        <v>0</v>
      </c>
    </row>
    <row r="17" spans="2:17" x14ac:dyDescent="0.3">
      <c r="B17" s="4">
        <v>150937</v>
      </c>
      <c r="C17" s="5" t="s">
        <v>57</v>
      </c>
      <c r="D17" s="5" t="s">
        <v>58</v>
      </c>
      <c r="E17" s="6">
        <v>24700</v>
      </c>
      <c r="F17" s="7" t="s">
        <v>32</v>
      </c>
      <c r="G17" s="5" t="s">
        <v>19</v>
      </c>
      <c r="H17" s="5" t="s">
        <v>45</v>
      </c>
      <c r="I17" s="5" t="s">
        <v>34</v>
      </c>
      <c r="J17" s="2">
        <v>37000</v>
      </c>
    </row>
    <row r="18" spans="2:17" x14ac:dyDescent="0.3">
      <c r="B18" s="4">
        <v>150888</v>
      </c>
      <c r="C18" s="5" t="s">
        <v>59</v>
      </c>
      <c r="D18" s="5" t="s">
        <v>60</v>
      </c>
      <c r="E18" s="6">
        <v>29221</v>
      </c>
      <c r="F18" s="7" t="s">
        <v>32</v>
      </c>
      <c r="G18" s="5" t="s">
        <v>19</v>
      </c>
      <c r="H18" s="5" t="s">
        <v>45</v>
      </c>
      <c r="I18" s="5" t="s">
        <v>52</v>
      </c>
      <c r="J18" s="2">
        <v>43000</v>
      </c>
      <c r="M18" s="199" t="s">
        <v>113</v>
      </c>
      <c r="N18" s="200"/>
      <c r="O18" s="200"/>
      <c r="P18" s="200"/>
      <c r="Q18" s="201"/>
    </row>
    <row r="19" spans="2:17" x14ac:dyDescent="0.3">
      <c r="B19" s="4">
        <v>150865</v>
      </c>
      <c r="C19" s="5" t="s">
        <v>61</v>
      </c>
      <c r="D19" s="5" t="s">
        <v>60</v>
      </c>
      <c r="E19" s="6">
        <v>31279</v>
      </c>
      <c r="F19" s="7" t="s">
        <v>18</v>
      </c>
      <c r="G19" s="5" t="s">
        <v>19</v>
      </c>
      <c r="H19" s="5" t="s">
        <v>62</v>
      </c>
      <c r="I19" s="5" t="s">
        <v>52</v>
      </c>
      <c r="J19" s="2">
        <v>90000</v>
      </c>
      <c r="M19" s="12" t="s">
        <v>68</v>
      </c>
      <c r="N19" s="12" t="s">
        <v>21</v>
      </c>
      <c r="O19" s="12" t="s">
        <v>34</v>
      </c>
      <c r="P19" s="12" t="s">
        <v>52</v>
      </c>
      <c r="Q19" s="12" t="s">
        <v>46</v>
      </c>
    </row>
    <row r="20" spans="2:17" x14ac:dyDescent="0.3">
      <c r="B20" s="4">
        <v>150858</v>
      </c>
      <c r="C20" s="5" t="s">
        <v>63</v>
      </c>
      <c r="D20" s="5" t="s">
        <v>64</v>
      </c>
      <c r="E20" s="6">
        <v>34846</v>
      </c>
      <c r="F20" s="7" t="s">
        <v>32</v>
      </c>
      <c r="G20" s="5" t="s">
        <v>19</v>
      </c>
      <c r="H20" s="5" t="s">
        <v>65</v>
      </c>
      <c r="I20" s="5" t="s">
        <v>52</v>
      </c>
      <c r="J20" s="2">
        <v>34000</v>
      </c>
      <c r="M20" s="13" t="s">
        <v>20</v>
      </c>
      <c r="N20" s="14">
        <f>COUNTIFS(Department,"FLM",Region,"North")</f>
        <v>1</v>
      </c>
      <c r="O20" s="14">
        <f>COUNTIFS(Department,"FLM",Region,"South")</f>
        <v>1</v>
      </c>
      <c r="P20" s="14">
        <f>COUNTIFS(Department,"FLM",Region,"East")</f>
        <v>0</v>
      </c>
      <c r="Q20" s="14">
        <f>COUNTIFS(Department,"FLM",Region,"Mid West")</f>
        <v>0</v>
      </c>
    </row>
    <row r="21" spans="2:17" ht="15" customHeight="1" x14ac:dyDescent="0.3">
      <c r="B21" s="4">
        <v>150930</v>
      </c>
      <c r="C21" s="5" t="s">
        <v>66</v>
      </c>
      <c r="D21" s="5" t="s">
        <v>67</v>
      </c>
      <c r="E21" s="6">
        <v>37027</v>
      </c>
      <c r="F21" s="7" t="s">
        <v>32</v>
      </c>
      <c r="G21" s="5" t="s">
        <v>19</v>
      </c>
      <c r="H21" s="5" t="s">
        <v>26</v>
      </c>
      <c r="I21" s="5" t="s">
        <v>34</v>
      </c>
      <c r="J21" s="2">
        <v>82000</v>
      </c>
      <c r="M21" s="13" t="s">
        <v>26</v>
      </c>
      <c r="N21" s="14">
        <f>COUNTIFS(Department,"Digital Marketing",Region,"North")</f>
        <v>3</v>
      </c>
      <c r="O21" s="14">
        <f>COUNTIFS(Department,"Digital Marketing",Region,"South")</f>
        <v>1</v>
      </c>
      <c r="P21" s="14">
        <f>COUNTIFS(Department,"Digital Marketing",Region,"East")</f>
        <v>1</v>
      </c>
      <c r="Q21" s="14">
        <f>COUNTIFS(Department,"Digital Marketing",Region,"Mid West")</f>
        <v>1</v>
      </c>
    </row>
    <row r="22" spans="2:17" x14ac:dyDescent="0.3">
      <c r="B22" s="4">
        <v>150894</v>
      </c>
      <c r="C22" s="5" t="s">
        <v>69</v>
      </c>
      <c r="D22" s="5" t="s">
        <v>70</v>
      </c>
      <c r="E22" s="6">
        <v>37124</v>
      </c>
      <c r="F22" s="7" t="s">
        <v>32</v>
      </c>
      <c r="G22" s="5" t="s">
        <v>19</v>
      </c>
      <c r="H22" s="5" t="s">
        <v>33</v>
      </c>
      <c r="I22" s="5" t="s">
        <v>34</v>
      </c>
      <c r="J22" s="2">
        <v>67000</v>
      </c>
      <c r="M22" s="13" t="s">
        <v>33</v>
      </c>
      <c r="N22" s="14">
        <f>COUNTIFS(Department,"Inside Sales",Region,"North")</f>
        <v>1</v>
      </c>
      <c r="O22" s="14">
        <f>COUNTIFS(Department,"Inside Sales",Region,"South")</f>
        <v>2</v>
      </c>
      <c r="P22" s="14">
        <f>COUNTIFS(Department,"Inside Sales",Region,"East")</f>
        <v>2</v>
      </c>
      <c r="Q22" s="14">
        <f>COUNTIFS(Department,"Inside Sales",Region,"Mid West")</f>
        <v>1</v>
      </c>
    </row>
    <row r="23" spans="2:17" x14ac:dyDescent="0.3">
      <c r="B23" s="4">
        <v>150947</v>
      </c>
      <c r="C23" s="5" t="s">
        <v>71</v>
      </c>
      <c r="D23" s="5" t="s">
        <v>72</v>
      </c>
      <c r="E23" s="6">
        <v>33449</v>
      </c>
      <c r="F23" s="7" t="s">
        <v>18</v>
      </c>
      <c r="G23" s="5" t="s">
        <v>19</v>
      </c>
      <c r="H23" s="5" t="s">
        <v>65</v>
      </c>
      <c r="I23" s="5" t="s">
        <v>34</v>
      </c>
      <c r="J23" s="2">
        <v>85000</v>
      </c>
      <c r="M23" s="13" t="s">
        <v>38</v>
      </c>
      <c r="N23" s="14">
        <f>COUNTIFS(Department,"Marketing",Region,"North")</f>
        <v>1</v>
      </c>
      <c r="O23" s="14">
        <f>COUNTIFS(Department,"Marketing",Region,"South")</f>
        <v>1</v>
      </c>
      <c r="P23" s="14">
        <f>COUNTIFS(Department,"Marketing",Region,"East")</f>
        <v>1</v>
      </c>
      <c r="Q23" s="14">
        <f>COUNTIFS(Department,"Marketing",Region,"Mid West")</f>
        <v>1</v>
      </c>
    </row>
    <row r="24" spans="2:17" x14ac:dyDescent="0.3">
      <c r="B24" s="4">
        <v>150905</v>
      </c>
      <c r="C24" s="5" t="s">
        <v>73</v>
      </c>
      <c r="D24" s="5" t="s">
        <v>74</v>
      </c>
      <c r="E24" s="6">
        <v>30819</v>
      </c>
      <c r="F24" s="7" t="s">
        <v>18</v>
      </c>
      <c r="G24" s="5" t="s">
        <v>25</v>
      </c>
      <c r="H24" s="5" t="s">
        <v>20</v>
      </c>
      <c r="I24" s="5" t="s">
        <v>34</v>
      </c>
      <c r="J24" s="2">
        <v>62000</v>
      </c>
      <c r="M24" s="13" t="s">
        <v>41</v>
      </c>
      <c r="N24" s="14">
        <f>COUNTIFS(Department,"Director",Region,"North")</f>
        <v>1</v>
      </c>
      <c r="O24" s="14">
        <f>COUNTIFS(Department,"Director",Region,"South")</f>
        <v>1</v>
      </c>
      <c r="P24" s="14">
        <f>COUNTIFS(Department,"Director",Region,"East")</f>
        <v>0</v>
      </c>
      <c r="Q24" s="14">
        <f>COUNTIFS(Department,"Director",Region,"Mid West")</f>
        <v>0</v>
      </c>
    </row>
    <row r="25" spans="2:17" x14ac:dyDescent="0.3">
      <c r="B25" s="4">
        <v>150995</v>
      </c>
      <c r="C25" s="5" t="s">
        <v>75</v>
      </c>
      <c r="D25" s="5" t="s">
        <v>76</v>
      </c>
      <c r="E25" s="6">
        <v>35330</v>
      </c>
      <c r="F25" s="7" t="s">
        <v>32</v>
      </c>
      <c r="G25" s="5" t="s">
        <v>19</v>
      </c>
      <c r="H25" s="5" t="s">
        <v>33</v>
      </c>
      <c r="I25" s="5" t="s">
        <v>46</v>
      </c>
      <c r="J25" s="2">
        <v>15000</v>
      </c>
      <c r="M25" s="13" t="s">
        <v>45</v>
      </c>
      <c r="N25" s="14">
        <f>COUNTIFS(Department,"Learning &amp; Development",Region,"North")</f>
        <v>0</v>
      </c>
      <c r="O25" s="14">
        <f>COUNTIFS(Department,"Learning &amp; Development",Region,"South")</f>
        <v>1</v>
      </c>
      <c r="P25" s="14">
        <f>COUNTIFS(Department,"Learning &amp; Development",Region,"East")</f>
        <v>1</v>
      </c>
      <c r="Q25" s="14">
        <f>COUNTIFS(Department,"Learning &amp; Development",Region,"Mid West")</f>
        <v>1</v>
      </c>
    </row>
    <row r="26" spans="2:17" x14ac:dyDescent="0.3">
      <c r="B26" s="4">
        <v>150912</v>
      </c>
      <c r="C26" s="5" t="s">
        <v>77</v>
      </c>
      <c r="D26" s="5" t="s">
        <v>78</v>
      </c>
      <c r="E26" s="6">
        <v>37629</v>
      </c>
      <c r="F26" s="7" t="s">
        <v>18</v>
      </c>
      <c r="G26" s="5" t="s">
        <v>19</v>
      </c>
      <c r="H26" s="5" t="s">
        <v>79</v>
      </c>
      <c r="I26" s="5" t="s">
        <v>34</v>
      </c>
      <c r="J26" s="2">
        <v>81000</v>
      </c>
      <c r="M26" s="13" t="s">
        <v>62</v>
      </c>
      <c r="N26" s="14">
        <f>COUNTIFS(Department,"CEO",Region,"North")</f>
        <v>0</v>
      </c>
      <c r="O26" s="14">
        <f>COUNTIFS(Department,"CEO",Region,"South")</f>
        <v>0</v>
      </c>
      <c r="P26" s="14">
        <f>COUNTIFS(Department,"CEO",Region,"East")</f>
        <v>1</v>
      </c>
      <c r="Q26" s="14">
        <f>COUNTIFS(Department,"CEO",Region,"Mid West")</f>
        <v>0</v>
      </c>
    </row>
    <row r="27" spans="2:17" x14ac:dyDescent="0.3">
      <c r="B27" s="4">
        <v>150921</v>
      </c>
      <c r="C27" s="5" t="s">
        <v>80</v>
      </c>
      <c r="D27" s="5" t="s">
        <v>81</v>
      </c>
      <c r="E27" s="6">
        <v>38092</v>
      </c>
      <c r="F27" s="7" t="s">
        <v>32</v>
      </c>
      <c r="G27" s="5" t="s">
        <v>19</v>
      </c>
      <c r="H27" s="5" t="s">
        <v>82</v>
      </c>
      <c r="I27" s="5" t="s">
        <v>34</v>
      </c>
      <c r="J27" s="2">
        <v>19000</v>
      </c>
      <c r="M27" s="13" t="s">
        <v>65</v>
      </c>
      <c r="N27" s="14">
        <f>COUNTIFS(Department,"CCD",Region,"North")</f>
        <v>1</v>
      </c>
      <c r="O27" s="14">
        <f>COUNTIFS(Department,"CCD",Region,"South")</f>
        <v>2</v>
      </c>
      <c r="P27" s="14">
        <f>COUNTIFS(Department,"CCD",Region,"East")</f>
        <v>2</v>
      </c>
      <c r="Q27" s="14">
        <f>COUNTIFS(Department,"CCD",Region,"Mid West")</f>
        <v>0</v>
      </c>
    </row>
    <row r="28" spans="2:17" x14ac:dyDescent="0.3">
      <c r="B28" s="4">
        <v>150851</v>
      </c>
      <c r="C28" s="5" t="s">
        <v>83</v>
      </c>
      <c r="D28" s="5" t="s">
        <v>84</v>
      </c>
      <c r="E28" s="6">
        <v>29368</v>
      </c>
      <c r="F28" s="7" t="s">
        <v>32</v>
      </c>
      <c r="G28" s="5" t="s">
        <v>25</v>
      </c>
      <c r="H28" s="5" t="s">
        <v>33</v>
      </c>
      <c r="I28" s="5" t="s">
        <v>52</v>
      </c>
      <c r="J28" s="2">
        <v>75000</v>
      </c>
      <c r="M28" s="13" t="s">
        <v>79</v>
      </c>
      <c r="N28" s="14">
        <f>COUNTIFS(Department,"Operations",Region,"North")</f>
        <v>0</v>
      </c>
      <c r="O28" s="14">
        <f>COUNTIFS(Department,"Operations",Region,"South")</f>
        <v>2</v>
      </c>
      <c r="P28" s="14">
        <f>COUNTIFS(Department,"Operations",Region,"East")</f>
        <v>0</v>
      </c>
      <c r="Q28" s="14">
        <f>COUNTIFS(Department,"Operations",Region,"Mid West")</f>
        <v>0</v>
      </c>
    </row>
    <row r="29" spans="2:17" x14ac:dyDescent="0.3">
      <c r="B29" s="4">
        <v>150867</v>
      </c>
      <c r="C29" s="5" t="s">
        <v>85</v>
      </c>
      <c r="D29" s="5" t="s">
        <v>86</v>
      </c>
      <c r="E29" s="6">
        <v>29028</v>
      </c>
      <c r="F29" s="7" t="s">
        <v>18</v>
      </c>
      <c r="G29" s="5" t="s">
        <v>25</v>
      </c>
      <c r="H29" s="5" t="s">
        <v>82</v>
      </c>
      <c r="I29" s="5" t="s">
        <v>52</v>
      </c>
      <c r="J29" s="2">
        <v>49000</v>
      </c>
      <c r="M29" s="13" t="s">
        <v>82</v>
      </c>
      <c r="N29" s="14">
        <f>COUNTIFS(Department,"Finance",Region,"North")</f>
        <v>1</v>
      </c>
      <c r="O29" s="14">
        <f>COUNTIFS(Department,"Finance",Region,"South")</f>
        <v>1</v>
      </c>
      <c r="P29" s="14">
        <f>COUNTIFS(Department,"Finance",Region,"East")</f>
        <v>1</v>
      </c>
      <c r="Q29" s="14">
        <f>COUNTIFS(Department,"Finance",Region,"Mid West")</f>
        <v>1</v>
      </c>
    </row>
    <row r="30" spans="2:17" x14ac:dyDescent="0.3">
      <c r="B30" s="4">
        <v>150899</v>
      </c>
      <c r="C30" s="5" t="s">
        <v>87</v>
      </c>
      <c r="D30" s="5" t="s">
        <v>88</v>
      </c>
      <c r="E30" s="6">
        <v>37400</v>
      </c>
      <c r="F30" s="7" t="s">
        <v>32</v>
      </c>
      <c r="G30" s="5" t="s">
        <v>19</v>
      </c>
      <c r="H30" s="5" t="s">
        <v>65</v>
      </c>
      <c r="I30" s="5" t="s">
        <v>34</v>
      </c>
      <c r="J30" s="2">
        <v>50000</v>
      </c>
      <c r="M30" s="13" t="s">
        <v>93</v>
      </c>
      <c r="N30" s="14">
        <f>COUNTIFS(Department,"Sales",Region,"North")</f>
        <v>1</v>
      </c>
      <c r="O30" s="14">
        <f>COUNTIFS(Department,"Sales",Region,"South")</f>
        <v>2</v>
      </c>
      <c r="P30" s="14">
        <f>COUNTIFS(Department,"Sales",Region,"East")</f>
        <v>0</v>
      </c>
      <c r="Q30" s="14">
        <f>COUNTIFS(Department,"Sales",Region,"Mid West")</f>
        <v>0</v>
      </c>
    </row>
    <row r="31" spans="2:17" x14ac:dyDescent="0.3">
      <c r="B31" s="4">
        <v>150975</v>
      </c>
      <c r="C31" s="5" t="s">
        <v>89</v>
      </c>
      <c r="D31" s="5" t="s">
        <v>90</v>
      </c>
      <c r="E31" s="6">
        <v>31478</v>
      </c>
      <c r="F31" s="7" t="s">
        <v>32</v>
      </c>
      <c r="G31" s="5" t="s">
        <v>19</v>
      </c>
      <c r="H31" s="5" t="s">
        <v>82</v>
      </c>
      <c r="I31" s="5" t="s">
        <v>46</v>
      </c>
      <c r="J31" s="2">
        <v>83000</v>
      </c>
    </row>
    <row r="32" spans="2:17" x14ac:dyDescent="0.3">
      <c r="B32" s="4">
        <v>150901</v>
      </c>
      <c r="C32" s="5" t="s">
        <v>91</v>
      </c>
      <c r="D32" s="5" t="s">
        <v>92</v>
      </c>
      <c r="E32" s="6">
        <v>32946</v>
      </c>
      <c r="F32" s="7" t="s">
        <v>18</v>
      </c>
      <c r="G32" s="5" t="s">
        <v>19</v>
      </c>
      <c r="H32" s="5" t="s">
        <v>93</v>
      </c>
      <c r="I32" s="5" t="s">
        <v>34</v>
      </c>
      <c r="J32" s="2">
        <v>53000</v>
      </c>
      <c r="M32" s="199" t="s">
        <v>114</v>
      </c>
      <c r="N32" s="200"/>
      <c r="O32" s="200"/>
      <c r="P32" s="200"/>
      <c r="Q32" s="201"/>
    </row>
    <row r="33" spans="2:17" x14ac:dyDescent="0.3">
      <c r="B33" s="4">
        <v>150968</v>
      </c>
      <c r="C33" s="5" t="s">
        <v>94</v>
      </c>
      <c r="D33" s="5" t="s">
        <v>95</v>
      </c>
      <c r="E33" s="6">
        <v>37208</v>
      </c>
      <c r="F33" s="7" t="s">
        <v>32</v>
      </c>
      <c r="G33" s="5" t="s">
        <v>19</v>
      </c>
      <c r="H33" s="5" t="s">
        <v>79</v>
      </c>
      <c r="I33" s="5" t="s">
        <v>34</v>
      </c>
      <c r="J33" s="2">
        <v>65000</v>
      </c>
      <c r="M33" s="12" t="s">
        <v>68</v>
      </c>
      <c r="N33" s="12" t="s">
        <v>21</v>
      </c>
      <c r="O33" s="12" t="s">
        <v>34</v>
      </c>
      <c r="P33" s="12">
        <f>SUMIFS(Basic_Salary,Department,"Finance",Region,"North")</f>
        <v>85000</v>
      </c>
      <c r="Q33" s="12" t="s">
        <v>46</v>
      </c>
    </row>
    <row r="34" spans="2:17" x14ac:dyDescent="0.3">
      <c r="B34" s="4">
        <v>150773</v>
      </c>
      <c r="C34" s="5" t="s">
        <v>96</v>
      </c>
      <c r="D34" s="5" t="s">
        <v>97</v>
      </c>
      <c r="E34" s="6">
        <v>26860</v>
      </c>
      <c r="F34" s="7" t="s">
        <v>32</v>
      </c>
      <c r="G34" s="5" t="s">
        <v>19</v>
      </c>
      <c r="H34" s="5" t="s">
        <v>82</v>
      </c>
      <c r="I34" s="5" t="s">
        <v>21</v>
      </c>
      <c r="J34" s="2">
        <v>85000</v>
      </c>
      <c r="M34" s="13" t="s">
        <v>20</v>
      </c>
      <c r="N34" s="14">
        <f>SUMIFS(Basic_Salary,Department,"FLM",Region,"North")</f>
        <v>48000</v>
      </c>
      <c r="O34" s="14">
        <f>SUMIFS(Basic_Salary,Department,"FLM",Region,"South")</f>
        <v>62000</v>
      </c>
      <c r="P34" s="14">
        <f>SUMIFS(Basic_Salary,Department,"FLM",Region,"East")</f>
        <v>0</v>
      </c>
      <c r="Q34" s="14">
        <f>SUMIFS(Basic_Salary,Department,"FLM",Region,"Mid West")</f>
        <v>0</v>
      </c>
    </row>
    <row r="35" spans="2:17" x14ac:dyDescent="0.3">
      <c r="B35" s="4">
        <v>150840</v>
      </c>
      <c r="C35" s="5" t="s">
        <v>66</v>
      </c>
      <c r="D35" s="5" t="s">
        <v>98</v>
      </c>
      <c r="E35" s="6">
        <v>23136</v>
      </c>
      <c r="F35" s="7" t="s">
        <v>18</v>
      </c>
      <c r="G35" s="5" t="s">
        <v>19</v>
      </c>
      <c r="H35" s="5" t="s">
        <v>33</v>
      </c>
      <c r="I35" s="5" t="s">
        <v>52</v>
      </c>
      <c r="J35" s="2">
        <v>20000</v>
      </c>
      <c r="M35" s="13" t="s">
        <v>26</v>
      </c>
      <c r="N35" s="14">
        <f>SUMIFS(Basic_Salary,Department,"Digital Marketing",Region,"North")</f>
        <v>183000</v>
      </c>
      <c r="O35" s="14">
        <f>SUMIFS(Basic_Salary,Department,"Digital Marketing",Region,"South")</f>
        <v>82000</v>
      </c>
      <c r="P35" s="14">
        <f>SUMIFS(Basic_Salary,Department,"Digital Marketing",Region,"East")</f>
        <v>92000</v>
      </c>
      <c r="Q35" s="14">
        <f>SUMIFS(Basic_Salary,Department,"Digital Marketing",Region,"Mid West")</f>
        <v>45000</v>
      </c>
    </row>
    <row r="36" spans="2:17" x14ac:dyDescent="0.3">
      <c r="B36" s="4">
        <v>150850</v>
      </c>
      <c r="C36" s="5" t="s">
        <v>57</v>
      </c>
      <c r="D36" s="5" t="s">
        <v>99</v>
      </c>
      <c r="E36" s="6">
        <v>32027</v>
      </c>
      <c r="F36" s="7" t="s">
        <v>32</v>
      </c>
      <c r="G36" s="5" t="s">
        <v>19</v>
      </c>
      <c r="H36" s="5" t="s">
        <v>65</v>
      </c>
      <c r="I36" s="5" t="s">
        <v>52</v>
      </c>
      <c r="J36" s="2">
        <v>47000</v>
      </c>
      <c r="M36" s="13" t="s">
        <v>33</v>
      </c>
      <c r="N36" s="14">
        <f>SUMIFS(Basic_Salary,Department,"Inside Sales",Region,"North")</f>
        <v>50000</v>
      </c>
      <c r="O36" s="14">
        <f>SUMIFS(Basic_Salary,Department,"Inside Sales",Region,"South")</f>
        <v>154000</v>
      </c>
      <c r="P36" s="14">
        <f>SUMIFS(Basic_Salary,Department,"Inside Sales",Region,"East")</f>
        <v>95000</v>
      </c>
      <c r="Q36" s="14">
        <f>SUMIFS(Basic_Salary,Department,"Inside Sales",Region,"Mid West")</f>
        <v>15000</v>
      </c>
    </row>
    <row r="37" spans="2:17" x14ac:dyDescent="0.3">
      <c r="B37" s="4">
        <v>150962</v>
      </c>
      <c r="C37" s="5" t="s">
        <v>100</v>
      </c>
      <c r="D37" s="5" t="s">
        <v>101</v>
      </c>
      <c r="E37" s="6">
        <v>37773</v>
      </c>
      <c r="F37" s="7" t="s">
        <v>18</v>
      </c>
      <c r="G37" s="5" t="s">
        <v>19</v>
      </c>
      <c r="H37" s="5" t="s">
        <v>41</v>
      </c>
      <c r="I37" s="5" t="s">
        <v>34</v>
      </c>
      <c r="J37" s="2">
        <v>87000</v>
      </c>
      <c r="M37" s="13" t="s">
        <v>38</v>
      </c>
      <c r="N37" s="14">
        <f>SUMIFS(Basic_Salary,Department,"Marketing",Region,"North")</f>
        <v>22000</v>
      </c>
      <c r="O37" s="14">
        <f>SUMIFS(Basic_Salary,Department,"Marketing",Region,"South")</f>
        <v>58000</v>
      </c>
      <c r="P37" s="14">
        <f>SUMIFS(Basic_Salary,Department,"Marketing",Region,"East")</f>
        <v>27000</v>
      </c>
      <c r="Q37" s="14">
        <f>SUMIFS(Basic_Salary,Department,"Marketing",Region,"Mid West")</f>
        <v>47000</v>
      </c>
    </row>
    <row r="38" spans="2:17" x14ac:dyDescent="0.3">
      <c r="B38" s="4">
        <v>150954</v>
      </c>
      <c r="C38" s="5" t="s">
        <v>102</v>
      </c>
      <c r="D38" s="5" t="s">
        <v>101</v>
      </c>
      <c r="E38" s="6">
        <v>35495</v>
      </c>
      <c r="F38" s="7" t="s">
        <v>18</v>
      </c>
      <c r="G38" s="5" t="s">
        <v>19</v>
      </c>
      <c r="H38" s="5" t="s">
        <v>93</v>
      </c>
      <c r="I38" s="5" t="s">
        <v>34</v>
      </c>
      <c r="J38" s="2">
        <v>57000</v>
      </c>
      <c r="M38" s="13" t="s">
        <v>41</v>
      </c>
      <c r="N38" s="14">
        <f>SUMIFS(Basic_Salary,Department,"Director",Region,"North")</f>
        <v>91000</v>
      </c>
      <c r="O38" s="14">
        <f>SUMIFS(Basic_Salary,Department,"Director",Region,"South")</f>
        <v>87000</v>
      </c>
      <c r="P38" s="14">
        <f>SUMIFS(Basic_Salary,Department,"Director",Region,"East")</f>
        <v>0</v>
      </c>
      <c r="Q38" s="14">
        <f>SUMIFS(Basic_Salary,Department,"Director",Region,"Mid West")</f>
        <v>0</v>
      </c>
    </row>
    <row r="39" spans="2:17" x14ac:dyDescent="0.3">
      <c r="B39" s="4">
        <v>150874</v>
      </c>
      <c r="C39" s="5" t="s">
        <v>103</v>
      </c>
      <c r="D39" s="5" t="s">
        <v>101</v>
      </c>
      <c r="E39" s="6">
        <v>37890</v>
      </c>
      <c r="F39" s="7" t="s">
        <v>18</v>
      </c>
      <c r="G39" s="5" t="s">
        <v>19</v>
      </c>
      <c r="H39" s="5" t="s">
        <v>38</v>
      </c>
      <c r="I39" s="5" t="s">
        <v>52</v>
      </c>
      <c r="J39" s="2">
        <v>27000</v>
      </c>
      <c r="M39" s="13" t="s">
        <v>45</v>
      </c>
      <c r="N39" s="14">
        <f>SUMIFS(Basic_Salary,Department,"Learning &amp; Development",Region,"North")</f>
        <v>0</v>
      </c>
      <c r="O39" s="14">
        <f>SUMIFS(Basic_Salary,Department,"Learning &amp; Development",Region,"South")</f>
        <v>37000</v>
      </c>
      <c r="P39" s="14">
        <f>SUMIFS(Basic_Salary,Department,"Learning &amp; Development",Region,"East")</f>
        <v>43000</v>
      </c>
      <c r="Q39" s="14">
        <f>SUMIFS(Basic_Salary,Department,"Learning &amp; Development",Region,"Mid West")</f>
        <v>77000</v>
      </c>
    </row>
    <row r="40" spans="2:17" x14ac:dyDescent="0.3">
      <c r="B40" s="4">
        <v>150798</v>
      </c>
      <c r="C40" s="5" t="s">
        <v>104</v>
      </c>
      <c r="D40" s="5" t="s">
        <v>101</v>
      </c>
      <c r="E40" s="6">
        <v>28276</v>
      </c>
      <c r="F40" s="7" t="s">
        <v>18</v>
      </c>
      <c r="G40" s="5" t="s">
        <v>19</v>
      </c>
      <c r="H40" s="5" t="s">
        <v>26</v>
      </c>
      <c r="I40" s="5" t="s">
        <v>21</v>
      </c>
      <c r="J40" s="2">
        <v>81000</v>
      </c>
      <c r="M40" s="13" t="s">
        <v>62</v>
      </c>
      <c r="N40" s="14">
        <f>SUMIFS(Basic_Salary,Department,"CEO",Region,"North")</f>
        <v>0</v>
      </c>
      <c r="O40" s="14">
        <f>SUMIFS(Basic_Salary,Department,"CEO",Region,"South")</f>
        <v>0</v>
      </c>
      <c r="P40" s="14">
        <f>SUMIFS(Basic_Salary,Department,"CEO",Region,"East")</f>
        <v>90000</v>
      </c>
      <c r="Q40" s="14">
        <f>SUMIFS(Basic_Salary,Department,"CEO",Region,"Mid West")</f>
        <v>0</v>
      </c>
    </row>
    <row r="41" spans="2:17" x14ac:dyDescent="0.3">
      <c r="B41" s="4">
        <v>150830</v>
      </c>
      <c r="C41" s="5" t="s">
        <v>105</v>
      </c>
      <c r="D41" s="5" t="s">
        <v>106</v>
      </c>
      <c r="E41" s="6">
        <v>29037</v>
      </c>
      <c r="F41" s="7" t="s">
        <v>18</v>
      </c>
      <c r="G41" s="5" t="s">
        <v>19</v>
      </c>
      <c r="H41" s="5" t="s">
        <v>93</v>
      </c>
      <c r="I41" s="5" t="s">
        <v>21</v>
      </c>
      <c r="J41" s="2">
        <v>52000</v>
      </c>
      <c r="M41" s="13" t="s">
        <v>65</v>
      </c>
      <c r="N41" s="14">
        <f>SUMIFS(Basic_Salary,Department,"CCD",Region,"North")</f>
        <v>26000</v>
      </c>
      <c r="O41" s="14">
        <f>SUMIFS(Basic_Salary,Department,"CCD",Region,"South")</f>
        <v>135000</v>
      </c>
      <c r="P41" s="14">
        <f>SUMIFS(Basic_Salary,Department,"CCD",Region,"East")</f>
        <v>81000</v>
      </c>
      <c r="Q41" s="14">
        <f>SUMIFS(Basic_Salary,Department,"CCD",Region,"Mid West")</f>
        <v>0</v>
      </c>
    </row>
    <row r="42" spans="2:17" x14ac:dyDescent="0.3">
      <c r="B42" s="4">
        <v>150929</v>
      </c>
      <c r="C42" s="5" t="s">
        <v>107</v>
      </c>
      <c r="D42" s="5" t="s">
        <v>108</v>
      </c>
      <c r="E42" s="6">
        <v>26739</v>
      </c>
      <c r="F42" s="7" t="s">
        <v>32</v>
      </c>
      <c r="G42" s="5" t="s">
        <v>19</v>
      </c>
      <c r="H42" s="5" t="s">
        <v>38</v>
      </c>
      <c r="I42" s="5" t="s">
        <v>34</v>
      </c>
      <c r="J42" s="2">
        <v>58000</v>
      </c>
      <c r="M42" s="13" t="s">
        <v>79</v>
      </c>
      <c r="N42" s="14">
        <f>SUMIFS(Basic_Salary,Department,"Operations",Region,"North")</f>
        <v>0</v>
      </c>
      <c r="O42" s="14">
        <f>SUMIFS(Basic_Salary,Department,"Operations",Region,"South")</f>
        <v>146000</v>
      </c>
      <c r="P42" s="14">
        <f>SUMIFS(Basic_Salary,Department,"Operations",Region,"East")</f>
        <v>0</v>
      </c>
      <c r="Q42" s="14">
        <f>SUMIFS(Basic_Salary,Department,"Operations",Region,"Mid West")</f>
        <v>0</v>
      </c>
    </row>
    <row r="43" spans="2:17" x14ac:dyDescent="0.3">
      <c r="B43" s="4">
        <v>150982</v>
      </c>
      <c r="C43" s="5" t="s">
        <v>109</v>
      </c>
      <c r="D43" s="5" t="s">
        <v>110</v>
      </c>
      <c r="E43" s="6">
        <v>35574</v>
      </c>
      <c r="F43" s="7" t="s">
        <v>32</v>
      </c>
      <c r="G43" s="5" t="s">
        <v>19</v>
      </c>
      <c r="H43" s="5" t="s">
        <v>38</v>
      </c>
      <c r="I43" s="5" t="s">
        <v>46</v>
      </c>
      <c r="J43" s="2">
        <v>47000</v>
      </c>
      <c r="M43" s="13" t="s">
        <v>82</v>
      </c>
      <c r="N43" s="14">
        <f>SUMIFS(Basic_Salary,Department,"Finance",Region,"North")</f>
        <v>85000</v>
      </c>
      <c r="O43" s="14">
        <f>SUMIFS(Basic_Salary,Department,"Finance",Region,"South")</f>
        <v>19000</v>
      </c>
      <c r="P43" s="14">
        <f>SUMIFS(Basic_Salary,Department,"Finance",Region,"East")</f>
        <v>49000</v>
      </c>
      <c r="Q43" s="14">
        <f>SUMIFS(Basic_Salary,Department,"Finance",Region,"Mid West")</f>
        <v>83000</v>
      </c>
    </row>
    <row r="44" spans="2:17" x14ac:dyDescent="0.3">
      <c r="B44" s="4">
        <v>150821</v>
      </c>
      <c r="C44" s="5" t="s">
        <v>111</v>
      </c>
      <c r="D44" s="5" t="s">
        <v>112</v>
      </c>
      <c r="E44" s="6">
        <v>29966</v>
      </c>
      <c r="F44" s="7" t="s">
        <v>32</v>
      </c>
      <c r="G44" s="5" t="s">
        <v>25</v>
      </c>
      <c r="H44" s="5" t="s">
        <v>65</v>
      </c>
      <c r="I44" s="5" t="s">
        <v>21</v>
      </c>
      <c r="J44" s="2">
        <v>26000</v>
      </c>
      <c r="M44" s="13" t="s">
        <v>93</v>
      </c>
      <c r="N44" s="14">
        <f>SUMIFS(Basic_Salary,Department,"Sales",Region,"North")</f>
        <v>52000</v>
      </c>
      <c r="O44" s="14">
        <f>SUMIFS(Basic_Salary,Department,"Sales",Region,"South")</f>
        <v>110000</v>
      </c>
      <c r="P44" s="14">
        <f>SUMIFS(Basic_Salary,Department,"Sales",Region,"East")</f>
        <v>0</v>
      </c>
      <c r="Q44" s="14">
        <f>SUMIFS(Basic_Salary,Department,"Sales",Region,"Mid West")</f>
        <v>0</v>
      </c>
    </row>
  </sheetData>
  <mergeCells count="6">
    <mergeCell ref="M32:Q32"/>
    <mergeCell ref="M18:Q18"/>
    <mergeCell ref="C2:J2"/>
    <mergeCell ref="M2:N2"/>
    <mergeCell ref="C3:J3"/>
    <mergeCell ref="M10:N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224F0-D744-41E2-A002-C2A57F1D78B9}">
  <dimension ref="B1:K1000"/>
  <sheetViews>
    <sheetView workbookViewId="0">
      <selection activeCell="G3" sqref="G3"/>
    </sheetView>
  </sheetViews>
  <sheetFormatPr defaultColWidth="14.44140625" defaultRowHeight="14.4" x14ac:dyDescent="0.3"/>
  <cols>
    <col min="1" max="1" width="8.6640625" customWidth="1"/>
    <col min="2" max="2" width="19.5546875" customWidth="1"/>
    <col min="3" max="3" width="10.6640625" customWidth="1"/>
    <col min="4" max="4" width="8.6640625" customWidth="1"/>
    <col min="5" max="5" width="16.33203125" customWidth="1"/>
    <col min="6" max="6" width="16.6640625" customWidth="1"/>
    <col min="7" max="7" width="10.33203125" bestFit="1" customWidth="1"/>
    <col min="8" max="8" width="12" customWidth="1"/>
    <col min="9" max="9" width="31.33203125" customWidth="1"/>
    <col min="10" max="10" width="8.6640625" customWidth="1"/>
    <col min="11" max="11" width="15.44140625" bestFit="1" customWidth="1"/>
    <col min="12" max="26" width="8.6640625" customWidth="1"/>
  </cols>
  <sheetData>
    <row r="1" spans="2:11" ht="14.25" customHeight="1" x14ac:dyDescent="0.3"/>
    <row r="2" spans="2:11" ht="14.25" customHeight="1" x14ac:dyDescent="0.3"/>
    <row r="3" spans="2:11" ht="14.25" customHeight="1" x14ac:dyDescent="0.3">
      <c r="B3" s="74" t="s">
        <v>270</v>
      </c>
      <c r="C3" s="77">
        <f ca="1">TODAY()</f>
        <v>45864</v>
      </c>
      <c r="F3" s="74" t="s">
        <v>269</v>
      </c>
      <c r="G3" s="77"/>
    </row>
    <row r="4" spans="2:11" ht="14.25" customHeight="1" x14ac:dyDescent="0.3">
      <c r="B4" s="74" t="s">
        <v>268</v>
      </c>
      <c r="C4" s="76">
        <f ca="1">NOW()</f>
        <v>45864.622871874999</v>
      </c>
      <c r="F4" s="74" t="s">
        <v>267</v>
      </c>
      <c r="G4" s="76"/>
    </row>
    <row r="5" spans="2:11" ht="14.25" customHeight="1" x14ac:dyDescent="0.3">
      <c r="K5" s="75"/>
    </row>
    <row r="6" spans="2:11" ht="14.25" customHeight="1" x14ac:dyDescent="0.3">
      <c r="B6" s="74" t="s">
        <v>266</v>
      </c>
      <c r="C6" s="73" t="s">
        <v>9</v>
      </c>
      <c r="D6" s="73" t="s">
        <v>265</v>
      </c>
      <c r="E6" s="73" t="s">
        <v>264</v>
      </c>
      <c r="F6" s="73" t="s">
        <v>263</v>
      </c>
      <c r="G6" s="73" t="s">
        <v>262</v>
      </c>
      <c r="H6" s="73" t="s">
        <v>261</v>
      </c>
      <c r="I6" s="73" t="s">
        <v>260</v>
      </c>
    </row>
    <row r="7" spans="2:11" ht="14.25" customHeight="1" x14ac:dyDescent="0.3">
      <c r="B7" s="5" t="s">
        <v>259</v>
      </c>
      <c r="C7" s="6">
        <v>36478</v>
      </c>
      <c r="D7" s="70">
        <f t="shared" ref="D7:D18" si="0">DAY(C7)</f>
        <v>14</v>
      </c>
      <c r="E7" s="70">
        <f t="shared" ref="E7:E18" si="1">MONTH(C7)</f>
        <v>11</v>
      </c>
      <c r="F7" s="70" t="str">
        <f t="shared" ref="F7:F18" si="2">TEXT(C7,"mmmm")</f>
        <v>November</v>
      </c>
      <c r="G7" s="70">
        <f t="shared" ref="G7:G18" si="3">YEAR(C7)</f>
        <v>1999</v>
      </c>
      <c r="H7" s="71">
        <f t="shared" ref="H7:H18" ca="1" si="4">YEAR(C$3)-YEAR(C7)-(TEXT(C$3,"mmdd")&lt;TEXT(C7,"mmdd"))</f>
        <v>25</v>
      </c>
      <c r="I7" s="70" t="str">
        <f t="shared" ref="I7:I18" ca="1" si="5">DATEDIF(C7, C$3, "y") &amp; " Years, " &amp; DATEDIF(C7, C$3, "ym") &amp; " Months, " &amp; DATEDIF(C7, C$3, "md") &amp; " Days"</f>
        <v>25 Years, 8 Months, 12 Days</v>
      </c>
    </row>
    <row r="8" spans="2:11" ht="14.25" customHeight="1" x14ac:dyDescent="0.3">
      <c r="B8" s="5" t="s">
        <v>258</v>
      </c>
      <c r="C8" s="6">
        <v>37027</v>
      </c>
      <c r="D8" s="70">
        <f t="shared" si="0"/>
        <v>16</v>
      </c>
      <c r="E8" s="70">
        <f t="shared" si="1"/>
        <v>5</v>
      </c>
      <c r="F8" s="70" t="str">
        <f t="shared" si="2"/>
        <v>May</v>
      </c>
      <c r="G8" s="70">
        <f t="shared" si="3"/>
        <v>2001</v>
      </c>
      <c r="H8" s="71">
        <f t="shared" ca="1" si="4"/>
        <v>24</v>
      </c>
      <c r="I8" s="70" t="str">
        <f t="shared" ca="1" si="5"/>
        <v>24 Years, 2 Months, 10 Days</v>
      </c>
      <c r="K8" s="72"/>
    </row>
    <row r="9" spans="2:11" ht="14.25" customHeight="1" x14ac:dyDescent="0.3">
      <c r="B9" s="5" t="s">
        <v>257</v>
      </c>
      <c r="C9" s="6">
        <v>37946</v>
      </c>
      <c r="D9" s="70">
        <f t="shared" si="0"/>
        <v>21</v>
      </c>
      <c r="E9" s="70">
        <f t="shared" si="1"/>
        <v>11</v>
      </c>
      <c r="F9" s="70" t="str">
        <f t="shared" si="2"/>
        <v>November</v>
      </c>
      <c r="G9" s="70">
        <f t="shared" si="3"/>
        <v>2003</v>
      </c>
      <c r="H9" s="71">
        <f t="shared" ca="1" si="4"/>
        <v>21</v>
      </c>
      <c r="I9" s="70" t="str">
        <f t="shared" ca="1" si="5"/>
        <v>21 Years, 8 Months, 5 Days</v>
      </c>
    </row>
    <row r="10" spans="2:11" ht="14.25" customHeight="1" x14ac:dyDescent="0.3">
      <c r="B10" s="5" t="s">
        <v>256</v>
      </c>
      <c r="C10" s="6">
        <v>38113</v>
      </c>
      <c r="D10" s="70">
        <f t="shared" si="0"/>
        <v>6</v>
      </c>
      <c r="E10" s="70">
        <f t="shared" si="1"/>
        <v>5</v>
      </c>
      <c r="F10" s="70" t="str">
        <f t="shared" si="2"/>
        <v>May</v>
      </c>
      <c r="G10" s="70">
        <f t="shared" si="3"/>
        <v>2004</v>
      </c>
      <c r="H10" s="71">
        <f t="shared" ca="1" si="4"/>
        <v>21</v>
      </c>
      <c r="I10" s="70" t="str">
        <f t="shared" ca="1" si="5"/>
        <v>21 Years, 2 Months, 20 Days</v>
      </c>
    </row>
    <row r="11" spans="2:11" ht="14.25" customHeight="1" x14ac:dyDescent="0.3">
      <c r="B11" s="5" t="s">
        <v>255</v>
      </c>
      <c r="C11" s="6">
        <v>38449</v>
      </c>
      <c r="D11" s="70">
        <f t="shared" si="0"/>
        <v>7</v>
      </c>
      <c r="E11" s="70">
        <f t="shared" si="1"/>
        <v>4</v>
      </c>
      <c r="F11" s="70" t="str">
        <f t="shared" si="2"/>
        <v>April</v>
      </c>
      <c r="G11" s="70">
        <f t="shared" si="3"/>
        <v>2005</v>
      </c>
      <c r="H11" s="71">
        <f t="shared" ca="1" si="4"/>
        <v>20</v>
      </c>
      <c r="I11" s="70" t="str">
        <f t="shared" ca="1" si="5"/>
        <v>20 Years, 3 Months, 19 Days</v>
      </c>
    </row>
    <row r="12" spans="2:11" ht="14.25" customHeight="1" x14ac:dyDescent="0.3">
      <c r="B12" s="5" t="s">
        <v>254</v>
      </c>
      <c r="C12" s="6">
        <v>39846</v>
      </c>
      <c r="D12" s="70">
        <f t="shared" si="0"/>
        <v>2</v>
      </c>
      <c r="E12" s="70">
        <f t="shared" si="1"/>
        <v>2</v>
      </c>
      <c r="F12" s="70" t="str">
        <f t="shared" si="2"/>
        <v>February</v>
      </c>
      <c r="G12" s="70">
        <f t="shared" si="3"/>
        <v>2009</v>
      </c>
      <c r="H12" s="71">
        <f t="shared" ca="1" si="4"/>
        <v>16</v>
      </c>
      <c r="I12" s="70" t="str">
        <f t="shared" ca="1" si="5"/>
        <v>16 Years, 5 Months, 24 Days</v>
      </c>
    </row>
    <row r="13" spans="2:11" ht="14.25" customHeight="1" x14ac:dyDescent="0.3">
      <c r="B13" s="5" t="s">
        <v>253</v>
      </c>
      <c r="C13" s="6">
        <v>40330</v>
      </c>
      <c r="D13" s="70">
        <f t="shared" si="0"/>
        <v>1</v>
      </c>
      <c r="E13" s="70">
        <f t="shared" si="1"/>
        <v>6</v>
      </c>
      <c r="F13" s="70" t="str">
        <f t="shared" si="2"/>
        <v>June</v>
      </c>
      <c r="G13" s="70">
        <f t="shared" si="3"/>
        <v>2010</v>
      </c>
      <c r="H13" s="71">
        <f t="shared" ca="1" si="4"/>
        <v>15</v>
      </c>
      <c r="I13" s="70" t="str">
        <f t="shared" ca="1" si="5"/>
        <v>15 Years, 1 Months, 25 Days</v>
      </c>
    </row>
    <row r="14" spans="2:11" ht="14.25" customHeight="1" x14ac:dyDescent="0.3">
      <c r="B14" s="5" t="s">
        <v>252</v>
      </c>
      <c r="C14" s="6">
        <v>40495</v>
      </c>
      <c r="D14" s="70">
        <f t="shared" si="0"/>
        <v>13</v>
      </c>
      <c r="E14" s="70">
        <f t="shared" si="1"/>
        <v>11</v>
      </c>
      <c r="F14" s="70" t="str">
        <f t="shared" si="2"/>
        <v>November</v>
      </c>
      <c r="G14" s="70">
        <f t="shared" si="3"/>
        <v>2010</v>
      </c>
      <c r="H14" s="71">
        <f t="shared" ca="1" si="4"/>
        <v>14</v>
      </c>
      <c r="I14" s="70" t="str">
        <f t="shared" ca="1" si="5"/>
        <v>14 Years, 8 Months, 13 Days</v>
      </c>
    </row>
    <row r="15" spans="2:11" ht="14.25" customHeight="1" x14ac:dyDescent="0.3">
      <c r="B15" s="5" t="s">
        <v>251</v>
      </c>
      <c r="C15" s="6">
        <v>40574</v>
      </c>
      <c r="D15" s="70">
        <f t="shared" si="0"/>
        <v>31</v>
      </c>
      <c r="E15" s="70">
        <f t="shared" si="1"/>
        <v>1</v>
      </c>
      <c r="F15" s="70" t="str">
        <f t="shared" si="2"/>
        <v>January</v>
      </c>
      <c r="G15" s="70">
        <f t="shared" si="3"/>
        <v>2011</v>
      </c>
      <c r="H15" s="71">
        <f t="shared" ca="1" si="4"/>
        <v>14</v>
      </c>
      <c r="I15" s="70" t="str">
        <f t="shared" ca="1" si="5"/>
        <v>14 Years, 5 Months, 25 Days</v>
      </c>
    </row>
    <row r="16" spans="2:11" ht="14.25" customHeight="1" x14ac:dyDescent="0.3">
      <c r="B16" s="5" t="s">
        <v>250</v>
      </c>
      <c r="C16" s="6">
        <v>41400</v>
      </c>
      <c r="D16" s="70">
        <f t="shared" si="0"/>
        <v>6</v>
      </c>
      <c r="E16" s="70">
        <f t="shared" si="1"/>
        <v>5</v>
      </c>
      <c r="F16" s="70" t="str">
        <f t="shared" si="2"/>
        <v>May</v>
      </c>
      <c r="G16" s="70">
        <f t="shared" si="3"/>
        <v>2013</v>
      </c>
      <c r="H16" s="71">
        <f t="shared" ca="1" si="4"/>
        <v>12</v>
      </c>
      <c r="I16" s="70" t="str">
        <f t="shared" ca="1" si="5"/>
        <v>12 Years, 2 Months, 20 Days</v>
      </c>
    </row>
    <row r="17" spans="2:9" ht="14.25" customHeight="1" x14ac:dyDescent="0.3">
      <c r="B17" s="5" t="s">
        <v>249</v>
      </c>
      <c r="C17" s="6">
        <v>42027</v>
      </c>
      <c r="D17" s="70">
        <f t="shared" si="0"/>
        <v>23</v>
      </c>
      <c r="E17" s="70">
        <f t="shared" si="1"/>
        <v>1</v>
      </c>
      <c r="F17" s="70" t="str">
        <f t="shared" si="2"/>
        <v>January</v>
      </c>
      <c r="G17" s="70">
        <f t="shared" si="3"/>
        <v>2015</v>
      </c>
      <c r="H17" s="71">
        <f t="shared" ca="1" si="4"/>
        <v>10</v>
      </c>
      <c r="I17" s="70" t="str">
        <f t="shared" ca="1" si="5"/>
        <v>10 Years, 6 Months, 3 Days</v>
      </c>
    </row>
    <row r="18" spans="2:9" ht="14.25" customHeight="1" x14ac:dyDescent="0.3">
      <c r="B18" s="5" t="s">
        <v>248</v>
      </c>
      <c r="C18" s="6">
        <v>42124</v>
      </c>
      <c r="D18" s="70">
        <f t="shared" si="0"/>
        <v>30</v>
      </c>
      <c r="E18" s="70">
        <f t="shared" si="1"/>
        <v>4</v>
      </c>
      <c r="F18" s="70" t="str">
        <f t="shared" si="2"/>
        <v>April</v>
      </c>
      <c r="G18" s="70">
        <f t="shared" si="3"/>
        <v>2015</v>
      </c>
      <c r="H18" s="71">
        <f t="shared" ca="1" si="4"/>
        <v>10</v>
      </c>
      <c r="I18" s="70" t="str">
        <f t="shared" ca="1" si="5"/>
        <v>10 Years, 2 Months, 26 Days</v>
      </c>
    </row>
    <row r="19" spans="2:9" ht="14.25" customHeight="1" x14ac:dyDescent="0.3"/>
    <row r="20" spans="2:9" ht="14.25" customHeight="1" x14ac:dyDescent="0.3"/>
    <row r="21" spans="2:9" ht="14.25" customHeight="1" x14ac:dyDescent="0.3"/>
    <row r="22" spans="2:9" ht="14.25" customHeight="1" x14ac:dyDescent="0.3"/>
    <row r="23" spans="2:9" ht="14.25" customHeight="1" x14ac:dyDescent="0.3"/>
    <row r="24" spans="2:9" ht="14.25" customHeight="1" x14ac:dyDescent="0.3"/>
    <row r="25" spans="2:9" ht="14.25" customHeight="1" x14ac:dyDescent="0.3"/>
    <row r="26" spans="2:9" ht="14.25" customHeight="1" x14ac:dyDescent="0.3"/>
    <row r="27" spans="2:9" ht="14.25" customHeight="1" x14ac:dyDescent="0.3"/>
    <row r="28" spans="2:9" ht="14.25" customHeight="1" x14ac:dyDescent="0.3"/>
    <row r="29" spans="2:9" ht="14.25" customHeight="1" x14ac:dyDescent="0.3"/>
    <row r="30" spans="2:9" ht="14.25" customHeight="1" x14ac:dyDescent="0.3"/>
    <row r="31" spans="2:9" ht="14.25" customHeight="1" x14ac:dyDescent="0.3"/>
    <row r="32" spans="2:9" ht="14.25" customHeight="1" x14ac:dyDescent="0.3"/>
    <row r="33" customFormat="1" ht="14.25" customHeight="1" x14ac:dyDescent="0.3"/>
    <row r="34" customFormat="1" ht="14.25" customHeight="1" x14ac:dyDescent="0.3"/>
    <row r="35" customFormat="1" ht="14.25" customHeight="1" x14ac:dyDescent="0.3"/>
    <row r="36" customFormat="1" ht="14.25" customHeight="1" x14ac:dyDescent="0.3"/>
    <row r="37" customFormat="1" ht="14.25" customHeight="1" x14ac:dyDescent="0.3"/>
    <row r="38" customFormat="1" ht="14.25" customHeight="1" x14ac:dyDescent="0.3"/>
    <row r="39" customFormat="1" ht="14.25" customHeight="1" x14ac:dyDescent="0.3"/>
    <row r="40" customFormat="1" ht="14.25" customHeight="1" x14ac:dyDescent="0.3"/>
    <row r="41" customFormat="1" ht="14.25" customHeight="1" x14ac:dyDescent="0.3"/>
    <row r="42" customFormat="1" ht="14.25" customHeight="1" x14ac:dyDescent="0.3"/>
    <row r="43" customFormat="1" ht="14.25" customHeight="1" x14ac:dyDescent="0.3"/>
    <row r="44" customFormat="1" ht="14.25" customHeight="1" x14ac:dyDescent="0.3"/>
    <row r="45" customFormat="1" ht="14.25" customHeight="1" x14ac:dyDescent="0.3"/>
    <row r="46" customFormat="1" ht="14.25" customHeight="1" x14ac:dyDescent="0.3"/>
    <row r="47" customFormat="1" ht="14.25" customHeight="1" x14ac:dyDescent="0.3"/>
    <row r="48" customFormat="1" ht="14.25" customHeight="1" x14ac:dyDescent="0.3"/>
    <row r="49" customFormat="1" ht="14.25" customHeight="1" x14ac:dyDescent="0.3"/>
    <row r="50" customFormat="1" ht="14.25" customHeight="1" x14ac:dyDescent="0.3"/>
    <row r="51" customFormat="1" ht="14.25" customHeight="1" x14ac:dyDescent="0.3"/>
    <row r="52" customFormat="1" ht="14.25" customHeight="1" x14ac:dyDescent="0.3"/>
    <row r="53" customFormat="1" ht="14.25" customHeight="1" x14ac:dyDescent="0.3"/>
    <row r="54" customFormat="1" ht="14.25" customHeight="1" x14ac:dyDescent="0.3"/>
    <row r="55" customFormat="1" ht="14.25" customHeight="1" x14ac:dyDescent="0.3"/>
    <row r="56" customFormat="1" ht="14.25" customHeight="1" x14ac:dyDescent="0.3"/>
    <row r="57" customFormat="1" ht="14.25" customHeight="1" x14ac:dyDescent="0.3"/>
    <row r="58" customFormat="1" ht="14.25" customHeight="1" x14ac:dyDescent="0.3"/>
    <row r="59" customFormat="1" ht="14.25" customHeight="1" x14ac:dyDescent="0.3"/>
    <row r="60" customFormat="1" ht="14.25" customHeight="1" x14ac:dyDescent="0.3"/>
    <row r="61" customFormat="1" ht="14.25" customHeight="1" x14ac:dyDescent="0.3"/>
    <row r="62" customFormat="1" ht="14.25" customHeight="1" x14ac:dyDescent="0.3"/>
    <row r="63" customFormat="1" ht="14.25" customHeight="1" x14ac:dyDescent="0.3"/>
    <row r="64" customFormat="1" ht="14.25" customHeight="1" x14ac:dyDescent="0.3"/>
    <row r="65" customFormat="1" ht="14.25" customHeight="1" x14ac:dyDescent="0.3"/>
    <row r="66" customFormat="1" ht="14.25" customHeight="1" x14ac:dyDescent="0.3"/>
    <row r="67" customFormat="1" ht="14.25" customHeight="1" x14ac:dyDescent="0.3"/>
    <row r="68" customFormat="1" ht="14.25" customHeight="1" x14ac:dyDescent="0.3"/>
    <row r="69" customFormat="1" ht="14.25" customHeight="1" x14ac:dyDescent="0.3"/>
    <row r="70" customFormat="1" ht="14.25" customHeight="1" x14ac:dyDescent="0.3"/>
    <row r="71" customFormat="1" ht="14.25" customHeight="1" x14ac:dyDescent="0.3"/>
    <row r="72" customFormat="1" ht="14.25" customHeight="1" x14ac:dyDescent="0.3"/>
    <row r="73" customFormat="1" ht="14.25" customHeight="1" x14ac:dyDescent="0.3"/>
    <row r="74" customFormat="1" ht="14.25" customHeight="1" x14ac:dyDescent="0.3"/>
    <row r="75" customFormat="1" ht="14.25" customHeight="1" x14ac:dyDescent="0.3"/>
    <row r="76" customFormat="1" ht="14.25" customHeight="1" x14ac:dyDescent="0.3"/>
    <row r="77" customFormat="1" ht="14.25" customHeight="1" x14ac:dyDescent="0.3"/>
    <row r="78" customFormat="1" ht="14.25" customHeight="1" x14ac:dyDescent="0.3"/>
    <row r="79" customFormat="1" ht="14.25" customHeight="1" x14ac:dyDescent="0.3"/>
    <row r="80" customFormat="1" ht="14.25" customHeight="1" x14ac:dyDescent="0.3"/>
    <row r="81" customFormat="1" ht="14.25" customHeight="1" x14ac:dyDescent="0.3"/>
    <row r="82" customFormat="1" ht="14.25" customHeight="1" x14ac:dyDescent="0.3"/>
    <row r="83" customFormat="1" ht="14.25" customHeight="1" x14ac:dyDescent="0.3"/>
    <row r="84" customFormat="1" ht="14.25" customHeight="1" x14ac:dyDescent="0.3"/>
    <row r="85" customFormat="1" ht="14.25" customHeight="1" x14ac:dyDescent="0.3"/>
    <row r="86" customFormat="1" ht="14.25" customHeight="1" x14ac:dyDescent="0.3"/>
    <row r="87" customFormat="1" ht="14.25" customHeight="1" x14ac:dyDescent="0.3"/>
    <row r="88" customFormat="1" ht="14.25" customHeight="1" x14ac:dyDescent="0.3"/>
    <row r="89" customFormat="1" ht="14.25" customHeight="1" x14ac:dyDescent="0.3"/>
    <row r="90" customFormat="1" ht="14.25" customHeight="1" x14ac:dyDescent="0.3"/>
    <row r="91" customFormat="1" ht="14.25" customHeight="1" x14ac:dyDescent="0.3"/>
    <row r="92" customFormat="1" ht="14.25" customHeight="1" x14ac:dyDescent="0.3"/>
    <row r="93" customFormat="1" ht="14.25" customHeight="1" x14ac:dyDescent="0.3"/>
    <row r="94" customFormat="1" ht="14.25" customHeight="1" x14ac:dyDescent="0.3"/>
    <row r="95" customFormat="1" ht="14.25" customHeight="1" x14ac:dyDescent="0.3"/>
    <row r="96" customFormat="1" ht="14.25" customHeight="1" x14ac:dyDescent="0.3"/>
    <row r="97" customFormat="1" ht="14.25" customHeight="1" x14ac:dyDescent="0.3"/>
    <row r="98" customFormat="1" ht="14.25" customHeight="1" x14ac:dyDescent="0.3"/>
    <row r="99" customFormat="1" ht="14.25" customHeight="1" x14ac:dyDescent="0.3"/>
    <row r="100" customFormat="1" ht="14.25" customHeight="1" x14ac:dyDescent="0.3"/>
    <row r="101" customFormat="1" ht="14.25" customHeight="1" x14ac:dyDescent="0.3"/>
    <row r="102" customFormat="1" ht="14.25" customHeight="1" x14ac:dyDescent="0.3"/>
    <row r="103" customFormat="1" ht="14.25" customHeight="1" x14ac:dyDescent="0.3"/>
    <row r="104" customFormat="1" ht="14.25" customHeight="1" x14ac:dyDescent="0.3"/>
    <row r="105" customFormat="1" ht="14.25" customHeight="1" x14ac:dyDescent="0.3"/>
    <row r="106" customFormat="1" ht="14.25" customHeight="1" x14ac:dyDescent="0.3"/>
    <row r="107" customFormat="1" ht="14.25" customHeight="1" x14ac:dyDescent="0.3"/>
    <row r="108" customFormat="1" ht="14.25" customHeight="1" x14ac:dyDescent="0.3"/>
    <row r="109" customFormat="1" ht="14.25" customHeight="1" x14ac:dyDescent="0.3"/>
    <row r="110" customFormat="1" ht="14.25" customHeight="1" x14ac:dyDescent="0.3"/>
    <row r="111" customFormat="1" ht="14.25" customHeight="1" x14ac:dyDescent="0.3"/>
    <row r="112" customFormat="1" ht="14.25" customHeight="1" x14ac:dyDescent="0.3"/>
    <row r="113" customFormat="1" ht="14.25" customHeight="1" x14ac:dyDescent="0.3"/>
    <row r="114" customFormat="1" ht="14.25" customHeight="1" x14ac:dyDescent="0.3"/>
    <row r="115" customFormat="1" ht="14.25" customHeight="1" x14ac:dyDescent="0.3"/>
    <row r="116" customFormat="1" ht="14.25" customHeight="1" x14ac:dyDescent="0.3"/>
    <row r="117" customFormat="1" ht="14.25" customHeight="1" x14ac:dyDescent="0.3"/>
    <row r="118" customFormat="1" ht="14.25" customHeight="1" x14ac:dyDescent="0.3"/>
    <row r="119" customFormat="1" ht="14.25" customHeight="1" x14ac:dyDescent="0.3"/>
    <row r="120" customFormat="1" ht="14.25" customHeight="1" x14ac:dyDescent="0.3"/>
    <row r="121" customFormat="1" ht="14.25" customHeight="1" x14ac:dyDescent="0.3"/>
    <row r="122" customFormat="1" ht="14.25" customHeight="1" x14ac:dyDescent="0.3"/>
    <row r="123" customFormat="1" ht="14.25" customHeight="1" x14ac:dyDescent="0.3"/>
    <row r="124" customFormat="1" ht="14.25" customHeight="1" x14ac:dyDescent="0.3"/>
    <row r="125" customFormat="1" ht="14.25" customHeight="1" x14ac:dyDescent="0.3"/>
    <row r="126" customFormat="1" ht="14.25" customHeight="1" x14ac:dyDescent="0.3"/>
    <row r="127" customFormat="1" ht="14.25" customHeight="1" x14ac:dyDescent="0.3"/>
    <row r="128" customFormat="1" ht="14.25" customHeight="1" x14ac:dyDescent="0.3"/>
    <row r="129" customFormat="1" ht="14.25" customHeight="1" x14ac:dyDescent="0.3"/>
    <row r="130" customFormat="1" ht="14.25" customHeight="1" x14ac:dyDescent="0.3"/>
    <row r="131" customFormat="1" ht="14.25" customHeight="1" x14ac:dyDescent="0.3"/>
    <row r="132" customFormat="1" ht="14.25" customHeight="1" x14ac:dyDescent="0.3"/>
    <row r="133" customFormat="1" ht="14.25" customHeight="1" x14ac:dyDescent="0.3"/>
    <row r="134" customFormat="1" ht="14.25" customHeight="1" x14ac:dyDescent="0.3"/>
    <row r="135" customFormat="1" ht="14.25" customHeight="1" x14ac:dyDescent="0.3"/>
    <row r="136" customFormat="1" ht="14.25" customHeight="1" x14ac:dyDescent="0.3"/>
    <row r="137" customFormat="1" ht="14.25" customHeight="1" x14ac:dyDescent="0.3"/>
    <row r="138" customFormat="1" ht="14.25" customHeight="1" x14ac:dyDescent="0.3"/>
    <row r="139" customFormat="1" ht="14.25" customHeight="1" x14ac:dyDescent="0.3"/>
    <row r="140" customFormat="1" ht="14.25" customHeight="1" x14ac:dyDescent="0.3"/>
    <row r="141" customFormat="1" ht="14.25" customHeight="1" x14ac:dyDescent="0.3"/>
    <row r="142" customFormat="1" ht="14.25" customHeight="1" x14ac:dyDescent="0.3"/>
    <row r="143" customFormat="1" ht="14.25" customHeight="1" x14ac:dyDescent="0.3"/>
    <row r="144" customFormat="1" ht="14.25" customHeight="1" x14ac:dyDescent="0.3"/>
    <row r="145" customFormat="1" ht="14.25" customHeight="1" x14ac:dyDescent="0.3"/>
    <row r="146" customFormat="1" ht="14.25" customHeight="1" x14ac:dyDescent="0.3"/>
    <row r="147" customFormat="1" ht="14.25" customHeight="1" x14ac:dyDescent="0.3"/>
    <row r="148" customFormat="1" ht="14.25" customHeight="1" x14ac:dyDescent="0.3"/>
    <row r="149" customFormat="1" ht="14.25" customHeight="1" x14ac:dyDescent="0.3"/>
    <row r="150" customFormat="1" ht="14.25" customHeight="1" x14ac:dyDescent="0.3"/>
    <row r="151" customFormat="1" ht="14.25" customHeight="1" x14ac:dyDescent="0.3"/>
    <row r="152" customFormat="1" ht="14.25" customHeight="1" x14ac:dyDescent="0.3"/>
    <row r="153" customFormat="1" ht="14.25" customHeight="1" x14ac:dyDescent="0.3"/>
    <row r="154" customFormat="1" ht="14.25" customHeight="1" x14ac:dyDescent="0.3"/>
    <row r="155" customFormat="1" ht="14.25" customHeight="1" x14ac:dyDescent="0.3"/>
    <row r="156" customFormat="1" ht="14.25" customHeight="1" x14ac:dyDescent="0.3"/>
    <row r="157" customFormat="1" ht="14.25" customHeight="1" x14ac:dyDescent="0.3"/>
    <row r="158" customFormat="1" ht="14.25" customHeight="1" x14ac:dyDescent="0.3"/>
    <row r="159" customFormat="1" ht="14.25" customHeight="1" x14ac:dyDescent="0.3"/>
    <row r="160" customFormat="1" ht="14.25" customHeight="1" x14ac:dyDescent="0.3"/>
    <row r="161" customFormat="1" ht="14.25" customHeight="1" x14ac:dyDescent="0.3"/>
    <row r="162" customFormat="1" ht="14.25" customHeight="1" x14ac:dyDescent="0.3"/>
    <row r="163" customFormat="1" ht="14.25" customHeight="1" x14ac:dyDescent="0.3"/>
    <row r="164" customFormat="1" ht="14.25" customHeight="1" x14ac:dyDescent="0.3"/>
    <row r="165" customFormat="1" ht="14.25" customHeight="1" x14ac:dyDescent="0.3"/>
    <row r="166" customFormat="1" ht="14.25" customHeight="1" x14ac:dyDescent="0.3"/>
    <row r="167" customFormat="1" ht="14.25" customHeight="1" x14ac:dyDescent="0.3"/>
    <row r="168" customFormat="1" ht="14.25" customHeight="1" x14ac:dyDescent="0.3"/>
    <row r="169" customFormat="1" ht="14.25" customHeight="1" x14ac:dyDescent="0.3"/>
    <row r="170" customFormat="1" ht="14.25" customHeight="1" x14ac:dyDescent="0.3"/>
    <row r="171" customFormat="1" ht="14.25" customHeight="1" x14ac:dyDescent="0.3"/>
    <row r="172" customFormat="1" ht="14.25" customHeight="1" x14ac:dyDescent="0.3"/>
    <row r="173" customFormat="1" ht="14.25" customHeight="1" x14ac:dyDescent="0.3"/>
    <row r="174" customFormat="1" ht="14.25" customHeight="1" x14ac:dyDescent="0.3"/>
    <row r="175" customFormat="1" ht="14.25" customHeight="1" x14ac:dyDescent="0.3"/>
    <row r="176" customFormat="1" ht="14.25" customHeight="1" x14ac:dyDescent="0.3"/>
    <row r="177" customFormat="1" ht="14.25" customHeight="1" x14ac:dyDescent="0.3"/>
    <row r="178" customFormat="1" ht="14.25" customHeight="1" x14ac:dyDescent="0.3"/>
    <row r="179" customFormat="1" ht="14.25" customHeight="1" x14ac:dyDescent="0.3"/>
    <row r="180" customFormat="1" ht="14.25" customHeight="1" x14ac:dyDescent="0.3"/>
    <row r="181" customFormat="1" ht="14.25" customHeight="1" x14ac:dyDescent="0.3"/>
    <row r="182" customFormat="1" ht="14.25" customHeight="1" x14ac:dyDescent="0.3"/>
    <row r="183" customFormat="1" ht="14.25" customHeight="1" x14ac:dyDescent="0.3"/>
    <row r="184" customFormat="1" ht="14.25" customHeight="1" x14ac:dyDescent="0.3"/>
    <row r="185" customFormat="1" ht="14.25" customHeight="1" x14ac:dyDescent="0.3"/>
    <row r="186" customFormat="1" ht="14.25" customHeight="1" x14ac:dyDescent="0.3"/>
    <row r="187" customFormat="1" ht="14.25" customHeight="1" x14ac:dyDescent="0.3"/>
    <row r="188" customFormat="1" ht="14.25" customHeight="1" x14ac:dyDescent="0.3"/>
    <row r="189" customFormat="1" ht="14.25" customHeight="1" x14ac:dyDescent="0.3"/>
    <row r="190" customFormat="1" ht="14.25" customHeight="1" x14ac:dyDescent="0.3"/>
    <row r="191" customFormat="1" ht="14.25" customHeight="1" x14ac:dyDescent="0.3"/>
    <row r="192" customFormat="1" ht="14.25" customHeight="1" x14ac:dyDescent="0.3"/>
    <row r="193" customFormat="1" ht="14.25" customHeight="1" x14ac:dyDescent="0.3"/>
    <row r="194" customFormat="1" ht="14.25" customHeight="1" x14ac:dyDescent="0.3"/>
    <row r="195" customFormat="1" ht="14.25" customHeight="1" x14ac:dyDescent="0.3"/>
    <row r="196" customFormat="1" ht="14.25" customHeight="1" x14ac:dyDescent="0.3"/>
    <row r="197" customFormat="1" ht="14.25" customHeight="1" x14ac:dyDescent="0.3"/>
    <row r="198" customFormat="1" ht="14.25" customHeight="1" x14ac:dyDescent="0.3"/>
    <row r="199" customFormat="1" ht="14.25" customHeight="1" x14ac:dyDescent="0.3"/>
    <row r="200" customFormat="1" ht="14.25" customHeight="1" x14ac:dyDescent="0.3"/>
    <row r="201" customFormat="1" ht="14.25" customHeight="1" x14ac:dyDescent="0.3"/>
    <row r="202" customFormat="1" ht="14.25" customHeight="1" x14ac:dyDescent="0.3"/>
    <row r="203" customFormat="1" ht="14.25" customHeight="1" x14ac:dyDescent="0.3"/>
    <row r="204" customFormat="1" ht="14.25" customHeight="1" x14ac:dyDescent="0.3"/>
    <row r="205" customFormat="1" ht="14.25" customHeight="1" x14ac:dyDescent="0.3"/>
    <row r="206" customFormat="1" ht="14.25" customHeight="1" x14ac:dyDescent="0.3"/>
    <row r="207" customFormat="1" ht="14.25" customHeight="1" x14ac:dyDescent="0.3"/>
    <row r="208" customFormat="1" ht="14.25" customHeight="1" x14ac:dyDescent="0.3"/>
    <row r="209" customFormat="1" ht="14.25" customHeight="1" x14ac:dyDescent="0.3"/>
    <row r="210" customFormat="1" ht="14.25" customHeight="1" x14ac:dyDescent="0.3"/>
    <row r="211" customFormat="1" ht="14.25" customHeight="1" x14ac:dyDescent="0.3"/>
    <row r="212" customFormat="1" ht="14.25" customHeight="1" x14ac:dyDescent="0.3"/>
    <row r="213" customFormat="1" ht="14.25" customHeight="1" x14ac:dyDescent="0.3"/>
    <row r="214" customFormat="1" ht="14.25" customHeight="1" x14ac:dyDescent="0.3"/>
    <row r="215" customFormat="1" ht="14.25" customHeight="1" x14ac:dyDescent="0.3"/>
    <row r="216" customFormat="1" ht="14.25" customHeight="1" x14ac:dyDescent="0.3"/>
    <row r="217" customFormat="1" ht="14.25" customHeight="1" x14ac:dyDescent="0.3"/>
    <row r="218" customFormat="1" ht="14.25" customHeight="1" x14ac:dyDescent="0.3"/>
    <row r="219" customFormat="1" ht="14.25" customHeight="1" x14ac:dyDescent="0.3"/>
    <row r="220" customFormat="1" ht="14.25" customHeight="1" x14ac:dyDescent="0.3"/>
    <row r="221" customFormat="1" ht="14.25" customHeight="1" x14ac:dyDescent="0.3"/>
    <row r="222" customFormat="1" ht="14.25" customHeight="1" x14ac:dyDescent="0.3"/>
    <row r="223" customFormat="1" ht="14.25" customHeight="1" x14ac:dyDescent="0.3"/>
    <row r="224" customFormat="1" ht="14.25" customHeight="1" x14ac:dyDescent="0.3"/>
    <row r="225" customFormat="1" ht="14.25" customHeight="1" x14ac:dyDescent="0.3"/>
    <row r="226" customFormat="1" ht="14.25" customHeight="1" x14ac:dyDescent="0.3"/>
    <row r="227" customFormat="1" ht="14.25" customHeight="1" x14ac:dyDescent="0.3"/>
    <row r="228" customFormat="1" ht="14.25" customHeight="1" x14ac:dyDescent="0.3"/>
    <row r="229" customFormat="1" ht="14.25" customHeight="1" x14ac:dyDescent="0.3"/>
    <row r="230" customFormat="1" ht="14.25" customHeight="1" x14ac:dyDescent="0.3"/>
    <row r="231" customFormat="1" ht="14.25" customHeight="1" x14ac:dyDescent="0.3"/>
    <row r="232" customFormat="1" ht="14.25" customHeight="1" x14ac:dyDescent="0.3"/>
    <row r="233" customFormat="1" ht="14.25" customHeight="1" x14ac:dyDescent="0.3"/>
    <row r="234" customFormat="1" ht="14.25" customHeight="1" x14ac:dyDescent="0.3"/>
    <row r="235" customFormat="1" ht="14.25" customHeight="1" x14ac:dyDescent="0.3"/>
    <row r="236" customFormat="1" ht="14.25" customHeight="1" x14ac:dyDescent="0.3"/>
    <row r="237" customFormat="1" ht="14.25" customHeight="1" x14ac:dyDescent="0.3"/>
    <row r="238" customFormat="1" ht="14.25" customHeight="1" x14ac:dyDescent="0.3"/>
    <row r="239" customFormat="1" ht="14.25" customHeight="1" x14ac:dyDescent="0.3"/>
    <row r="240" customFormat="1" ht="14.25" customHeight="1" x14ac:dyDescent="0.3"/>
    <row r="241" customFormat="1" ht="14.25" customHeight="1" x14ac:dyDescent="0.3"/>
    <row r="242" customFormat="1" ht="14.25" customHeight="1" x14ac:dyDescent="0.3"/>
    <row r="243" customFormat="1" ht="14.25" customHeight="1" x14ac:dyDescent="0.3"/>
    <row r="244" customFormat="1" ht="14.25" customHeight="1" x14ac:dyDescent="0.3"/>
    <row r="245" customFormat="1" ht="14.25" customHeight="1" x14ac:dyDescent="0.3"/>
    <row r="246" customFormat="1" ht="14.25" customHeight="1" x14ac:dyDescent="0.3"/>
    <row r="247" customFormat="1" ht="14.25" customHeight="1" x14ac:dyDescent="0.3"/>
    <row r="248" customFormat="1" ht="14.25" customHeight="1" x14ac:dyDescent="0.3"/>
    <row r="249" customFormat="1" ht="14.25" customHeight="1" x14ac:dyDescent="0.3"/>
    <row r="250" customFormat="1" ht="14.25" customHeight="1" x14ac:dyDescent="0.3"/>
    <row r="251" customFormat="1" ht="14.25" customHeight="1" x14ac:dyDescent="0.3"/>
    <row r="252" customFormat="1" ht="14.25" customHeight="1" x14ac:dyDescent="0.3"/>
    <row r="253" customFormat="1" ht="14.25" customHeight="1" x14ac:dyDescent="0.3"/>
    <row r="254" customFormat="1" ht="14.25" customHeight="1" x14ac:dyDescent="0.3"/>
    <row r="255" customFormat="1" ht="14.25" customHeight="1" x14ac:dyDescent="0.3"/>
    <row r="256" customFormat="1" ht="14.25" customHeight="1" x14ac:dyDescent="0.3"/>
    <row r="257" customFormat="1" ht="14.25" customHeight="1" x14ac:dyDescent="0.3"/>
    <row r="258" customFormat="1" ht="14.25" customHeight="1" x14ac:dyDescent="0.3"/>
    <row r="259" customFormat="1" ht="14.25" customHeight="1" x14ac:dyDescent="0.3"/>
    <row r="260" customFormat="1" ht="14.25" customHeight="1" x14ac:dyDescent="0.3"/>
    <row r="261" customFormat="1" ht="14.25" customHeight="1" x14ac:dyDescent="0.3"/>
    <row r="262" customFormat="1" ht="14.25" customHeight="1" x14ac:dyDescent="0.3"/>
    <row r="263" customFormat="1" ht="14.25" customHeight="1" x14ac:dyDescent="0.3"/>
    <row r="264" customFormat="1" ht="14.25" customHeight="1" x14ac:dyDescent="0.3"/>
    <row r="265" customFormat="1" ht="14.25" customHeight="1" x14ac:dyDescent="0.3"/>
    <row r="266" customFormat="1" ht="14.25" customHeight="1" x14ac:dyDescent="0.3"/>
    <row r="267" customFormat="1" ht="14.25" customHeight="1" x14ac:dyDescent="0.3"/>
    <row r="268" customFormat="1" ht="14.25" customHeight="1" x14ac:dyDescent="0.3"/>
    <row r="269" customFormat="1" ht="14.25" customHeight="1" x14ac:dyDescent="0.3"/>
    <row r="270" customFormat="1" ht="14.25" customHeight="1" x14ac:dyDescent="0.3"/>
    <row r="271" customFormat="1" ht="14.25" customHeight="1" x14ac:dyDescent="0.3"/>
    <row r="272" customFormat="1" ht="14.25" customHeight="1" x14ac:dyDescent="0.3"/>
    <row r="273" customFormat="1" ht="14.25" customHeight="1" x14ac:dyDescent="0.3"/>
    <row r="274" customFormat="1" ht="14.25" customHeight="1" x14ac:dyDescent="0.3"/>
    <row r="275" customFormat="1" ht="14.25" customHeight="1" x14ac:dyDescent="0.3"/>
    <row r="276" customFormat="1" ht="14.25" customHeight="1" x14ac:dyDescent="0.3"/>
    <row r="277" customFormat="1" ht="14.25" customHeight="1" x14ac:dyDescent="0.3"/>
    <row r="278" customFormat="1" ht="14.25" customHeight="1" x14ac:dyDescent="0.3"/>
    <row r="279" customFormat="1" ht="14.25" customHeight="1" x14ac:dyDescent="0.3"/>
    <row r="280" customFormat="1" ht="14.25" customHeight="1" x14ac:dyDescent="0.3"/>
    <row r="281" customFormat="1" ht="14.25" customHeight="1" x14ac:dyDescent="0.3"/>
    <row r="282" customFormat="1" ht="14.25" customHeight="1" x14ac:dyDescent="0.3"/>
    <row r="283" customFormat="1" ht="14.25" customHeight="1" x14ac:dyDescent="0.3"/>
    <row r="284" customFormat="1" ht="14.25" customHeight="1" x14ac:dyDescent="0.3"/>
    <row r="285" customFormat="1" ht="14.25" customHeight="1" x14ac:dyDescent="0.3"/>
    <row r="286" customFormat="1" ht="14.25" customHeight="1" x14ac:dyDescent="0.3"/>
    <row r="287" customFormat="1" ht="14.25" customHeight="1" x14ac:dyDescent="0.3"/>
    <row r="288" customFormat="1" ht="14.25" customHeight="1" x14ac:dyDescent="0.3"/>
    <row r="289" customFormat="1" ht="14.25" customHeight="1" x14ac:dyDescent="0.3"/>
    <row r="290" customFormat="1" ht="14.25" customHeight="1" x14ac:dyDescent="0.3"/>
    <row r="291" customFormat="1" ht="14.25" customHeight="1" x14ac:dyDescent="0.3"/>
    <row r="292" customFormat="1" ht="14.25" customHeight="1" x14ac:dyDescent="0.3"/>
    <row r="293" customFormat="1" ht="14.25" customHeight="1" x14ac:dyDescent="0.3"/>
    <row r="294" customFormat="1" ht="14.25" customHeight="1" x14ac:dyDescent="0.3"/>
    <row r="295" customFormat="1" ht="14.25" customHeight="1" x14ac:dyDescent="0.3"/>
    <row r="296" customFormat="1" ht="14.25" customHeight="1" x14ac:dyDescent="0.3"/>
    <row r="297" customFormat="1" ht="14.25" customHeight="1" x14ac:dyDescent="0.3"/>
    <row r="298" customFormat="1" ht="14.25" customHeight="1" x14ac:dyDescent="0.3"/>
    <row r="299" customFormat="1" ht="14.25" customHeight="1" x14ac:dyDescent="0.3"/>
    <row r="300" customFormat="1" ht="14.25" customHeight="1" x14ac:dyDescent="0.3"/>
    <row r="301" customFormat="1" ht="14.25" customHeight="1" x14ac:dyDescent="0.3"/>
    <row r="302" customFormat="1" ht="14.25" customHeight="1" x14ac:dyDescent="0.3"/>
    <row r="303" customFormat="1" ht="14.25" customHeight="1" x14ac:dyDescent="0.3"/>
    <row r="304" customFormat="1" ht="14.25" customHeight="1" x14ac:dyDescent="0.3"/>
    <row r="305" customFormat="1" ht="14.25" customHeight="1" x14ac:dyDescent="0.3"/>
    <row r="306" customFormat="1" ht="14.25" customHeight="1" x14ac:dyDescent="0.3"/>
    <row r="307" customFormat="1" ht="14.25" customHeight="1" x14ac:dyDescent="0.3"/>
    <row r="308" customFormat="1" ht="14.25" customHeight="1" x14ac:dyDescent="0.3"/>
    <row r="309" customFormat="1" ht="14.25" customHeight="1" x14ac:dyDescent="0.3"/>
    <row r="310" customFormat="1" ht="14.25" customHeight="1" x14ac:dyDescent="0.3"/>
    <row r="311" customFormat="1" ht="14.25" customHeight="1" x14ac:dyDescent="0.3"/>
    <row r="312" customFormat="1" ht="14.25" customHeight="1" x14ac:dyDescent="0.3"/>
    <row r="313" customFormat="1" ht="14.25" customHeight="1" x14ac:dyDescent="0.3"/>
    <row r="314" customFormat="1" ht="14.25" customHeight="1" x14ac:dyDescent="0.3"/>
    <row r="315" customFormat="1" ht="14.25" customHeight="1" x14ac:dyDescent="0.3"/>
    <row r="316" customFormat="1" ht="14.25" customHeight="1" x14ac:dyDescent="0.3"/>
    <row r="317" customFormat="1" ht="14.25" customHeight="1" x14ac:dyDescent="0.3"/>
    <row r="318" customFormat="1" ht="14.25" customHeight="1" x14ac:dyDescent="0.3"/>
    <row r="319" customFormat="1" ht="14.25" customHeight="1" x14ac:dyDescent="0.3"/>
    <row r="320" customFormat="1" ht="14.25" customHeight="1" x14ac:dyDescent="0.3"/>
    <row r="321" customFormat="1" ht="14.25" customHeight="1" x14ac:dyDescent="0.3"/>
    <row r="322" customFormat="1" ht="14.25" customHeight="1" x14ac:dyDescent="0.3"/>
    <row r="323" customFormat="1" ht="14.25" customHeight="1" x14ac:dyDescent="0.3"/>
    <row r="324" customFormat="1" ht="14.25" customHeight="1" x14ac:dyDescent="0.3"/>
    <row r="325" customFormat="1" ht="14.25" customHeight="1" x14ac:dyDescent="0.3"/>
    <row r="326" customFormat="1" ht="14.25" customHeight="1" x14ac:dyDescent="0.3"/>
    <row r="327" customFormat="1" ht="14.25" customHeight="1" x14ac:dyDescent="0.3"/>
    <row r="328" customFormat="1" ht="14.25" customHeight="1" x14ac:dyDescent="0.3"/>
    <row r="329" customFormat="1" ht="14.25" customHeight="1" x14ac:dyDescent="0.3"/>
    <row r="330" customFormat="1" ht="14.25" customHeight="1" x14ac:dyDescent="0.3"/>
    <row r="331" customFormat="1" ht="14.25" customHeight="1" x14ac:dyDescent="0.3"/>
    <row r="332" customFormat="1" ht="14.25" customHeight="1" x14ac:dyDescent="0.3"/>
    <row r="333" customFormat="1" ht="14.25" customHeight="1" x14ac:dyDescent="0.3"/>
    <row r="334" customFormat="1" ht="14.25" customHeight="1" x14ac:dyDescent="0.3"/>
    <row r="335" customFormat="1" ht="14.25" customHeight="1" x14ac:dyDescent="0.3"/>
    <row r="336" customFormat="1" ht="14.25" customHeight="1" x14ac:dyDescent="0.3"/>
    <row r="337" customFormat="1" ht="14.25" customHeight="1" x14ac:dyDescent="0.3"/>
    <row r="338" customFormat="1" ht="14.25" customHeight="1" x14ac:dyDescent="0.3"/>
    <row r="339" customFormat="1" ht="14.25" customHeight="1" x14ac:dyDescent="0.3"/>
    <row r="340" customFormat="1" ht="14.25" customHeight="1" x14ac:dyDescent="0.3"/>
    <row r="341" customFormat="1" ht="14.25" customHeight="1" x14ac:dyDescent="0.3"/>
    <row r="342" customFormat="1" ht="14.25" customHeight="1" x14ac:dyDescent="0.3"/>
    <row r="343" customFormat="1" ht="14.25" customHeight="1" x14ac:dyDescent="0.3"/>
    <row r="344" customFormat="1" ht="14.25" customHeight="1" x14ac:dyDescent="0.3"/>
    <row r="345" customFormat="1" ht="14.25" customHeight="1" x14ac:dyDescent="0.3"/>
    <row r="346" customFormat="1" ht="14.25" customHeight="1" x14ac:dyDescent="0.3"/>
    <row r="347" customFormat="1" ht="14.25" customHeight="1" x14ac:dyDescent="0.3"/>
    <row r="348" customFormat="1" ht="14.25" customHeight="1" x14ac:dyDescent="0.3"/>
    <row r="349" customFormat="1" ht="14.25" customHeight="1" x14ac:dyDescent="0.3"/>
    <row r="350" customFormat="1" ht="14.25" customHeight="1" x14ac:dyDescent="0.3"/>
    <row r="351" customFormat="1" ht="14.25" customHeight="1" x14ac:dyDescent="0.3"/>
    <row r="352" customFormat="1" ht="14.25" customHeight="1" x14ac:dyDescent="0.3"/>
    <row r="353" customFormat="1" ht="14.25" customHeight="1" x14ac:dyDescent="0.3"/>
    <row r="354" customFormat="1" ht="14.25" customHeight="1" x14ac:dyDescent="0.3"/>
    <row r="355" customFormat="1" ht="14.25" customHeight="1" x14ac:dyDescent="0.3"/>
    <row r="356" customFormat="1" ht="14.25" customHeight="1" x14ac:dyDescent="0.3"/>
    <row r="357" customFormat="1" ht="14.25" customHeight="1" x14ac:dyDescent="0.3"/>
    <row r="358" customFormat="1" ht="14.25" customHeight="1" x14ac:dyDescent="0.3"/>
    <row r="359" customFormat="1" ht="14.25" customHeight="1" x14ac:dyDescent="0.3"/>
    <row r="360" customFormat="1" ht="14.25" customHeight="1" x14ac:dyDescent="0.3"/>
    <row r="361" customFormat="1" ht="14.25" customHeight="1" x14ac:dyDescent="0.3"/>
    <row r="362" customFormat="1" ht="14.25" customHeight="1" x14ac:dyDescent="0.3"/>
    <row r="363" customFormat="1" ht="14.25" customHeight="1" x14ac:dyDescent="0.3"/>
    <row r="364" customFormat="1" ht="14.25" customHeight="1" x14ac:dyDescent="0.3"/>
    <row r="365" customFormat="1" ht="14.25" customHeight="1" x14ac:dyDescent="0.3"/>
    <row r="366" customFormat="1" ht="14.25" customHeight="1" x14ac:dyDescent="0.3"/>
    <row r="367" customFormat="1" ht="14.25" customHeight="1" x14ac:dyDescent="0.3"/>
    <row r="368" customFormat="1" ht="14.25" customHeight="1" x14ac:dyDescent="0.3"/>
    <row r="369" customFormat="1" ht="14.25" customHeight="1" x14ac:dyDescent="0.3"/>
    <row r="370" customFormat="1" ht="14.25" customHeight="1" x14ac:dyDescent="0.3"/>
    <row r="371" customFormat="1" ht="14.25" customHeight="1" x14ac:dyDescent="0.3"/>
    <row r="372" customFormat="1" ht="14.25" customHeight="1" x14ac:dyDescent="0.3"/>
    <row r="373" customFormat="1" ht="14.25" customHeight="1" x14ac:dyDescent="0.3"/>
    <row r="374" customFormat="1" ht="14.25" customHeight="1" x14ac:dyDescent="0.3"/>
    <row r="375" customFormat="1" ht="14.25" customHeight="1" x14ac:dyDescent="0.3"/>
    <row r="376" customFormat="1" ht="14.25" customHeight="1" x14ac:dyDescent="0.3"/>
    <row r="377" customFormat="1" ht="14.25" customHeight="1" x14ac:dyDescent="0.3"/>
    <row r="378" customFormat="1" ht="14.25" customHeight="1" x14ac:dyDescent="0.3"/>
    <row r="379" customFormat="1" ht="14.25" customHeight="1" x14ac:dyDescent="0.3"/>
    <row r="380" customFormat="1" ht="14.25" customHeight="1" x14ac:dyDescent="0.3"/>
    <row r="381" customFormat="1" ht="14.25" customHeight="1" x14ac:dyDescent="0.3"/>
    <row r="382" customFormat="1" ht="14.25" customHeight="1" x14ac:dyDescent="0.3"/>
    <row r="383" customFormat="1" ht="14.25" customHeight="1" x14ac:dyDescent="0.3"/>
    <row r="384" customFormat="1" ht="14.25" customHeight="1" x14ac:dyDescent="0.3"/>
    <row r="385" customFormat="1" ht="14.25" customHeight="1" x14ac:dyDescent="0.3"/>
    <row r="386" customFormat="1" ht="14.25" customHeight="1" x14ac:dyDescent="0.3"/>
    <row r="387" customFormat="1" ht="14.25" customHeight="1" x14ac:dyDescent="0.3"/>
    <row r="388" customFormat="1" ht="14.25" customHeight="1" x14ac:dyDescent="0.3"/>
    <row r="389" customFormat="1" ht="14.25" customHeight="1" x14ac:dyDescent="0.3"/>
    <row r="390" customFormat="1" ht="14.25" customHeight="1" x14ac:dyDescent="0.3"/>
    <row r="391" customFormat="1" ht="14.25" customHeight="1" x14ac:dyDescent="0.3"/>
    <row r="392" customFormat="1" ht="14.25" customHeight="1" x14ac:dyDescent="0.3"/>
    <row r="393" customFormat="1" ht="14.25" customHeight="1" x14ac:dyDescent="0.3"/>
    <row r="394" customFormat="1" ht="14.25" customHeight="1" x14ac:dyDescent="0.3"/>
    <row r="395" customFormat="1" ht="14.25" customHeight="1" x14ac:dyDescent="0.3"/>
    <row r="396" customFormat="1" ht="14.25" customHeight="1" x14ac:dyDescent="0.3"/>
    <row r="397" customFormat="1" ht="14.25" customHeight="1" x14ac:dyDescent="0.3"/>
    <row r="398" customFormat="1" ht="14.25" customHeight="1" x14ac:dyDescent="0.3"/>
    <row r="399" customFormat="1" ht="14.25" customHeight="1" x14ac:dyDescent="0.3"/>
    <row r="400" customFormat="1" ht="14.25" customHeight="1" x14ac:dyDescent="0.3"/>
    <row r="401" customFormat="1" ht="14.25" customHeight="1" x14ac:dyDescent="0.3"/>
    <row r="402" customFormat="1" ht="14.25" customHeight="1" x14ac:dyDescent="0.3"/>
    <row r="403" customFormat="1" ht="14.25" customHeight="1" x14ac:dyDescent="0.3"/>
    <row r="404" customFormat="1" ht="14.25" customHeight="1" x14ac:dyDescent="0.3"/>
    <row r="405" customFormat="1" ht="14.25" customHeight="1" x14ac:dyDescent="0.3"/>
    <row r="406" customFormat="1" ht="14.25" customHeight="1" x14ac:dyDescent="0.3"/>
    <row r="407" customFormat="1" ht="14.25" customHeight="1" x14ac:dyDescent="0.3"/>
    <row r="408" customFormat="1" ht="14.25" customHeight="1" x14ac:dyDescent="0.3"/>
    <row r="409" customFormat="1" ht="14.25" customHeight="1" x14ac:dyDescent="0.3"/>
    <row r="410" customFormat="1" ht="14.25" customHeight="1" x14ac:dyDescent="0.3"/>
    <row r="411" customFormat="1" ht="14.25" customHeight="1" x14ac:dyDescent="0.3"/>
    <row r="412" customFormat="1" ht="14.25" customHeight="1" x14ac:dyDescent="0.3"/>
    <row r="413" customFormat="1" ht="14.25" customHeight="1" x14ac:dyDescent="0.3"/>
    <row r="414" customFormat="1" ht="14.25" customHeight="1" x14ac:dyDescent="0.3"/>
    <row r="415" customFormat="1" ht="14.25" customHeight="1" x14ac:dyDescent="0.3"/>
    <row r="416" customFormat="1" ht="14.25" customHeight="1" x14ac:dyDescent="0.3"/>
    <row r="417" customFormat="1" ht="14.25" customHeight="1" x14ac:dyDescent="0.3"/>
    <row r="418" customFormat="1" ht="14.25" customHeight="1" x14ac:dyDescent="0.3"/>
    <row r="419" customFormat="1" ht="14.25" customHeight="1" x14ac:dyDescent="0.3"/>
    <row r="420" customFormat="1" ht="14.25" customHeight="1" x14ac:dyDescent="0.3"/>
    <row r="421" customFormat="1" ht="14.25" customHeight="1" x14ac:dyDescent="0.3"/>
    <row r="422" customFormat="1" ht="14.25" customHeight="1" x14ac:dyDescent="0.3"/>
    <row r="423" customFormat="1" ht="14.25" customHeight="1" x14ac:dyDescent="0.3"/>
    <row r="424" customFormat="1" ht="14.25" customHeight="1" x14ac:dyDescent="0.3"/>
    <row r="425" customFormat="1" ht="14.25" customHeight="1" x14ac:dyDescent="0.3"/>
    <row r="426" customFormat="1" ht="14.25" customHeight="1" x14ac:dyDescent="0.3"/>
    <row r="427" customFormat="1" ht="14.25" customHeight="1" x14ac:dyDescent="0.3"/>
    <row r="428" customFormat="1" ht="14.25" customHeight="1" x14ac:dyDescent="0.3"/>
    <row r="429" customFormat="1" ht="14.25" customHeight="1" x14ac:dyDescent="0.3"/>
    <row r="430" customFormat="1" ht="14.25" customHeight="1" x14ac:dyDescent="0.3"/>
    <row r="431" customFormat="1" ht="14.25" customHeight="1" x14ac:dyDescent="0.3"/>
    <row r="432" customFormat="1" ht="14.25" customHeight="1" x14ac:dyDescent="0.3"/>
    <row r="433" customFormat="1" ht="14.25" customHeight="1" x14ac:dyDescent="0.3"/>
    <row r="434" customFormat="1" ht="14.25" customHeight="1" x14ac:dyDescent="0.3"/>
    <row r="435" customFormat="1" ht="14.25" customHeight="1" x14ac:dyDescent="0.3"/>
    <row r="436" customFormat="1" ht="14.25" customHeight="1" x14ac:dyDescent="0.3"/>
    <row r="437" customFormat="1" ht="14.25" customHeight="1" x14ac:dyDescent="0.3"/>
    <row r="438" customFormat="1" ht="14.25" customHeight="1" x14ac:dyDescent="0.3"/>
    <row r="439" customFormat="1" ht="14.25" customHeight="1" x14ac:dyDescent="0.3"/>
    <row r="440" customFormat="1" ht="14.25" customHeight="1" x14ac:dyDescent="0.3"/>
    <row r="441" customFormat="1" ht="14.25" customHeight="1" x14ac:dyDescent="0.3"/>
    <row r="442" customFormat="1" ht="14.25" customHeight="1" x14ac:dyDescent="0.3"/>
    <row r="443" customFormat="1" ht="14.25" customHeight="1" x14ac:dyDescent="0.3"/>
    <row r="444" customFormat="1" ht="14.25" customHeight="1" x14ac:dyDescent="0.3"/>
    <row r="445" customFormat="1" ht="14.25" customHeight="1" x14ac:dyDescent="0.3"/>
    <row r="446" customFormat="1" ht="14.25" customHeight="1" x14ac:dyDescent="0.3"/>
    <row r="447" customFormat="1" ht="14.25" customHeight="1" x14ac:dyDescent="0.3"/>
    <row r="448" customFormat="1" ht="14.25" customHeight="1" x14ac:dyDescent="0.3"/>
    <row r="449" customFormat="1" ht="14.25" customHeight="1" x14ac:dyDescent="0.3"/>
    <row r="450" customFormat="1" ht="14.25" customHeight="1" x14ac:dyDescent="0.3"/>
    <row r="451" customFormat="1" ht="14.25" customHeight="1" x14ac:dyDescent="0.3"/>
    <row r="452" customFormat="1" ht="14.25" customHeight="1" x14ac:dyDescent="0.3"/>
    <row r="453" customFormat="1" ht="14.25" customHeight="1" x14ac:dyDescent="0.3"/>
    <row r="454" customFormat="1" ht="14.25" customHeight="1" x14ac:dyDescent="0.3"/>
    <row r="455" customFormat="1" ht="14.25" customHeight="1" x14ac:dyDescent="0.3"/>
    <row r="456" customFormat="1" ht="14.25" customHeight="1" x14ac:dyDescent="0.3"/>
    <row r="457" customFormat="1" ht="14.25" customHeight="1" x14ac:dyDescent="0.3"/>
    <row r="458" customFormat="1" ht="14.25" customHeight="1" x14ac:dyDescent="0.3"/>
    <row r="459" customFormat="1" ht="14.25" customHeight="1" x14ac:dyDescent="0.3"/>
    <row r="460" customFormat="1" ht="14.25" customHeight="1" x14ac:dyDescent="0.3"/>
    <row r="461" customFormat="1" ht="14.25" customHeight="1" x14ac:dyDescent="0.3"/>
    <row r="462" customFormat="1" ht="14.25" customHeight="1" x14ac:dyDescent="0.3"/>
    <row r="463" customFormat="1" ht="14.25" customHeight="1" x14ac:dyDescent="0.3"/>
    <row r="464" customFormat="1" ht="14.25" customHeight="1" x14ac:dyDescent="0.3"/>
    <row r="465" customFormat="1" ht="14.25" customHeight="1" x14ac:dyDescent="0.3"/>
    <row r="466" customFormat="1" ht="14.25" customHeight="1" x14ac:dyDescent="0.3"/>
    <row r="467" customFormat="1" ht="14.25" customHeight="1" x14ac:dyDescent="0.3"/>
    <row r="468" customFormat="1" ht="14.25" customHeight="1" x14ac:dyDescent="0.3"/>
    <row r="469" customFormat="1" ht="14.25" customHeight="1" x14ac:dyDescent="0.3"/>
    <row r="470" customFormat="1" ht="14.25" customHeight="1" x14ac:dyDescent="0.3"/>
    <row r="471" customFormat="1" ht="14.25" customHeight="1" x14ac:dyDescent="0.3"/>
    <row r="472" customFormat="1" ht="14.25" customHeight="1" x14ac:dyDescent="0.3"/>
    <row r="473" customFormat="1" ht="14.25" customHeight="1" x14ac:dyDescent="0.3"/>
    <row r="474" customFormat="1" ht="14.25" customHeight="1" x14ac:dyDescent="0.3"/>
    <row r="475" customFormat="1" ht="14.25" customHeight="1" x14ac:dyDescent="0.3"/>
    <row r="476" customFormat="1" ht="14.25" customHeight="1" x14ac:dyDescent="0.3"/>
    <row r="477" customFormat="1" ht="14.25" customHeight="1" x14ac:dyDescent="0.3"/>
    <row r="478" customFormat="1" ht="14.25" customHeight="1" x14ac:dyDescent="0.3"/>
    <row r="479" customFormat="1" ht="14.25" customHeight="1" x14ac:dyDescent="0.3"/>
    <row r="480" customFormat="1" ht="14.25" customHeight="1" x14ac:dyDescent="0.3"/>
    <row r="481" customFormat="1" ht="14.25" customHeight="1" x14ac:dyDescent="0.3"/>
    <row r="482" customFormat="1" ht="14.25" customHeight="1" x14ac:dyDescent="0.3"/>
    <row r="483" customFormat="1" ht="14.25" customHeight="1" x14ac:dyDescent="0.3"/>
    <row r="484" customFormat="1" ht="14.25" customHeight="1" x14ac:dyDescent="0.3"/>
    <row r="485" customFormat="1" ht="14.25" customHeight="1" x14ac:dyDescent="0.3"/>
    <row r="486" customFormat="1" ht="14.25" customHeight="1" x14ac:dyDescent="0.3"/>
    <row r="487" customFormat="1" ht="14.25" customHeight="1" x14ac:dyDescent="0.3"/>
    <row r="488" customFormat="1" ht="14.25" customHeight="1" x14ac:dyDescent="0.3"/>
    <row r="489" customFormat="1" ht="14.25" customHeight="1" x14ac:dyDescent="0.3"/>
    <row r="490" customFormat="1" ht="14.25" customHeight="1" x14ac:dyDescent="0.3"/>
    <row r="491" customFormat="1" ht="14.25" customHeight="1" x14ac:dyDescent="0.3"/>
    <row r="492" customFormat="1" ht="14.25" customHeight="1" x14ac:dyDescent="0.3"/>
    <row r="493" customFormat="1" ht="14.25" customHeight="1" x14ac:dyDescent="0.3"/>
    <row r="494" customFormat="1" ht="14.25" customHeight="1" x14ac:dyDescent="0.3"/>
    <row r="495" customFormat="1" ht="14.25" customHeight="1" x14ac:dyDescent="0.3"/>
    <row r="496" customFormat="1" ht="14.25" customHeight="1" x14ac:dyDescent="0.3"/>
    <row r="497" customFormat="1" ht="14.25" customHeight="1" x14ac:dyDescent="0.3"/>
    <row r="498" customFormat="1" ht="14.25" customHeight="1" x14ac:dyDescent="0.3"/>
    <row r="499" customFormat="1" ht="14.25" customHeight="1" x14ac:dyDescent="0.3"/>
    <row r="500" customFormat="1" ht="14.25" customHeight="1" x14ac:dyDescent="0.3"/>
    <row r="501" customFormat="1" ht="14.25" customHeight="1" x14ac:dyDescent="0.3"/>
    <row r="502" customFormat="1" ht="14.25" customHeight="1" x14ac:dyDescent="0.3"/>
    <row r="503" customFormat="1" ht="14.25" customHeight="1" x14ac:dyDescent="0.3"/>
    <row r="504" customFormat="1" ht="14.25" customHeight="1" x14ac:dyDescent="0.3"/>
    <row r="505" customFormat="1" ht="14.25" customHeight="1" x14ac:dyDescent="0.3"/>
    <row r="506" customFormat="1" ht="14.25" customHeight="1" x14ac:dyDescent="0.3"/>
    <row r="507" customFormat="1" ht="14.25" customHeight="1" x14ac:dyDescent="0.3"/>
    <row r="508" customFormat="1" ht="14.25" customHeight="1" x14ac:dyDescent="0.3"/>
    <row r="509" customFormat="1" ht="14.25" customHeight="1" x14ac:dyDescent="0.3"/>
    <row r="510" customFormat="1" ht="14.25" customHeight="1" x14ac:dyDescent="0.3"/>
    <row r="511" customFormat="1" ht="14.25" customHeight="1" x14ac:dyDescent="0.3"/>
    <row r="512" customFormat="1" ht="14.25" customHeight="1" x14ac:dyDescent="0.3"/>
    <row r="513" customFormat="1" ht="14.25" customHeight="1" x14ac:dyDescent="0.3"/>
    <row r="514" customFormat="1" ht="14.25" customHeight="1" x14ac:dyDescent="0.3"/>
    <row r="515" customFormat="1" ht="14.25" customHeight="1" x14ac:dyDescent="0.3"/>
    <row r="516" customFormat="1" ht="14.25" customHeight="1" x14ac:dyDescent="0.3"/>
    <row r="517" customFormat="1" ht="14.25" customHeight="1" x14ac:dyDescent="0.3"/>
    <row r="518" customFormat="1" ht="14.25" customHeight="1" x14ac:dyDescent="0.3"/>
    <row r="519" customFormat="1" ht="14.25" customHeight="1" x14ac:dyDescent="0.3"/>
    <row r="520" customFormat="1" ht="14.25" customHeight="1" x14ac:dyDescent="0.3"/>
    <row r="521" customFormat="1" ht="14.25" customHeight="1" x14ac:dyDescent="0.3"/>
    <row r="522" customFormat="1" ht="14.25" customHeight="1" x14ac:dyDescent="0.3"/>
    <row r="523" customFormat="1" ht="14.25" customHeight="1" x14ac:dyDescent="0.3"/>
    <row r="524" customFormat="1" ht="14.25" customHeight="1" x14ac:dyDescent="0.3"/>
    <row r="525" customFormat="1" ht="14.25" customHeight="1" x14ac:dyDescent="0.3"/>
    <row r="526" customFormat="1" ht="14.25" customHeight="1" x14ac:dyDescent="0.3"/>
    <row r="527" customFormat="1" ht="14.25" customHeight="1" x14ac:dyDescent="0.3"/>
    <row r="528" customFormat="1" ht="14.25" customHeight="1" x14ac:dyDescent="0.3"/>
    <row r="529" customFormat="1" ht="14.25" customHeight="1" x14ac:dyDescent="0.3"/>
    <row r="530" customFormat="1" ht="14.25" customHeight="1" x14ac:dyDescent="0.3"/>
    <row r="531" customFormat="1" ht="14.25" customHeight="1" x14ac:dyDescent="0.3"/>
    <row r="532" customFormat="1" ht="14.25" customHeight="1" x14ac:dyDescent="0.3"/>
    <row r="533" customFormat="1" ht="14.25" customHeight="1" x14ac:dyDescent="0.3"/>
    <row r="534" customFormat="1" ht="14.25" customHeight="1" x14ac:dyDescent="0.3"/>
    <row r="535" customFormat="1" ht="14.25" customHeight="1" x14ac:dyDescent="0.3"/>
    <row r="536" customFormat="1" ht="14.25" customHeight="1" x14ac:dyDescent="0.3"/>
    <row r="537" customFormat="1" ht="14.25" customHeight="1" x14ac:dyDescent="0.3"/>
    <row r="538" customFormat="1" ht="14.25" customHeight="1" x14ac:dyDescent="0.3"/>
    <row r="539" customFormat="1" ht="14.25" customHeight="1" x14ac:dyDescent="0.3"/>
    <row r="540" customFormat="1" ht="14.25" customHeight="1" x14ac:dyDescent="0.3"/>
    <row r="541" customFormat="1" ht="14.25" customHeight="1" x14ac:dyDescent="0.3"/>
    <row r="542" customFormat="1" ht="14.25" customHeight="1" x14ac:dyDescent="0.3"/>
    <row r="543" customFormat="1" ht="14.25" customHeight="1" x14ac:dyDescent="0.3"/>
    <row r="544" customFormat="1" ht="14.25" customHeight="1" x14ac:dyDescent="0.3"/>
    <row r="545" customFormat="1" ht="14.25" customHeight="1" x14ac:dyDescent="0.3"/>
    <row r="546" customFormat="1" ht="14.25" customHeight="1" x14ac:dyDescent="0.3"/>
    <row r="547" customFormat="1" ht="14.25" customHeight="1" x14ac:dyDescent="0.3"/>
    <row r="548" customFormat="1" ht="14.25" customHeight="1" x14ac:dyDescent="0.3"/>
    <row r="549" customFormat="1" ht="14.25" customHeight="1" x14ac:dyDescent="0.3"/>
    <row r="550" customFormat="1" ht="14.25" customHeight="1" x14ac:dyDescent="0.3"/>
    <row r="551" customFormat="1" ht="14.25" customHeight="1" x14ac:dyDescent="0.3"/>
    <row r="552" customFormat="1" ht="14.25" customHeight="1" x14ac:dyDescent="0.3"/>
    <row r="553" customFormat="1" ht="14.25" customHeight="1" x14ac:dyDescent="0.3"/>
    <row r="554" customFormat="1" ht="14.25" customHeight="1" x14ac:dyDescent="0.3"/>
    <row r="555" customFormat="1" ht="14.25" customHeight="1" x14ac:dyDescent="0.3"/>
    <row r="556" customFormat="1" ht="14.25" customHeight="1" x14ac:dyDescent="0.3"/>
    <row r="557" customFormat="1" ht="14.25" customHeight="1" x14ac:dyDescent="0.3"/>
    <row r="558" customFormat="1" ht="14.25" customHeight="1" x14ac:dyDescent="0.3"/>
    <row r="559" customFormat="1" ht="14.25" customHeight="1" x14ac:dyDescent="0.3"/>
    <row r="560" customFormat="1" ht="14.25" customHeight="1" x14ac:dyDescent="0.3"/>
    <row r="561" customFormat="1" ht="14.25" customHeight="1" x14ac:dyDescent="0.3"/>
    <row r="562" customFormat="1" ht="14.25" customHeight="1" x14ac:dyDescent="0.3"/>
    <row r="563" customFormat="1" ht="14.25" customHeight="1" x14ac:dyDescent="0.3"/>
    <row r="564" customFormat="1" ht="14.25" customHeight="1" x14ac:dyDescent="0.3"/>
    <row r="565" customFormat="1" ht="14.25" customHeight="1" x14ac:dyDescent="0.3"/>
    <row r="566" customFormat="1" ht="14.25" customHeight="1" x14ac:dyDescent="0.3"/>
    <row r="567" customFormat="1" ht="14.25" customHeight="1" x14ac:dyDescent="0.3"/>
    <row r="568" customFormat="1" ht="14.25" customHeight="1" x14ac:dyDescent="0.3"/>
    <row r="569" customFormat="1" ht="14.25" customHeight="1" x14ac:dyDescent="0.3"/>
    <row r="570" customFormat="1" ht="14.25" customHeight="1" x14ac:dyDescent="0.3"/>
    <row r="571" customFormat="1" ht="14.25" customHeight="1" x14ac:dyDescent="0.3"/>
    <row r="572" customFormat="1" ht="14.25" customHeight="1" x14ac:dyDescent="0.3"/>
    <row r="573" customFormat="1" ht="14.25" customHeight="1" x14ac:dyDescent="0.3"/>
    <row r="574" customFormat="1" ht="14.25" customHeight="1" x14ac:dyDescent="0.3"/>
    <row r="575" customFormat="1" ht="14.25" customHeight="1" x14ac:dyDescent="0.3"/>
    <row r="576" customFormat="1" ht="14.25" customHeight="1" x14ac:dyDescent="0.3"/>
    <row r="577" customFormat="1" ht="14.25" customHeight="1" x14ac:dyDescent="0.3"/>
    <row r="578" customFormat="1" ht="14.25" customHeight="1" x14ac:dyDescent="0.3"/>
    <row r="579" customFormat="1" ht="14.25" customHeight="1" x14ac:dyDescent="0.3"/>
    <row r="580" customFormat="1" ht="14.25" customHeight="1" x14ac:dyDescent="0.3"/>
    <row r="581" customFormat="1" ht="14.25" customHeight="1" x14ac:dyDescent="0.3"/>
    <row r="582" customFormat="1" ht="14.25" customHeight="1" x14ac:dyDescent="0.3"/>
    <row r="583" customFormat="1" ht="14.25" customHeight="1" x14ac:dyDescent="0.3"/>
    <row r="584" customFormat="1" ht="14.25" customHeight="1" x14ac:dyDescent="0.3"/>
    <row r="585" customFormat="1" ht="14.25" customHeight="1" x14ac:dyDescent="0.3"/>
    <row r="586" customFormat="1" ht="14.25" customHeight="1" x14ac:dyDescent="0.3"/>
    <row r="587" customFormat="1" ht="14.25" customHeight="1" x14ac:dyDescent="0.3"/>
    <row r="588" customFormat="1" ht="14.25" customHeight="1" x14ac:dyDescent="0.3"/>
    <row r="589" customFormat="1" ht="14.25" customHeight="1" x14ac:dyDescent="0.3"/>
    <row r="590" customFormat="1" ht="14.25" customHeight="1" x14ac:dyDescent="0.3"/>
    <row r="591" customFormat="1" ht="14.25" customHeight="1" x14ac:dyDescent="0.3"/>
    <row r="592" customFormat="1" ht="14.25" customHeight="1" x14ac:dyDescent="0.3"/>
    <row r="593" customFormat="1" ht="14.25" customHeight="1" x14ac:dyDescent="0.3"/>
    <row r="594" customFormat="1" ht="14.25" customHeight="1" x14ac:dyDescent="0.3"/>
    <row r="595" customFormat="1" ht="14.25" customHeight="1" x14ac:dyDescent="0.3"/>
    <row r="596" customFormat="1" ht="14.25" customHeight="1" x14ac:dyDescent="0.3"/>
    <row r="597" customFormat="1" ht="14.25" customHeight="1" x14ac:dyDescent="0.3"/>
    <row r="598" customFormat="1" ht="14.25" customHeight="1" x14ac:dyDescent="0.3"/>
    <row r="599" customFormat="1" ht="14.25" customHeight="1" x14ac:dyDescent="0.3"/>
    <row r="600" customFormat="1" ht="14.25" customHeight="1" x14ac:dyDescent="0.3"/>
    <row r="601" customFormat="1" ht="14.25" customHeight="1" x14ac:dyDescent="0.3"/>
    <row r="602" customFormat="1" ht="14.25" customHeight="1" x14ac:dyDescent="0.3"/>
    <row r="603" customFormat="1" ht="14.25" customHeight="1" x14ac:dyDescent="0.3"/>
    <row r="604" customFormat="1" ht="14.25" customHeight="1" x14ac:dyDescent="0.3"/>
    <row r="605" customFormat="1" ht="14.25" customHeight="1" x14ac:dyDescent="0.3"/>
    <row r="606" customFormat="1" ht="14.25" customHeight="1" x14ac:dyDescent="0.3"/>
    <row r="607" customFormat="1" ht="14.25" customHeight="1" x14ac:dyDescent="0.3"/>
    <row r="608" customFormat="1" ht="14.25" customHeight="1" x14ac:dyDescent="0.3"/>
    <row r="609" customFormat="1" ht="14.25" customHeight="1" x14ac:dyDescent="0.3"/>
    <row r="610" customFormat="1" ht="14.25" customHeight="1" x14ac:dyDescent="0.3"/>
    <row r="611" customFormat="1" ht="14.25" customHeight="1" x14ac:dyDescent="0.3"/>
    <row r="612" customFormat="1" ht="14.25" customHeight="1" x14ac:dyDescent="0.3"/>
    <row r="613" customFormat="1" ht="14.25" customHeight="1" x14ac:dyDescent="0.3"/>
    <row r="614" customFormat="1" ht="14.25" customHeight="1" x14ac:dyDescent="0.3"/>
    <row r="615" customFormat="1" ht="14.25" customHeight="1" x14ac:dyDescent="0.3"/>
    <row r="616" customFormat="1" ht="14.25" customHeight="1" x14ac:dyDescent="0.3"/>
    <row r="617" customFormat="1" ht="14.25" customHeight="1" x14ac:dyDescent="0.3"/>
    <row r="618" customFormat="1" ht="14.25" customHeight="1" x14ac:dyDescent="0.3"/>
    <row r="619" customFormat="1" ht="14.25" customHeight="1" x14ac:dyDescent="0.3"/>
    <row r="620" customFormat="1" ht="14.25" customHeight="1" x14ac:dyDescent="0.3"/>
    <row r="621" customFormat="1" ht="14.25" customHeight="1" x14ac:dyDescent="0.3"/>
    <row r="622" customFormat="1" ht="14.25" customHeight="1" x14ac:dyDescent="0.3"/>
    <row r="623" customFormat="1" ht="14.25" customHeight="1" x14ac:dyDescent="0.3"/>
    <row r="624" customFormat="1" ht="14.25" customHeight="1" x14ac:dyDescent="0.3"/>
    <row r="625" customFormat="1" ht="14.25" customHeight="1" x14ac:dyDescent="0.3"/>
    <row r="626" customFormat="1" ht="14.25" customHeight="1" x14ac:dyDescent="0.3"/>
    <row r="627" customFormat="1" ht="14.25" customHeight="1" x14ac:dyDescent="0.3"/>
    <row r="628" customFormat="1" ht="14.25" customHeight="1" x14ac:dyDescent="0.3"/>
    <row r="629" customFormat="1" ht="14.25" customHeight="1" x14ac:dyDescent="0.3"/>
    <row r="630" customFormat="1" ht="14.25" customHeight="1" x14ac:dyDescent="0.3"/>
    <row r="631" customFormat="1" ht="14.25" customHeight="1" x14ac:dyDescent="0.3"/>
    <row r="632" customFormat="1" ht="14.25" customHeight="1" x14ac:dyDescent="0.3"/>
    <row r="633" customFormat="1" ht="14.25" customHeight="1" x14ac:dyDescent="0.3"/>
    <row r="634" customFormat="1" ht="14.25" customHeight="1" x14ac:dyDescent="0.3"/>
    <row r="635" customFormat="1" ht="14.25" customHeight="1" x14ac:dyDescent="0.3"/>
    <row r="636" customFormat="1" ht="14.25" customHeight="1" x14ac:dyDescent="0.3"/>
    <row r="637" customFormat="1" ht="14.25" customHeight="1" x14ac:dyDescent="0.3"/>
    <row r="638" customFormat="1" ht="14.25" customHeight="1" x14ac:dyDescent="0.3"/>
    <row r="639" customFormat="1" ht="14.25" customHeight="1" x14ac:dyDescent="0.3"/>
    <row r="640" customFormat="1" ht="14.25" customHeight="1" x14ac:dyDescent="0.3"/>
    <row r="641" customFormat="1" ht="14.25" customHeight="1" x14ac:dyDescent="0.3"/>
    <row r="642" customFormat="1" ht="14.25" customHeight="1" x14ac:dyDescent="0.3"/>
    <row r="643" customFormat="1" ht="14.25" customHeight="1" x14ac:dyDescent="0.3"/>
    <row r="644" customFormat="1" ht="14.25" customHeight="1" x14ac:dyDescent="0.3"/>
    <row r="645" customFormat="1" ht="14.25" customHeight="1" x14ac:dyDescent="0.3"/>
    <row r="646" customFormat="1" ht="14.25" customHeight="1" x14ac:dyDescent="0.3"/>
    <row r="647" customFormat="1" ht="14.25" customHeight="1" x14ac:dyDescent="0.3"/>
    <row r="648" customFormat="1" ht="14.25" customHeight="1" x14ac:dyDescent="0.3"/>
    <row r="649" customFormat="1" ht="14.25" customHeight="1" x14ac:dyDescent="0.3"/>
    <row r="650" customFormat="1" ht="14.25" customHeight="1" x14ac:dyDescent="0.3"/>
    <row r="651" customFormat="1" ht="14.25" customHeight="1" x14ac:dyDescent="0.3"/>
    <row r="652" customFormat="1" ht="14.25" customHeight="1" x14ac:dyDescent="0.3"/>
    <row r="653" customFormat="1" ht="14.25" customHeight="1" x14ac:dyDescent="0.3"/>
    <row r="654" customFormat="1" ht="14.25" customHeight="1" x14ac:dyDescent="0.3"/>
    <row r="655" customFormat="1" ht="14.25" customHeight="1" x14ac:dyDescent="0.3"/>
    <row r="656" customFormat="1" ht="14.25" customHeight="1" x14ac:dyDescent="0.3"/>
    <row r="657" customFormat="1" ht="14.25" customHeight="1" x14ac:dyDescent="0.3"/>
    <row r="658" customFormat="1" ht="14.25" customHeight="1" x14ac:dyDescent="0.3"/>
    <row r="659" customFormat="1" ht="14.25" customHeight="1" x14ac:dyDescent="0.3"/>
    <row r="660" customFormat="1" ht="14.25" customHeight="1" x14ac:dyDescent="0.3"/>
    <row r="661" customFormat="1" ht="14.25" customHeight="1" x14ac:dyDescent="0.3"/>
    <row r="662" customFormat="1" ht="14.25" customHeight="1" x14ac:dyDescent="0.3"/>
    <row r="663" customFormat="1" ht="14.25" customHeight="1" x14ac:dyDescent="0.3"/>
    <row r="664" customFormat="1" ht="14.25" customHeight="1" x14ac:dyDescent="0.3"/>
    <row r="665" customFormat="1" ht="14.25" customHeight="1" x14ac:dyDescent="0.3"/>
    <row r="666" customFormat="1" ht="14.25" customHeight="1" x14ac:dyDescent="0.3"/>
    <row r="667" customFormat="1" ht="14.25" customHeight="1" x14ac:dyDescent="0.3"/>
    <row r="668" customFormat="1" ht="14.25" customHeight="1" x14ac:dyDescent="0.3"/>
    <row r="669" customFormat="1" ht="14.25" customHeight="1" x14ac:dyDescent="0.3"/>
    <row r="670" customFormat="1" ht="14.25" customHeight="1" x14ac:dyDescent="0.3"/>
    <row r="671" customFormat="1" ht="14.25" customHeight="1" x14ac:dyDescent="0.3"/>
    <row r="672" customFormat="1" ht="14.25" customHeight="1" x14ac:dyDescent="0.3"/>
    <row r="673" customFormat="1" ht="14.25" customHeight="1" x14ac:dyDescent="0.3"/>
    <row r="674" customFormat="1" ht="14.25" customHeight="1" x14ac:dyDescent="0.3"/>
    <row r="675" customFormat="1" ht="14.25" customHeight="1" x14ac:dyDescent="0.3"/>
    <row r="676" customFormat="1" ht="14.25" customHeight="1" x14ac:dyDescent="0.3"/>
    <row r="677" customFormat="1" ht="14.25" customHeight="1" x14ac:dyDescent="0.3"/>
    <row r="678" customFormat="1" ht="14.25" customHeight="1" x14ac:dyDescent="0.3"/>
    <row r="679" customFormat="1" ht="14.25" customHeight="1" x14ac:dyDescent="0.3"/>
    <row r="680" customFormat="1" ht="14.25" customHeight="1" x14ac:dyDescent="0.3"/>
    <row r="681" customFormat="1" ht="14.25" customHeight="1" x14ac:dyDescent="0.3"/>
    <row r="682" customFormat="1" ht="14.25" customHeight="1" x14ac:dyDescent="0.3"/>
    <row r="683" customFormat="1" ht="14.25" customHeight="1" x14ac:dyDescent="0.3"/>
    <row r="684" customFormat="1" ht="14.25" customHeight="1" x14ac:dyDescent="0.3"/>
    <row r="685" customFormat="1" ht="14.25" customHeight="1" x14ac:dyDescent="0.3"/>
    <row r="686" customFormat="1" ht="14.25" customHeight="1" x14ac:dyDescent="0.3"/>
    <row r="687" customFormat="1" ht="14.25" customHeight="1" x14ac:dyDescent="0.3"/>
    <row r="688" customFormat="1" ht="14.25" customHeight="1" x14ac:dyDescent="0.3"/>
    <row r="689" customFormat="1" ht="14.25" customHeight="1" x14ac:dyDescent="0.3"/>
    <row r="690" customFormat="1" ht="14.25" customHeight="1" x14ac:dyDescent="0.3"/>
    <row r="691" customFormat="1" ht="14.25" customHeight="1" x14ac:dyDescent="0.3"/>
    <row r="692" customFormat="1" ht="14.25" customHeight="1" x14ac:dyDescent="0.3"/>
    <row r="693" customFormat="1" ht="14.25" customHeight="1" x14ac:dyDescent="0.3"/>
    <row r="694" customFormat="1" ht="14.25" customHeight="1" x14ac:dyDescent="0.3"/>
    <row r="695" customFormat="1" ht="14.25" customHeight="1" x14ac:dyDescent="0.3"/>
    <row r="696" customFormat="1" ht="14.25" customHeight="1" x14ac:dyDescent="0.3"/>
    <row r="697" customFormat="1" ht="14.25" customHeight="1" x14ac:dyDescent="0.3"/>
    <row r="698" customFormat="1" ht="14.25" customHeight="1" x14ac:dyDescent="0.3"/>
    <row r="699" customFormat="1" ht="14.25" customHeight="1" x14ac:dyDescent="0.3"/>
    <row r="700" customFormat="1" ht="14.25" customHeight="1" x14ac:dyDescent="0.3"/>
    <row r="701" customFormat="1" ht="14.25" customHeight="1" x14ac:dyDescent="0.3"/>
    <row r="702" customFormat="1" ht="14.25" customHeight="1" x14ac:dyDescent="0.3"/>
    <row r="703" customFormat="1" ht="14.25" customHeight="1" x14ac:dyDescent="0.3"/>
    <row r="704" customFormat="1" ht="14.25" customHeight="1" x14ac:dyDescent="0.3"/>
    <row r="705" customFormat="1" ht="14.25" customHeight="1" x14ac:dyDescent="0.3"/>
    <row r="706" customFormat="1" ht="14.25" customHeight="1" x14ac:dyDescent="0.3"/>
    <row r="707" customFormat="1" ht="14.25" customHeight="1" x14ac:dyDescent="0.3"/>
    <row r="708" customFormat="1" ht="14.25" customHeight="1" x14ac:dyDescent="0.3"/>
    <row r="709" customFormat="1" ht="14.25" customHeight="1" x14ac:dyDescent="0.3"/>
    <row r="710" customFormat="1" ht="14.25" customHeight="1" x14ac:dyDescent="0.3"/>
    <row r="711" customFormat="1" ht="14.25" customHeight="1" x14ac:dyDescent="0.3"/>
    <row r="712" customFormat="1" ht="14.25" customHeight="1" x14ac:dyDescent="0.3"/>
    <row r="713" customFormat="1" ht="14.25" customHeight="1" x14ac:dyDescent="0.3"/>
    <row r="714" customFormat="1" ht="14.25" customHeight="1" x14ac:dyDescent="0.3"/>
    <row r="715" customFormat="1" ht="14.25" customHeight="1" x14ac:dyDescent="0.3"/>
    <row r="716" customFormat="1" ht="14.25" customHeight="1" x14ac:dyDescent="0.3"/>
    <row r="717" customFormat="1" ht="14.25" customHeight="1" x14ac:dyDescent="0.3"/>
    <row r="718" customFormat="1" ht="14.25" customHeight="1" x14ac:dyDescent="0.3"/>
    <row r="719" customFormat="1" ht="14.25" customHeight="1" x14ac:dyDescent="0.3"/>
    <row r="720" customFormat="1" ht="14.25" customHeight="1" x14ac:dyDescent="0.3"/>
    <row r="721" customFormat="1" ht="14.25" customHeight="1" x14ac:dyDescent="0.3"/>
    <row r="722" customFormat="1" ht="14.25" customHeight="1" x14ac:dyDescent="0.3"/>
    <row r="723" customFormat="1" ht="14.25" customHeight="1" x14ac:dyDescent="0.3"/>
    <row r="724" customFormat="1" ht="14.25" customHeight="1" x14ac:dyDescent="0.3"/>
    <row r="725" customFormat="1" ht="14.25" customHeight="1" x14ac:dyDescent="0.3"/>
    <row r="726" customFormat="1" ht="14.25" customHeight="1" x14ac:dyDescent="0.3"/>
    <row r="727" customFormat="1" ht="14.25" customHeight="1" x14ac:dyDescent="0.3"/>
    <row r="728" customFormat="1" ht="14.25" customHeight="1" x14ac:dyDescent="0.3"/>
    <row r="729" customFormat="1" ht="14.25" customHeight="1" x14ac:dyDescent="0.3"/>
    <row r="730" customFormat="1" ht="14.25" customHeight="1" x14ac:dyDescent="0.3"/>
    <row r="731" customFormat="1" ht="14.25" customHeight="1" x14ac:dyDescent="0.3"/>
    <row r="732" customFormat="1" ht="14.25" customHeight="1" x14ac:dyDescent="0.3"/>
    <row r="733" customFormat="1" ht="14.25" customHeight="1" x14ac:dyDescent="0.3"/>
    <row r="734" customFormat="1" ht="14.25" customHeight="1" x14ac:dyDescent="0.3"/>
    <row r="735" customFormat="1" ht="14.25" customHeight="1" x14ac:dyDescent="0.3"/>
    <row r="736" customFormat="1" ht="14.25" customHeight="1" x14ac:dyDescent="0.3"/>
    <row r="737" customFormat="1" ht="14.25" customHeight="1" x14ac:dyDescent="0.3"/>
    <row r="738" customFormat="1" ht="14.25" customHeight="1" x14ac:dyDescent="0.3"/>
    <row r="739" customFormat="1" ht="14.25" customHeight="1" x14ac:dyDescent="0.3"/>
    <row r="740" customFormat="1" ht="14.25" customHeight="1" x14ac:dyDescent="0.3"/>
    <row r="741" customFormat="1" ht="14.25" customHeight="1" x14ac:dyDescent="0.3"/>
    <row r="742" customFormat="1" ht="14.25" customHeight="1" x14ac:dyDescent="0.3"/>
    <row r="743" customFormat="1" ht="14.25" customHeight="1" x14ac:dyDescent="0.3"/>
    <row r="744" customFormat="1" ht="14.25" customHeight="1" x14ac:dyDescent="0.3"/>
    <row r="745" customFormat="1" ht="14.25" customHeight="1" x14ac:dyDescent="0.3"/>
    <row r="746" customFormat="1" ht="14.25" customHeight="1" x14ac:dyDescent="0.3"/>
    <row r="747" customFormat="1" ht="14.25" customHeight="1" x14ac:dyDescent="0.3"/>
    <row r="748" customFormat="1" ht="14.25" customHeight="1" x14ac:dyDescent="0.3"/>
    <row r="749" customFormat="1" ht="14.25" customHeight="1" x14ac:dyDescent="0.3"/>
    <row r="750" customFormat="1" ht="14.25" customHeight="1" x14ac:dyDescent="0.3"/>
    <row r="751" customFormat="1" ht="14.25" customHeight="1" x14ac:dyDescent="0.3"/>
    <row r="752" customFormat="1" ht="14.25" customHeight="1" x14ac:dyDescent="0.3"/>
    <row r="753" customFormat="1" ht="14.25" customHeight="1" x14ac:dyDescent="0.3"/>
    <row r="754" customFormat="1" ht="14.25" customHeight="1" x14ac:dyDescent="0.3"/>
    <row r="755" customFormat="1" ht="14.25" customHeight="1" x14ac:dyDescent="0.3"/>
    <row r="756" customFormat="1" ht="14.25" customHeight="1" x14ac:dyDescent="0.3"/>
    <row r="757" customFormat="1" ht="14.25" customHeight="1" x14ac:dyDescent="0.3"/>
    <row r="758" customFormat="1" ht="14.25" customHeight="1" x14ac:dyDescent="0.3"/>
    <row r="759" customFormat="1" ht="14.25" customHeight="1" x14ac:dyDescent="0.3"/>
    <row r="760" customFormat="1" ht="14.25" customHeight="1" x14ac:dyDescent="0.3"/>
    <row r="761" customFormat="1" ht="14.25" customHeight="1" x14ac:dyDescent="0.3"/>
    <row r="762" customFormat="1" ht="14.25" customHeight="1" x14ac:dyDescent="0.3"/>
    <row r="763" customFormat="1" ht="14.25" customHeight="1" x14ac:dyDescent="0.3"/>
    <row r="764" customFormat="1" ht="14.25" customHeight="1" x14ac:dyDescent="0.3"/>
    <row r="765" customFormat="1" ht="14.25" customHeight="1" x14ac:dyDescent="0.3"/>
    <row r="766" customFormat="1" ht="14.25" customHeight="1" x14ac:dyDescent="0.3"/>
    <row r="767" customFormat="1" ht="14.25" customHeight="1" x14ac:dyDescent="0.3"/>
    <row r="768" customFormat="1" ht="14.25" customHeight="1" x14ac:dyDescent="0.3"/>
    <row r="769" customFormat="1" ht="14.25" customHeight="1" x14ac:dyDescent="0.3"/>
    <row r="770" customFormat="1" ht="14.25" customHeight="1" x14ac:dyDescent="0.3"/>
    <row r="771" customFormat="1" ht="14.25" customHeight="1" x14ac:dyDescent="0.3"/>
    <row r="772" customFormat="1" ht="14.25" customHeight="1" x14ac:dyDescent="0.3"/>
    <row r="773" customFormat="1" ht="14.25" customHeight="1" x14ac:dyDescent="0.3"/>
    <row r="774" customFormat="1" ht="14.25" customHeight="1" x14ac:dyDescent="0.3"/>
    <row r="775" customFormat="1" ht="14.25" customHeight="1" x14ac:dyDescent="0.3"/>
    <row r="776" customFormat="1" ht="14.25" customHeight="1" x14ac:dyDescent="0.3"/>
    <row r="777" customFormat="1" ht="14.25" customHeight="1" x14ac:dyDescent="0.3"/>
    <row r="778" customFormat="1" ht="14.25" customHeight="1" x14ac:dyDescent="0.3"/>
    <row r="779" customFormat="1" ht="14.25" customHeight="1" x14ac:dyDescent="0.3"/>
    <row r="780" customFormat="1" ht="14.25" customHeight="1" x14ac:dyDescent="0.3"/>
    <row r="781" customFormat="1" ht="14.25" customHeight="1" x14ac:dyDescent="0.3"/>
    <row r="782" customFormat="1" ht="14.25" customHeight="1" x14ac:dyDescent="0.3"/>
    <row r="783" customFormat="1" ht="14.25" customHeight="1" x14ac:dyDescent="0.3"/>
    <row r="784" customFormat="1" ht="14.25" customHeight="1" x14ac:dyDescent="0.3"/>
    <row r="785" customFormat="1" ht="14.25" customHeight="1" x14ac:dyDescent="0.3"/>
    <row r="786" customFormat="1" ht="14.25" customHeight="1" x14ac:dyDescent="0.3"/>
    <row r="787" customFormat="1" ht="14.25" customHeight="1" x14ac:dyDescent="0.3"/>
    <row r="788" customFormat="1" ht="14.25" customHeight="1" x14ac:dyDescent="0.3"/>
    <row r="789" customFormat="1" ht="14.25" customHeight="1" x14ac:dyDescent="0.3"/>
    <row r="790" customFormat="1" ht="14.25" customHeight="1" x14ac:dyDescent="0.3"/>
    <row r="791" customFormat="1" ht="14.25" customHeight="1" x14ac:dyDescent="0.3"/>
    <row r="792" customFormat="1" ht="14.25" customHeight="1" x14ac:dyDescent="0.3"/>
    <row r="793" customFormat="1" ht="14.25" customHeight="1" x14ac:dyDescent="0.3"/>
    <row r="794" customFormat="1" ht="14.25" customHeight="1" x14ac:dyDescent="0.3"/>
    <row r="795" customFormat="1" ht="14.25" customHeight="1" x14ac:dyDescent="0.3"/>
    <row r="796" customFormat="1" ht="14.25" customHeight="1" x14ac:dyDescent="0.3"/>
    <row r="797" customFormat="1" ht="14.25" customHeight="1" x14ac:dyDescent="0.3"/>
    <row r="798" customFormat="1" ht="14.25" customHeight="1" x14ac:dyDescent="0.3"/>
    <row r="799" customFormat="1" ht="14.25" customHeight="1" x14ac:dyDescent="0.3"/>
    <row r="800" customFormat="1" ht="14.25" customHeight="1" x14ac:dyDescent="0.3"/>
    <row r="801" customFormat="1" ht="14.25" customHeight="1" x14ac:dyDescent="0.3"/>
    <row r="802" customFormat="1" ht="14.25" customHeight="1" x14ac:dyDescent="0.3"/>
    <row r="803" customFormat="1" ht="14.25" customHeight="1" x14ac:dyDescent="0.3"/>
    <row r="804" customFormat="1" ht="14.25" customHeight="1" x14ac:dyDescent="0.3"/>
    <row r="805" customFormat="1" ht="14.25" customHeight="1" x14ac:dyDescent="0.3"/>
    <row r="806" customFormat="1" ht="14.25" customHeight="1" x14ac:dyDescent="0.3"/>
    <row r="807" customFormat="1" ht="14.25" customHeight="1" x14ac:dyDescent="0.3"/>
    <row r="808" customFormat="1" ht="14.25" customHeight="1" x14ac:dyDescent="0.3"/>
    <row r="809" customFormat="1" ht="14.25" customHeight="1" x14ac:dyDescent="0.3"/>
    <row r="810" customFormat="1" ht="14.25" customHeight="1" x14ac:dyDescent="0.3"/>
    <row r="811" customFormat="1" ht="14.25" customHeight="1" x14ac:dyDescent="0.3"/>
    <row r="812" customFormat="1" ht="14.25" customHeight="1" x14ac:dyDescent="0.3"/>
    <row r="813" customFormat="1" ht="14.25" customHeight="1" x14ac:dyDescent="0.3"/>
    <row r="814" customFormat="1" ht="14.25" customHeight="1" x14ac:dyDescent="0.3"/>
    <row r="815" customFormat="1" ht="14.25" customHeight="1" x14ac:dyDescent="0.3"/>
    <row r="816" customFormat="1" ht="14.25" customHeight="1" x14ac:dyDescent="0.3"/>
    <row r="817" customFormat="1" ht="14.25" customHeight="1" x14ac:dyDescent="0.3"/>
    <row r="818" customFormat="1" ht="14.25" customHeight="1" x14ac:dyDescent="0.3"/>
    <row r="819" customFormat="1" ht="14.25" customHeight="1" x14ac:dyDescent="0.3"/>
    <row r="820" customFormat="1" ht="14.25" customHeight="1" x14ac:dyDescent="0.3"/>
    <row r="821" customFormat="1" ht="14.25" customHeight="1" x14ac:dyDescent="0.3"/>
    <row r="822" customFormat="1" ht="14.25" customHeight="1" x14ac:dyDescent="0.3"/>
    <row r="823" customFormat="1" ht="14.25" customHeight="1" x14ac:dyDescent="0.3"/>
    <row r="824" customFormat="1" ht="14.25" customHeight="1" x14ac:dyDescent="0.3"/>
    <row r="825" customFormat="1" ht="14.25" customHeight="1" x14ac:dyDescent="0.3"/>
    <row r="826" customFormat="1" ht="14.25" customHeight="1" x14ac:dyDescent="0.3"/>
    <row r="827" customFormat="1" ht="14.25" customHeight="1" x14ac:dyDescent="0.3"/>
    <row r="828" customFormat="1" ht="14.25" customHeight="1" x14ac:dyDescent="0.3"/>
    <row r="829" customFormat="1" ht="14.25" customHeight="1" x14ac:dyDescent="0.3"/>
    <row r="830" customFormat="1" ht="14.25" customHeight="1" x14ac:dyDescent="0.3"/>
    <row r="831" customFormat="1" ht="14.25" customHeight="1" x14ac:dyDescent="0.3"/>
    <row r="832" customFormat="1" ht="14.25" customHeight="1" x14ac:dyDescent="0.3"/>
    <row r="833" customFormat="1" ht="14.25" customHeight="1" x14ac:dyDescent="0.3"/>
    <row r="834" customFormat="1" ht="14.25" customHeight="1" x14ac:dyDescent="0.3"/>
    <row r="835" customFormat="1" ht="14.25" customHeight="1" x14ac:dyDescent="0.3"/>
    <row r="836" customFormat="1" ht="14.25" customHeight="1" x14ac:dyDescent="0.3"/>
    <row r="837" customFormat="1" ht="14.25" customHeight="1" x14ac:dyDescent="0.3"/>
    <row r="838" customFormat="1" ht="14.25" customHeight="1" x14ac:dyDescent="0.3"/>
    <row r="839" customFormat="1" ht="14.25" customHeight="1" x14ac:dyDescent="0.3"/>
    <row r="840" customFormat="1" ht="14.25" customHeight="1" x14ac:dyDescent="0.3"/>
    <row r="841" customFormat="1" ht="14.25" customHeight="1" x14ac:dyDescent="0.3"/>
    <row r="842" customFormat="1" ht="14.25" customHeight="1" x14ac:dyDescent="0.3"/>
    <row r="843" customFormat="1" ht="14.25" customHeight="1" x14ac:dyDescent="0.3"/>
    <row r="844" customFormat="1" ht="14.25" customHeight="1" x14ac:dyDescent="0.3"/>
    <row r="845" customFormat="1" ht="14.25" customHeight="1" x14ac:dyDescent="0.3"/>
    <row r="846" customFormat="1" ht="14.25" customHeight="1" x14ac:dyDescent="0.3"/>
    <row r="847" customFormat="1" ht="14.25" customHeight="1" x14ac:dyDescent="0.3"/>
    <row r="848" customFormat="1" ht="14.25" customHeight="1" x14ac:dyDescent="0.3"/>
    <row r="849" customFormat="1" ht="14.25" customHeight="1" x14ac:dyDescent="0.3"/>
    <row r="850" customFormat="1" ht="14.25" customHeight="1" x14ac:dyDescent="0.3"/>
    <row r="851" customFormat="1" ht="14.25" customHeight="1" x14ac:dyDescent="0.3"/>
    <row r="852" customFormat="1" ht="14.25" customHeight="1" x14ac:dyDescent="0.3"/>
    <row r="853" customFormat="1" ht="14.25" customHeight="1" x14ac:dyDescent="0.3"/>
    <row r="854" customFormat="1" ht="14.25" customHeight="1" x14ac:dyDescent="0.3"/>
    <row r="855" customFormat="1" ht="14.25" customHeight="1" x14ac:dyDescent="0.3"/>
    <row r="856" customFormat="1" ht="14.25" customHeight="1" x14ac:dyDescent="0.3"/>
    <row r="857" customFormat="1" ht="14.25" customHeight="1" x14ac:dyDescent="0.3"/>
    <row r="858" customFormat="1" ht="14.25" customHeight="1" x14ac:dyDescent="0.3"/>
    <row r="859" customFormat="1" ht="14.25" customHeight="1" x14ac:dyDescent="0.3"/>
    <row r="860" customFormat="1" ht="14.25" customHeight="1" x14ac:dyDescent="0.3"/>
    <row r="861" customFormat="1" ht="14.25" customHeight="1" x14ac:dyDescent="0.3"/>
    <row r="862" customFormat="1" ht="14.25" customHeight="1" x14ac:dyDescent="0.3"/>
    <row r="863" customFormat="1" ht="14.25" customHeight="1" x14ac:dyDescent="0.3"/>
    <row r="864" customFormat="1" ht="14.25" customHeight="1" x14ac:dyDescent="0.3"/>
    <row r="865" customFormat="1" ht="14.25" customHeight="1" x14ac:dyDescent="0.3"/>
    <row r="866" customFormat="1" ht="14.25" customHeight="1" x14ac:dyDescent="0.3"/>
    <row r="867" customFormat="1" ht="14.25" customHeight="1" x14ac:dyDescent="0.3"/>
    <row r="868" customFormat="1" ht="14.25" customHeight="1" x14ac:dyDescent="0.3"/>
    <row r="869" customFormat="1" ht="14.25" customHeight="1" x14ac:dyDescent="0.3"/>
    <row r="870" customFormat="1" ht="14.25" customHeight="1" x14ac:dyDescent="0.3"/>
    <row r="871" customFormat="1" ht="14.25" customHeight="1" x14ac:dyDescent="0.3"/>
    <row r="872" customFormat="1" ht="14.25" customHeight="1" x14ac:dyDescent="0.3"/>
    <row r="873" customFormat="1" ht="14.25" customHeight="1" x14ac:dyDescent="0.3"/>
    <row r="874" customFormat="1" ht="14.25" customHeight="1" x14ac:dyDescent="0.3"/>
    <row r="875" customFormat="1" ht="14.25" customHeight="1" x14ac:dyDescent="0.3"/>
    <row r="876" customFormat="1" ht="14.25" customHeight="1" x14ac:dyDescent="0.3"/>
    <row r="877" customFormat="1" ht="14.25" customHeight="1" x14ac:dyDescent="0.3"/>
    <row r="878" customFormat="1" ht="14.25" customHeight="1" x14ac:dyDescent="0.3"/>
    <row r="879" customFormat="1" ht="14.25" customHeight="1" x14ac:dyDescent="0.3"/>
    <row r="880" customFormat="1" ht="14.25" customHeight="1" x14ac:dyDescent="0.3"/>
    <row r="881" customFormat="1" ht="14.25" customHeight="1" x14ac:dyDescent="0.3"/>
    <row r="882" customFormat="1" ht="14.25" customHeight="1" x14ac:dyDescent="0.3"/>
    <row r="883" customFormat="1" ht="14.25" customHeight="1" x14ac:dyDescent="0.3"/>
    <row r="884" customFormat="1" ht="14.25" customHeight="1" x14ac:dyDescent="0.3"/>
    <row r="885" customFormat="1" ht="14.25" customHeight="1" x14ac:dyDescent="0.3"/>
    <row r="886" customFormat="1" ht="14.25" customHeight="1" x14ac:dyDescent="0.3"/>
    <row r="887" customFormat="1" ht="14.25" customHeight="1" x14ac:dyDescent="0.3"/>
    <row r="888" customFormat="1" ht="14.25" customHeight="1" x14ac:dyDescent="0.3"/>
    <row r="889" customFormat="1" ht="14.25" customHeight="1" x14ac:dyDescent="0.3"/>
    <row r="890" customFormat="1" ht="14.25" customHeight="1" x14ac:dyDescent="0.3"/>
    <row r="891" customFormat="1" ht="14.25" customHeight="1" x14ac:dyDescent="0.3"/>
    <row r="892" customFormat="1" ht="14.25" customHeight="1" x14ac:dyDescent="0.3"/>
    <row r="893" customFormat="1" ht="14.25" customHeight="1" x14ac:dyDescent="0.3"/>
    <row r="894" customFormat="1" ht="14.25" customHeight="1" x14ac:dyDescent="0.3"/>
    <row r="895" customFormat="1" ht="14.25" customHeight="1" x14ac:dyDescent="0.3"/>
    <row r="896" customFormat="1" ht="14.25" customHeight="1" x14ac:dyDescent="0.3"/>
    <row r="897" customFormat="1" ht="14.25" customHeight="1" x14ac:dyDescent="0.3"/>
    <row r="898" customFormat="1" ht="14.25" customHeight="1" x14ac:dyDescent="0.3"/>
    <row r="899" customFormat="1" ht="14.25" customHeight="1" x14ac:dyDescent="0.3"/>
    <row r="900" customFormat="1" ht="14.25" customHeight="1" x14ac:dyDescent="0.3"/>
    <row r="901" customFormat="1" ht="14.25" customHeight="1" x14ac:dyDescent="0.3"/>
    <row r="902" customFormat="1" ht="14.25" customHeight="1" x14ac:dyDescent="0.3"/>
    <row r="903" customFormat="1" ht="14.25" customHeight="1" x14ac:dyDescent="0.3"/>
    <row r="904" customFormat="1" ht="14.25" customHeight="1" x14ac:dyDescent="0.3"/>
    <row r="905" customFormat="1" ht="14.25" customHeight="1" x14ac:dyDescent="0.3"/>
    <row r="906" customFormat="1" ht="14.25" customHeight="1" x14ac:dyDescent="0.3"/>
    <row r="907" customFormat="1" ht="14.25" customHeight="1" x14ac:dyDescent="0.3"/>
    <row r="908" customFormat="1" ht="14.25" customHeight="1" x14ac:dyDescent="0.3"/>
    <row r="909" customFormat="1" ht="14.25" customHeight="1" x14ac:dyDescent="0.3"/>
    <row r="910" customFormat="1" ht="14.25" customHeight="1" x14ac:dyDescent="0.3"/>
    <row r="911" customFormat="1" ht="14.25" customHeight="1" x14ac:dyDescent="0.3"/>
    <row r="912" customFormat="1" ht="14.25" customHeight="1" x14ac:dyDescent="0.3"/>
    <row r="913" customFormat="1" ht="14.25" customHeight="1" x14ac:dyDescent="0.3"/>
    <row r="914" customFormat="1" ht="14.25" customHeight="1" x14ac:dyDescent="0.3"/>
    <row r="915" customFormat="1" ht="14.25" customHeight="1" x14ac:dyDescent="0.3"/>
    <row r="916" customFormat="1" ht="14.25" customHeight="1" x14ac:dyDescent="0.3"/>
    <row r="917" customFormat="1" ht="14.25" customHeight="1" x14ac:dyDescent="0.3"/>
    <row r="918" customFormat="1" ht="14.25" customHeight="1" x14ac:dyDescent="0.3"/>
    <row r="919" customFormat="1" ht="14.25" customHeight="1" x14ac:dyDescent="0.3"/>
    <row r="920" customFormat="1" ht="14.25" customHeight="1" x14ac:dyDescent="0.3"/>
    <row r="921" customFormat="1" ht="14.25" customHeight="1" x14ac:dyDescent="0.3"/>
    <row r="922" customFormat="1" ht="14.25" customHeight="1" x14ac:dyDescent="0.3"/>
    <row r="923" customFormat="1" ht="14.25" customHeight="1" x14ac:dyDescent="0.3"/>
    <row r="924" customFormat="1" ht="14.25" customHeight="1" x14ac:dyDescent="0.3"/>
    <row r="925" customFormat="1" ht="14.25" customHeight="1" x14ac:dyDescent="0.3"/>
    <row r="926" customFormat="1" ht="14.25" customHeight="1" x14ac:dyDescent="0.3"/>
    <row r="927" customFormat="1" ht="14.25" customHeight="1" x14ac:dyDescent="0.3"/>
    <row r="928" customFormat="1" ht="14.25" customHeight="1" x14ac:dyDescent="0.3"/>
    <row r="929" customFormat="1" ht="14.25" customHeight="1" x14ac:dyDescent="0.3"/>
    <row r="930" customFormat="1" ht="14.25" customHeight="1" x14ac:dyDescent="0.3"/>
    <row r="931" customFormat="1" ht="14.25" customHeight="1" x14ac:dyDescent="0.3"/>
    <row r="932" customFormat="1" ht="14.25" customHeight="1" x14ac:dyDescent="0.3"/>
    <row r="933" customFormat="1" ht="14.25" customHeight="1" x14ac:dyDescent="0.3"/>
    <row r="934" customFormat="1" ht="14.25" customHeight="1" x14ac:dyDescent="0.3"/>
    <row r="935" customFormat="1" ht="14.25" customHeight="1" x14ac:dyDescent="0.3"/>
    <row r="936" customFormat="1" ht="14.25" customHeight="1" x14ac:dyDescent="0.3"/>
    <row r="937" customFormat="1" ht="14.25" customHeight="1" x14ac:dyDescent="0.3"/>
    <row r="938" customFormat="1" ht="14.25" customHeight="1" x14ac:dyDescent="0.3"/>
    <row r="939" customFormat="1" ht="14.25" customHeight="1" x14ac:dyDescent="0.3"/>
    <row r="940" customFormat="1" ht="14.25" customHeight="1" x14ac:dyDescent="0.3"/>
    <row r="941" customFormat="1" ht="14.25" customHeight="1" x14ac:dyDescent="0.3"/>
    <row r="942" customFormat="1" ht="14.25" customHeight="1" x14ac:dyDescent="0.3"/>
    <row r="943" customFormat="1" ht="14.25" customHeight="1" x14ac:dyDescent="0.3"/>
    <row r="944" customFormat="1" ht="14.25" customHeight="1" x14ac:dyDescent="0.3"/>
    <row r="945" customFormat="1" ht="14.25" customHeight="1" x14ac:dyDescent="0.3"/>
    <row r="946" customFormat="1" ht="14.25" customHeight="1" x14ac:dyDescent="0.3"/>
    <row r="947" customFormat="1" ht="14.25" customHeight="1" x14ac:dyDescent="0.3"/>
    <row r="948" customFormat="1" ht="14.25" customHeight="1" x14ac:dyDescent="0.3"/>
    <row r="949" customFormat="1" ht="14.25" customHeight="1" x14ac:dyDescent="0.3"/>
    <row r="950" customFormat="1" ht="14.25" customHeight="1" x14ac:dyDescent="0.3"/>
    <row r="951" customFormat="1" ht="14.25" customHeight="1" x14ac:dyDescent="0.3"/>
    <row r="952" customFormat="1" ht="14.25" customHeight="1" x14ac:dyDescent="0.3"/>
    <row r="953" customFormat="1" ht="14.25" customHeight="1" x14ac:dyDescent="0.3"/>
    <row r="954" customFormat="1" ht="14.25" customHeight="1" x14ac:dyDescent="0.3"/>
    <row r="955" customFormat="1" ht="14.25" customHeight="1" x14ac:dyDescent="0.3"/>
    <row r="956" customFormat="1" ht="14.25" customHeight="1" x14ac:dyDescent="0.3"/>
    <row r="957" customFormat="1" ht="14.25" customHeight="1" x14ac:dyDescent="0.3"/>
    <row r="958" customFormat="1" ht="14.25" customHeight="1" x14ac:dyDescent="0.3"/>
    <row r="959" customFormat="1" ht="14.25" customHeight="1" x14ac:dyDescent="0.3"/>
    <row r="960" customFormat="1" ht="14.25" customHeight="1" x14ac:dyDescent="0.3"/>
    <row r="961" customFormat="1" ht="14.25" customHeight="1" x14ac:dyDescent="0.3"/>
    <row r="962" customFormat="1" ht="14.25" customHeight="1" x14ac:dyDescent="0.3"/>
    <row r="963" customFormat="1" ht="14.25" customHeight="1" x14ac:dyDescent="0.3"/>
    <row r="964" customFormat="1" ht="14.25" customHeight="1" x14ac:dyDescent="0.3"/>
    <row r="965" customFormat="1" ht="14.25" customHeight="1" x14ac:dyDescent="0.3"/>
    <row r="966" customFormat="1" ht="14.25" customHeight="1" x14ac:dyDescent="0.3"/>
    <row r="967" customFormat="1" ht="14.25" customHeight="1" x14ac:dyDescent="0.3"/>
    <row r="968" customFormat="1" ht="14.25" customHeight="1" x14ac:dyDescent="0.3"/>
    <row r="969" customFormat="1" ht="14.25" customHeight="1" x14ac:dyDescent="0.3"/>
    <row r="970" customFormat="1" ht="14.25" customHeight="1" x14ac:dyDescent="0.3"/>
    <row r="971" customFormat="1" ht="14.25" customHeight="1" x14ac:dyDescent="0.3"/>
    <row r="972" customFormat="1" ht="14.25" customHeight="1" x14ac:dyDescent="0.3"/>
    <row r="973" customFormat="1" ht="14.25" customHeight="1" x14ac:dyDescent="0.3"/>
    <row r="974" customFormat="1" ht="14.25" customHeight="1" x14ac:dyDescent="0.3"/>
    <row r="975" customFormat="1" ht="14.25" customHeight="1" x14ac:dyDescent="0.3"/>
    <row r="976" customFormat="1" ht="14.25" customHeight="1" x14ac:dyDescent="0.3"/>
    <row r="977" customFormat="1" ht="14.25" customHeight="1" x14ac:dyDescent="0.3"/>
    <row r="978" customFormat="1" ht="14.25" customHeight="1" x14ac:dyDescent="0.3"/>
    <row r="979" customFormat="1" ht="14.25" customHeight="1" x14ac:dyDescent="0.3"/>
    <row r="980" customFormat="1" ht="14.25" customHeight="1" x14ac:dyDescent="0.3"/>
    <row r="981" customFormat="1" ht="14.25" customHeight="1" x14ac:dyDescent="0.3"/>
    <row r="982" customFormat="1" ht="14.25" customHeight="1" x14ac:dyDescent="0.3"/>
    <row r="983" customFormat="1" ht="14.25" customHeight="1" x14ac:dyDescent="0.3"/>
    <row r="984" customFormat="1" ht="14.25" customHeight="1" x14ac:dyDescent="0.3"/>
    <row r="985" customFormat="1" ht="14.25" customHeight="1" x14ac:dyDescent="0.3"/>
    <row r="986" customFormat="1" ht="14.25" customHeight="1" x14ac:dyDescent="0.3"/>
    <row r="987" customFormat="1" ht="14.25" customHeight="1" x14ac:dyDescent="0.3"/>
    <row r="988" customFormat="1" ht="14.25" customHeight="1" x14ac:dyDescent="0.3"/>
    <row r="989" customFormat="1" ht="14.25" customHeight="1" x14ac:dyDescent="0.3"/>
    <row r="990" customFormat="1" ht="14.25" customHeight="1" x14ac:dyDescent="0.3"/>
    <row r="991" customFormat="1" ht="14.25" customHeight="1" x14ac:dyDescent="0.3"/>
    <row r="992" customFormat="1" ht="14.25" customHeight="1" x14ac:dyDescent="0.3"/>
    <row r="993" customFormat="1" ht="14.25" customHeight="1" x14ac:dyDescent="0.3"/>
    <row r="994" customFormat="1" ht="14.25" customHeight="1" x14ac:dyDescent="0.3"/>
    <row r="995" customFormat="1" ht="14.25" customHeight="1" x14ac:dyDescent="0.3"/>
    <row r="996" customFormat="1" ht="14.25" customHeight="1" x14ac:dyDescent="0.3"/>
    <row r="997" customFormat="1" ht="14.25" customHeight="1" x14ac:dyDescent="0.3"/>
    <row r="998" customFormat="1" ht="14.25" customHeight="1" x14ac:dyDescent="0.3"/>
    <row r="999" customFormat="1" ht="14.25" customHeight="1" x14ac:dyDescent="0.3"/>
    <row r="1000" customFormat="1" ht="14.25" customHeight="1"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2C5E8-2935-44A8-9C99-BB86211763C5}">
  <dimension ref="B2:H320"/>
  <sheetViews>
    <sheetView workbookViewId="0">
      <selection activeCell="I317" sqref="I317"/>
    </sheetView>
  </sheetViews>
  <sheetFormatPr defaultRowHeight="14.4" x14ac:dyDescent="0.3"/>
  <cols>
    <col min="1" max="1" width="8.6640625" customWidth="1"/>
    <col min="2" max="2" width="5" bestFit="1" customWidth="1"/>
    <col min="3" max="3" width="14.88671875" customWidth="1"/>
    <col min="4" max="4" width="21.5546875" customWidth="1"/>
    <col min="5" max="5" width="10.33203125" customWidth="1"/>
    <col min="6" max="6" width="7.77734375" bestFit="1" customWidth="1"/>
    <col min="7" max="7" width="9.5546875" bestFit="1" customWidth="1"/>
    <col min="8" max="8" width="8.6640625" customWidth="1"/>
  </cols>
  <sheetData>
    <row r="2" spans="2:8" x14ac:dyDescent="0.3">
      <c r="B2" s="225" t="s">
        <v>289</v>
      </c>
      <c r="C2" s="225"/>
      <c r="D2" s="225"/>
      <c r="E2" s="225"/>
      <c r="F2" s="225"/>
      <c r="G2" s="225"/>
      <c r="H2" s="225"/>
    </row>
    <row r="3" spans="2:8" x14ac:dyDescent="0.3">
      <c r="B3" s="225"/>
      <c r="C3" s="225"/>
      <c r="D3" s="225"/>
      <c r="E3" s="225"/>
      <c r="F3" s="225"/>
      <c r="G3" s="225"/>
      <c r="H3" s="225"/>
    </row>
    <row r="4" spans="2:8" x14ac:dyDescent="0.3">
      <c r="B4" s="226" t="s">
        <v>288</v>
      </c>
      <c r="C4" s="226"/>
      <c r="D4" s="226"/>
      <c r="E4" s="226"/>
      <c r="F4" s="226"/>
      <c r="G4" s="226"/>
      <c r="H4" s="226"/>
    </row>
    <row r="5" spans="2:8" x14ac:dyDescent="0.3">
      <c r="B5" s="226" t="s">
        <v>287</v>
      </c>
      <c r="C5" s="226"/>
      <c r="D5" s="226"/>
      <c r="E5" s="226"/>
      <c r="F5" s="226"/>
      <c r="G5" s="226"/>
      <c r="H5" s="226"/>
    </row>
    <row r="7" spans="2:8" x14ac:dyDescent="0.3">
      <c r="B7" s="78" t="s">
        <v>286</v>
      </c>
      <c r="C7" s="80" t="s">
        <v>285</v>
      </c>
      <c r="D7" s="80" t="s">
        <v>284</v>
      </c>
      <c r="E7" s="80" t="s">
        <v>283</v>
      </c>
      <c r="F7" s="80" t="s">
        <v>282</v>
      </c>
      <c r="G7" s="80" t="s">
        <v>281</v>
      </c>
    </row>
    <row r="8" spans="2:8" x14ac:dyDescent="0.3">
      <c r="B8" s="78">
        <v>1</v>
      </c>
      <c r="C8" s="80" t="s">
        <v>280</v>
      </c>
      <c r="D8" s="80" t="s">
        <v>278</v>
      </c>
      <c r="E8" s="79">
        <v>44348</v>
      </c>
      <c r="F8" s="80">
        <v>108879</v>
      </c>
      <c r="G8" s="10" t="str">
        <f t="shared" ref="G8:G71" si="0">"Q"&amp;INT(MONTH(E8)-1/3)+1</f>
        <v>Q6</v>
      </c>
    </row>
    <row r="9" spans="2:8" x14ac:dyDescent="0.3">
      <c r="B9" s="78">
        <v>2</v>
      </c>
      <c r="C9" s="80" t="s">
        <v>280</v>
      </c>
      <c r="D9" s="80" t="s">
        <v>275</v>
      </c>
      <c r="E9" s="79">
        <v>44470</v>
      </c>
      <c r="F9" s="80">
        <v>165656</v>
      </c>
      <c r="G9" s="10" t="str">
        <f t="shared" si="0"/>
        <v>Q10</v>
      </c>
    </row>
    <row r="10" spans="2:8" x14ac:dyDescent="0.3">
      <c r="B10" s="78">
        <v>3</v>
      </c>
      <c r="C10" s="80" t="s">
        <v>280</v>
      </c>
      <c r="D10" s="80" t="s">
        <v>275</v>
      </c>
      <c r="E10" s="79">
        <v>44256</v>
      </c>
      <c r="F10" s="80">
        <v>25467</v>
      </c>
      <c r="G10" s="10" t="str">
        <f t="shared" si="0"/>
        <v>Q3</v>
      </c>
    </row>
    <row r="11" spans="2:8" x14ac:dyDescent="0.3">
      <c r="B11" s="78">
        <v>4</v>
      </c>
      <c r="C11" s="80" t="s">
        <v>280</v>
      </c>
      <c r="D11" s="80" t="s">
        <v>271</v>
      </c>
      <c r="E11" s="79">
        <v>44256</v>
      </c>
      <c r="F11" s="80">
        <v>16452</v>
      </c>
      <c r="G11" s="10" t="str">
        <f t="shared" si="0"/>
        <v>Q3</v>
      </c>
    </row>
    <row r="12" spans="2:8" x14ac:dyDescent="0.3">
      <c r="B12" s="78">
        <v>5</v>
      </c>
      <c r="C12" s="80" t="s">
        <v>280</v>
      </c>
      <c r="D12" s="80" t="s">
        <v>275</v>
      </c>
      <c r="E12" s="79">
        <v>44440</v>
      </c>
      <c r="F12" s="80">
        <v>135801</v>
      </c>
      <c r="G12" s="10" t="str">
        <f t="shared" si="0"/>
        <v>Q9</v>
      </c>
    </row>
    <row r="13" spans="2:8" x14ac:dyDescent="0.3">
      <c r="B13" s="78">
        <v>6</v>
      </c>
      <c r="C13" s="80" t="s">
        <v>280</v>
      </c>
      <c r="D13" s="80" t="s">
        <v>271</v>
      </c>
      <c r="E13" s="79">
        <v>44348</v>
      </c>
      <c r="F13" s="80">
        <v>247286</v>
      </c>
      <c r="G13" s="10" t="str">
        <f t="shared" si="0"/>
        <v>Q6</v>
      </c>
    </row>
    <row r="14" spans="2:8" x14ac:dyDescent="0.3">
      <c r="B14" s="78">
        <v>7</v>
      </c>
      <c r="C14" s="80" t="s">
        <v>280</v>
      </c>
      <c r="D14" s="80" t="s">
        <v>273</v>
      </c>
      <c r="E14" s="79">
        <v>44287</v>
      </c>
      <c r="F14" s="80">
        <v>191293</v>
      </c>
      <c r="G14" s="10" t="str">
        <f t="shared" si="0"/>
        <v>Q4</v>
      </c>
    </row>
    <row r="15" spans="2:8" x14ac:dyDescent="0.3">
      <c r="B15" s="78">
        <v>8</v>
      </c>
      <c r="C15" s="80" t="s">
        <v>280</v>
      </c>
      <c r="D15" s="80" t="s">
        <v>279</v>
      </c>
      <c r="E15" s="79">
        <v>44197</v>
      </c>
      <c r="F15" s="80">
        <v>36125</v>
      </c>
      <c r="G15" s="10" t="str">
        <f t="shared" si="0"/>
        <v>Q1</v>
      </c>
    </row>
    <row r="16" spans="2:8" x14ac:dyDescent="0.3">
      <c r="B16" s="78">
        <v>9</v>
      </c>
      <c r="C16" s="80" t="s">
        <v>280</v>
      </c>
      <c r="D16" s="80" t="s">
        <v>273</v>
      </c>
      <c r="E16" s="79">
        <v>44197</v>
      </c>
      <c r="F16" s="80">
        <v>123287</v>
      </c>
      <c r="G16" s="10" t="str">
        <f t="shared" si="0"/>
        <v>Q1</v>
      </c>
    </row>
    <row r="17" spans="2:7" x14ac:dyDescent="0.3">
      <c r="B17" s="78">
        <v>10</v>
      </c>
      <c r="C17" s="80" t="s">
        <v>280</v>
      </c>
      <c r="D17" s="80" t="s">
        <v>273</v>
      </c>
      <c r="E17" s="79">
        <v>44378</v>
      </c>
      <c r="F17" s="80">
        <v>-34980</v>
      </c>
      <c r="G17" s="10" t="str">
        <f t="shared" si="0"/>
        <v>Q7</v>
      </c>
    </row>
    <row r="18" spans="2:7" x14ac:dyDescent="0.3">
      <c r="B18" s="78">
        <v>11</v>
      </c>
      <c r="C18" s="80" t="s">
        <v>280</v>
      </c>
      <c r="D18" s="80" t="s">
        <v>271</v>
      </c>
      <c r="E18" s="79">
        <v>44317</v>
      </c>
      <c r="F18" s="80">
        <v>72086</v>
      </c>
      <c r="G18" s="10" t="str">
        <f t="shared" si="0"/>
        <v>Q5</v>
      </c>
    </row>
    <row r="19" spans="2:7" x14ac:dyDescent="0.3">
      <c r="B19" s="78">
        <v>12</v>
      </c>
      <c r="C19" s="80" t="s">
        <v>280</v>
      </c>
      <c r="D19" s="80" t="s">
        <v>273</v>
      </c>
      <c r="E19" s="79">
        <v>44470</v>
      </c>
      <c r="F19" s="80">
        <v>84660</v>
      </c>
      <c r="G19" s="10" t="str">
        <f t="shared" si="0"/>
        <v>Q10</v>
      </c>
    </row>
    <row r="20" spans="2:7" x14ac:dyDescent="0.3">
      <c r="B20" s="78">
        <v>13</v>
      </c>
      <c r="C20" s="80" t="s">
        <v>280</v>
      </c>
      <c r="D20" s="80" t="s">
        <v>275</v>
      </c>
      <c r="E20" s="79">
        <v>44531</v>
      </c>
      <c r="F20" s="80">
        <v>201069</v>
      </c>
      <c r="G20" s="10" t="str">
        <f t="shared" si="0"/>
        <v>Q12</v>
      </c>
    </row>
    <row r="21" spans="2:7" x14ac:dyDescent="0.3">
      <c r="B21" s="78">
        <v>14</v>
      </c>
      <c r="C21" s="80" t="s">
        <v>280</v>
      </c>
      <c r="D21" s="80" t="s">
        <v>273</v>
      </c>
      <c r="E21" s="79">
        <v>44531</v>
      </c>
      <c r="F21" s="80">
        <v>74221</v>
      </c>
      <c r="G21" s="10" t="str">
        <f t="shared" si="0"/>
        <v>Q12</v>
      </c>
    </row>
    <row r="22" spans="2:7" x14ac:dyDescent="0.3">
      <c r="B22" s="78">
        <v>15</v>
      </c>
      <c r="C22" s="80" t="s">
        <v>280</v>
      </c>
      <c r="D22" s="80" t="s">
        <v>271</v>
      </c>
      <c r="E22" s="79">
        <v>44348</v>
      </c>
      <c r="F22" s="80">
        <v>155904</v>
      </c>
      <c r="G22" s="10" t="str">
        <f t="shared" si="0"/>
        <v>Q6</v>
      </c>
    </row>
    <row r="23" spans="2:7" x14ac:dyDescent="0.3">
      <c r="B23" s="78">
        <v>16</v>
      </c>
      <c r="C23" s="80" t="s">
        <v>280</v>
      </c>
      <c r="D23" s="80" t="s">
        <v>278</v>
      </c>
      <c r="E23" s="79">
        <v>44470</v>
      </c>
      <c r="F23" s="80">
        <v>-37886</v>
      </c>
      <c r="G23" s="10" t="str">
        <f t="shared" si="0"/>
        <v>Q10</v>
      </c>
    </row>
    <row r="24" spans="2:7" x14ac:dyDescent="0.3">
      <c r="B24" s="78">
        <v>17</v>
      </c>
      <c r="C24" s="80" t="s">
        <v>280</v>
      </c>
      <c r="D24" s="80" t="s">
        <v>271</v>
      </c>
      <c r="E24" s="79">
        <v>44531</v>
      </c>
      <c r="F24" s="80">
        <v>169991</v>
      </c>
      <c r="G24" s="10" t="str">
        <f t="shared" si="0"/>
        <v>Q12</v>
      </c>
    </row>
    <row r="25" spans="2:7" x14ac:dyDescent="0.3">
      <c r="B25" s="78">
        <v>18</v>
      </c>
      <c r="C25" s="80" t="s">
        <v>280</v>
      </c>
      <c r="D25" s="80" t="s">
        <v>273</v>
      </c>
      <c r="E25" s="79">
        <v>44501</v>
      </c>
      <c r="F25" s="80">
        <v>207031</v>
      </c>
      <c r="G25" s="10" t="str">
        <f t="shared" si="0"/>
        <v>Q11</v>
      </c>
    </row>
    <row r="26" spans="2:7" x14ac:dyDescent="0.3">
      <c r="B26" s="78">
        <v>19</v>
      </c>
      <c r="C26" s="80" t="s">
        <v>280</v>
      </c>
      <c r="D26" s="80" t="s">
        <v>278</v>
      </c>
      <c r="E26" s="79">
        <v>44501</v>
      </c>
      <c r="F26" s="80">
        <v>39668</v>
      </c>
      <c r="G26" s="10" t="str">
        <f t="shared" si="0"/>
        <v>Q11</v>
      </c>
    </row>
    <row r="27" spans="2:7" x14ac:dyDescent="0.3">
      <c r="B27" s="78">
        <v>20</v>
      </c>
      <c r="C27" s="80" t="s">
        <v>280</v>
      </c>
      <c r="D27" s="80" t="s">
        <v>279</v>
      </c>
      <c r="E27" s="79">
        <v>44228</v>
      </c>
      <c r="F27" s="80">
        <v>180474</v>
      </c>
      <c r="G27" s="10" t="str">
        <f t="shared" si="0"/>
        <v>Q2</v>
      </c>
    </row>
    <row r="28" spans="2:7" x14ac:dyDescent="0.3">
      <c r="B28" s="78">
        <v>21</v>
      </c>
      <c r="C28" s="80" t="s">
        <v>280</v>
      </c>
      <c r="D28" s="80" t="s">
        <v>273</v>
      </c>
      <c r="E28" s="79">
        <v>44197</v>
      </c>
      <c r="F28" s="80">
        <v>-7921</v>
      </c>
      <c r="G28" s="10" t="str">
        <f t="shared" si="0"/>
        <v>Q1</v>
      </c>
    </row>
    <row r="29" spans="2:7" x14ac:dyDescent="0.3">
      <c r="B29" s="78">
        <v>22</v>
      </c>
      <c r="C29" s="80" t="s">
        <v>276</v>
      </c>
      <c r="D29" s="80" t="s">
        <v>271</v>
      </c>
      <c r="E29" s="79">
        <v>44197</v>
      </c>
      <c r="F29" s="80">
        <v>193122</v>
      </c>
      <c r="G29" s="10" t="str">
        <f t="shared" si="0"/>
        <v>Q1</v>
      </c>
    </row>
    <row r="30" spans="2:7" x14ac:dyDescent="0.3">
      <c r="B30" s="78">
        <v>23</v>
      </c>
      <c r="C30" s="80" t="s">
        <v>274</v>
      </c>
      <c r="D30" s="80" t="s">
        <v>278</v>
      </c>
      <c r="E30" s="79">
        <v>44409</v>
      </c>
      <c r="F30" s="80">
        <v>149617</v>
      </c>
      <c r="G30" s="10" t="str">
        <f t="shared" si="0"/>
        <v>Q8</v>
      </c>
    </row>
    <row r="31" spans="2:7" x14ac:dyDescent="0.3">
      <c r="B31" s="78">
        <v>24</v>
      </c>
      <c r="C31" s="80" t="s">
        <v>276</v>
      </c>
      <c r="D31" s="80" t="s">
        <v>273</v>
      </c>
      <c r="E31" s="79">
        <v>44470</v>
      </c>
      <c r="F31" s="80">
        <v>93656</v>
      </c>
      <c r="G31" s="10" t="str">
        <f t="shared" si="0"/>
        <v>Q10</v>
      </c>
    </row>
    <row r="32" spans="2:7" x14ac:dyDescent="0.3">
      <c r="B32" s="78">
        <v>25</v>
      </c>
      <c r="C32" s="80" t="s">
        <v>277</v>
      </c>
      <c r="D32" s="80" t="s">
        <v>275</v>
      </c>
      <c r="E32" s="79">
        <v>44440</v>
      </c>
      <c r="F32" s="80">
        <v>60921</v>
      </c>
      <c r="G32" s="10" t="str">
        <f t="shared" si="0"/>
        <v>Q9</v>
      </c>
    </row>
    <row r="33" spans="2:7" x14ac:dyDescent="0.3">
      <c r="B33" s="78">
        <v>26</v>
      </c>
      <c r="C33" s="80" t="s">
        <v>272</v>
      </c>
      <c r="D33" s="80" t="s">
        <v>275</v>
      </c>
      <c r="E33" s="79">
        <v>44197</v>
      </c>
      <c r="F33" s="80">
        <v>180969</v>
      </c>
      <c r="G33" s="10" t="str">
        <f t="shared" si="0"/>
        <v>Q1</v>
      </c>
    </row>
    <row r="34" spans="2:7" x14ac:dyDescent="0.3">
      <c r="B34" s="78">
        <v>27</v>
      </c>
      <c r="C34" s="80" t="s">
        <v>277</v>
      </c>
      <c r="D34" s="80" t="s">
        <v>279</v>
      </c>
      <c r="E34" s="79">
        <v>44317</v>
      </c>
      <c r="F34" s="80">
        <v>166490</v>
      </c>
      <c r="G34" s="10" t="str">
        <f t="shared" si="0"/>
        <v>Q5</v>
      </c>
    </row>
    <row r="35" spans="2:7" x14ac:dyDescent="0.3">
      <c r="B35" s="78">
        <v>28</v>
      </c>
      <c r="C35" s="80" t="s">
        <v>276</v>
      </c>
      <c r="D35" s="80" t="s">
        <v>279</v>
      </c>
      <c r="E35" s="79">
        <v>44378</v>
      </c>
      <c r="F35" s="80">
        <v>12909</v>
      </c>
      <c r="G35" s="10" t="str">
        <f t="shared" si="0"/>
        <v>Q7</v>
      </c>
    </row>
    <row r="36" spans="2:7" x14ac:dyDescent="0.3">
      <c r="B36" s="78">
        <v>29</v>
      </c>
      <c r="C36" s="80" t="s">
        <v>277</v>
      </c>
      <c r="D36" s="80" t="s">
        <v>279</v>
      </c>
      <c r="E36" s="79">
        <v>44531</v>
      </c>
      <c r="F36" s="80">
        <v>219249</v>
      </c>
      <c r="G36" s="10" t="str">
        <f t="shared" si="0"/>
        <v>Q12</v>
      </c>
    </row>
    <row r="37" spans="2:7" x14ac:dyDescent="0.3">
      <c r="B37" s="78">
        <v>30</v>
      </c>
      <c r="C37" s="80" t="s">
        <v>276</v>
      </c>
      <c r="D37" s="80" t="s">
        <v>279</v>
      </c>
      <c r="E37" s="79">
        <v>44378</v>
      </c>
      <c r="F37" s="80">
        <v>36046</v>
      </c>
      <c r="G37" s="10" t="str">
        <f t="shared" si="0"/>
        <v>Q7</v>
      </c>
    </row>
    <row r="38" spans="2:7" x14ac:dyDescent="0.3">
      <c r="B38" s="78">
        <v>31</v>
      </c>
      <c r="C38" s="80" t="s">
        <v>277</v>
      </c>
      <c r="D38" s="80" t="s">
        <v>275</v>
      </c>
      <c r="E38" s="79">
        <v>44409</v>
      </c>
      <c r="F38" s="80">
        <v>87532</v>
      </c>
      <c r="G38" s="10" t="str">
        <f t="shared" si="0"/>
        <v>Q8</v>
      </c>
    </row>
    <row r="39" spans="2:7" x14ac:dyDescent="0.3">
      <c r="B39" s="78">
        <v>32</v>
      </c>
      <c r="C39" s="80" t="s">
        <v>274</v>
      </c>
      <c r="D39" s="80" t="s">
        <v>275</v>
      </c>
      <c r="E39" s="79">
        <v>44531</v>
      </c>
      <c r="F39" s="80">
        <v>82089</v>
      </c>
      <c r="G39" s="10" t="str">
        <f t="shared" si="0"/>
        <v>Q12</v>
      </c>
    </row>
    <row r="40" spans="2:7" x14ac:dyDescent="0.3">
      <c r="B40" s="78">
        <v>33</v>
      </c>
      <c r="C40" s="80" t="s">
        <v>277</v>
      </c>
      <c r="D40" s="80" t="s">
        <v>278</v>
      </c>
      <c r="E40" s="79">
        <v>44440</v>
      </c>
      <c r="F40" s="80">
        <v>242254</v>
      </c>
      <c r="G40" s="10" t="str">
        <f t="shared" si="0"/>
        <v>Q9</v>
      </c>
    </row>
    <row r="41" spans="2:7" x14ac:dyDescent="0.3">
      <c r="B41" s="78">
        <v>34</v>
      </c>
      <c r="C41" s="80" t="s">
        <v>276</v>
      </c>
      <c r="D41" s="80" t="s">
        <v>275</v>
      </c>
      <c r="E41" s="79">
        <v>44378</v>
      </c>
      <c r="F41" s="80">
        <v>57399</v>
      </c>
      <c r="G41" s="10" t="str">
        <f t="shared" si="0"/>
        <v>Q7</v>
      </c>
    </row>
    <row r="42" spans="2:7" x14ac:dyDescent="0.3">
      <c r="B42" s="78">
        <v>35</v>
      </c>
      <c r="C42" s="80" t="s">
        <v>274</v>
      </c>
      <c r="D42" s="80" t="s">
        <v>278</v>
      </c>
      <c r="E42" s="79">
        <v>44197</v>
      </c>
      <c r="F42" s="80">
        <v>244677</v>
      </c>
      <c r="G42" s="10" t="str">
        <f t="shared" si="0"/>
        <v>Q1</v>
      </c>
    </row>
    <row r="43" spans="2:7" x14ac:dyDescent="0.3">
      <c r="B43" s="78">
        <v>36</v>
      </c>
      <c r="C43" s="80" t="s">
        <v>277</v>
      </c>
      <c r="D43" s="80" t="s">
        <v>279</v>
      </c>
      <c r="E43" s="79">
        <v>44409</v>
      </c>
      <c r="F43" s="80">
        <v>55010</v>
      </c>
      <c r="G43" s="10" t="str">
        <f t="shared" si="0"/>
        <v>Q8</v>
      </c>
    </row>
    <row r="44" spans="2:7" x14ac:dyDescent="0.3">
      <c r="B44" s="78">
        <v>37</v>
      </c>
      <c r="C44" s="80" t="s">
        <v>277</v>
      </c>
      <c r="D44" s="80" t="s">
        <v>273</v>
      </c>
      <c r="E44" s="79">
        <v>44531</v>
      </c>
      <c r="F44" s="80">
        <v>142874</v>
      </c>
      <c r="G44" s="10" t="str">
        <f t="shared" si="0"/>
        <v>Q12</v>
      </c>
    </row>
    <row r="45" spans="2:7" x14ac:dyDescent="0.3">
      <c r="B45" s="78">
        <v>38</v>
      </c>
      <c r="C45" s="80" t="s">
        <v>274</v>
      </c>
      <c r="D45" s="80" t="s">
        <v>278</v>
      </c>
      <c r="E45" s="79">
        <v>44531</v>
      </c>
      <c r="F45" s="80">
        <v>166353</v>
      </c>
      <c r="G45" s="10" t="str">
        <f t="shared" si="0"/>
        <v>Q12</v>
      </c>
    </row>
    <row r="46" spans="2:7" x14ac:dyDescent="0.3">
      <c r="B46" s="78">
        <v>39</v>
      </c>
      <c r="C46" s="80" t="s">
        <v>276</v>
      </c>
      <c r="D46" s="80" t="s">
        <v>279</v>
      </c>
      <c r="E46" s="79">
        <v>44531</v>
      </c>
      <c r="F46" s="80">
        <v>47888</v>
      </c>
      <c r="G46" s="10" t="str">
        <f t="shared" si="0"/>
        <v>Q12</v>
      </c>
    </row>
    <row r="47" spans="2:7" x14ac:dyDescent="0.3">
      <c r="B47" s="78">
        <v>40</v>
      </c>
      <c r="C47" s="80" t="s">
        <v>272</v>
      </c>
      <c r="D47" s="80" t="s">
        <v>278</v>
      </c>
      <c r="E47" s="79">
        <v>44409</v>
      </c>
      <c r="F47" s="80">
        <v>86220</v>
      </c>
      <c r="G47" s="10" t="str">
        <f t="shared" si="0"/>
        <v>Q8</v>
      </c>
    </row>
    <row r="48" spans="2:7" x14ac:dyDescent="0.3">
      <c r="B48" s="78">
        <v>41</v>
      </c>
      <c r="C48" s="80" t="s">
        <v>274</v>
      </c>
      <c r="D48" s="80" t="s">
        <v>278</v>
      </c>
      <c r="E48" s="79">
        <v>44287</v>
      </c>
      <c r="F48" s="80">
        <v>27542</v>
      </c>
      <c r="G48" s="10" t="str">
        <f t="shared" si="0"/>
        <v>Q4</v>
      </c>
    </row>
    <row r="49" spans="2:7" x14ac:dyDescent="0.3">
      <c r="B49" s="78">
        <v>42</v>
      </c>
      <c r="C49" s="80" t="s">
        <v>272</v>
      </c>
      <c r="D49" s="80" t="s">
        <v>278</v>
      </c>
      <c r="E49" s="79">
        <v>44287</v>
      </c>
      <c r="F49" s="80">
        <v>173199</v>
      </c>
      <c r="G49" s="10" t="str">
        <f t="shared" si="0"/>
        <v>Q4</v>
      </c>
    </row>
    <row r="50" spans="2:7" x14ac:dyDescent="0.3">
      <c r="B50" s="78">
        <v>43</v>
      </c>
      <c r="C50" s="80" t="s">
        <v>274</v>
      </c>
      <c r="D50" s="80" t="s">
        <v>271</v>
      </c>
      <c r="E50" s="79">
        <v>44409</v>
      </c>
      <c r="F50" s="80">
        <v>17711</v>
      </c>
      <c r="G50" s="10" t="str">
        <f t="shared" si="0"/>
        <v>Q8</v>
      </c>
    </row>
    <row r="51" spans="2:7" x14ac:dyDescent="0.3">
      <c r="B51" s="78">
        <v>44</v>
      </c>
      <c r="C51" s="80" t="s">
        <v>277</v>
      </c>
      <c r="D51" s="80" t="s">
        <v>278</v>
      </c>
      <c r="E51" s="79">
        <v>44470</v>
      </c>
      <c r="F51" s="80">
        <v>18670</v>
      </c>
      <c r="G51" s="10" t="str">
        <f t="shared" si="0"/>
        <v>Q10</v>
      </c>
    </row>
    <row r="52" spans="2:7" x14ac:dyDescent="0.3">
      <c r="B52" s="78">
        <v>45</v>
      </c>
      <c r="C52" s="80" t="s">
        <v>277</v>
      </c>
      <c r="D52" s="80" t="s">
        <v>271</v>
      </c>
      <c r="E52" s="79">
        <v>44256</v>
      </c>
      <c r="F52" s="80">
        <v>87460</v>
      </c>
      <c r="G52" s="10" t="str">
        <f t="shared" si="0"/>
        <v>Q3</v>
      </c>
    </row>
    <row r="53" spans="2:7" x14ac:dyDescent="0.3">
      <c r="B53" s="78">
        <v>46</v>
      </c>
      <c r="C53" s="80" t="s">
        <v>277</v>
      </c>
      <c r="D53" s="80" t="s">
        <v>279</v>
      </c>
      <c r="E53" s="79">
        <v>44348</v>
      </c>
      <c r="F53" s="80">
        <v>17043</v>
      </c>
      <c r="G53" s="10" t="str">
        <f t="shared" si="0"/>
        <v>Q6</v>
      </c>
    </row>
    <row r="54" spans="2:7" x14ac:dyDescent="0.3">
      <c r="B54" s="78">
        <v>47</v>
      </c>
      <c r="C54" s="80" t="s">
        <v>280</v>
      </c>
      <c r="D54" s="80" t="s">
        <v>275</v>
      </c>
      <c r="E54" s="79">
        <v>44197</v>
      </c>
      <c r="F54" s="78">
        <v>48442</v>
      </c>
      <c r="G54" s="10" t="str">
        <f t="shared" si="0"/>
        <v>Q1</v>
      </c>
    </row>
    <row r="55" spans="2:7" x14ac:dyDescent="0.3">
      <c r="B55" s="78">
        <v>48</v>
      </c>
      <c r="C55" s="80" t="s">
        <v>280</v>
      </c>
      <c r="D55" s="80" t="s">
        <v>273</v>
      </c>
      <c r="E55" s="79">
        <v>44287</v>
      </c>
      <c r="F55" s="78">
        <v>175220</v>
      </c>
      <c r="G55" s="10" t="str">
        <f t="shared" si="0"/>
        <v>Q4</v>
      </c>
    </row>
    <row r="56" spans="2:7" x14ac:dyDescent="0.3">
      <c r="B56" s="78">
        <v>49</v>
      </c>
      <c r="C56" s="80" t="s">
        <v>280</v>
      </c>
      <c r="D56" s="80" t="s">
        <v>275</v>
      </c>
      <c r="E56" s="79">
        <v>44501</v>
      </c>
      <c r="F56" s="78">
        <v>146394</v>
      </c>
      <c r="G56" s="10" t="str">
        <f t="shared" si="0"/>
        <v>Q11</v>
      </c>
    </row>
    <row r="57" spans="2:7" x14ac:dyDescent="0.3">
      <c r="B57" s="78">
        <v>50</v>
      </c>
      <c r="C57" s="80" t="s">
        <v>280</v>
      </c>
      <c r="D57" s="80" t="s">
        <v>271</v>
      </c>
      <c r="E57" s="79">
        <v>44531</v>
      </c>
      <c r="F57" s="78">
        <v>158679</v>
      </c>
      <c r="G57" s="10" t="str">
        <f t="shared" si="0"/>
        <v>Q12</v>
      </c>
    </row>
    <row r="58" spans="2:7" x14ac:dyDescent="0.3">
      <c r="B58" s="78">
        <v>51</v>
      </c>
      <c r="C58" s="80" t="s">
        <v>280</v>
      </c>
      <c r="D58" s="80" t="s">
        <v>279</v>
      </c>
      <c r="E58" s="79">
        <v>44501</v>
      </c>
      <c r="F58" s="78">
        <v>86186</v>
      </c>
      <c r="G58" s="10" t="str">
        <f t="shared" si="0"/>
        <v>Q11</v>
      </c>
    </row>
    <row r="59" spans="2:7" x14ac:dyDescent="0.3">
      <c r="B59" s="78">
        <v>52</v>
      </c>
      <c r="C59" s="80" t="s">
        <v>280</v>
      </c>
      <c r="D59" s="80" t="s">
        <v>273</v>
      </c>
      <c r="E59" s="79">
        <v>44378</v>
      </c>
      <c r="F59" s="78">
        <v>5850</v>
      </c>
      <c r="G59" s="10" t="str">
        <f t="shared" si="0"/>
        <v>Q7</v>
      </c>
    </row>
    <row r="60" spans="2:7" x14ac:dyDescent="0.3">
      <c r="B60" s="78">
        <v>53</v>
      </c>
      <c r="C60" s="80" t="s">
        <v>280</v>
      </c>
      <c r="D60" s="80" t="s">
        <v>273</v>
      </c>
      <c r="E60" s="79">
        <v>44348</v>
      </c>
      <c r="F60" s="78">
        <v>-15140</v>
      </c>
      <c r="G60" s="10" t="str">
        <f t="shared" si="0"/>
        <v>Q6</v>
      </c>
    </row>
    <row r="61" spans="2:7" x14ac:dyDescent="0.3">
      <c r="B61" s="78">
        <v>54</v>
      </c>
      <c r="C61" s="80" t="s">
        <v>280</v>
      </c>
      <c r="D61" s="80" t="s">
        <v>278</v>
      </c>
      <c r="E61" s="79">
        <v>44348</v>
      </c>
      <c r="F61" s="78">
        <v>190517</v>
      </c>
      <c r="G61" s="10" t="str">
        <f t="shared" si="0"/>
        <v>Q6</v>
      </c>
    </row>
    <row r="62" spans="2:7" x14ac:dyDescent="0.3">
      <c r="B62" s="78">
        <v>55</v>
      </c>
      <c r="C62" s="80" t="s">
        <v>280</v>
      </c>
      <c r="D62" s="80" t="s">
        <v>278</v>
      </c>
      <c r="E62" s="79">
        <v>44409</v>
      </c>
      <c r="F62" s="78">
        <v>131983</v>
      </c>
      <c r="G62" s="10" t="str">
        <f t="shared" si="0"/>
        <v>Q8</v>
      </c>
    </row>
    <row r="63" spans="2:7" x14ac:dyDescent="0.3">
      <c r="B63" s="78">
        <v>56</v>
      </c>
      <c r="C63" s="80" t="s">
        <v>280</v>
      </c>
      <c r="D63" s="80" t="s">
        <v>275</v>
      </c>
      <c r="E63" s="79">
        <v>44348</v>
      </c>
      <c r="F63" s="78">
        <v>137843</v>
      </c>
      <c r="G63" s="10" t="str">
        <f t="shared" si="0"/>
        <v>Q6</v>
      </c>
    </row>
    <row r="64" spans="2:7" x14ac:dyDescent="0.3">
      <c r="B64" s="78">
        <v>57</v>
      </c>
      <c r="C64" s="80" t="s">
        <v>280</v>
      </c>
      <c r="D64" s="80" t="s">
        <v>275</v>
      </c>
      <c r="E64" s="79">
        <v>44378</v>
      </c>
      <c r="F64" s="78">
        <v>96209</v>
      </c>
      <c r="G64" s="10" t="str">
        <f t="shared" si="0"/>
        <v>Q7</v>
      </c>
    </row>
    <row r="65" spans="2:7" x14ac:dyDescent="0.3">
      <c r="B65" s="78">
        <v>58</v>
      </c>
      <c r="C65" s="80" t="s">
        <v>280</v>
      </c>
      <c r="D65" s="80" t="s">
        <v>279</v>
      </c>
      <c r="E65" s="79">
        <v>44228</v>
      </c>
      <c r="F65" s="78">
        <v>134977</v>
      </c>
      <c r="G65" s="10" t="str">
        <f t="shared" si="0"/>
        <v>Q2</v>
      </c>
    </row>
    <row r="66" spans="2:7" x14ac:dyDescent="0.3">
      <c r="B66" s="78">
        <v>59</v>
      </c>
      <c r="C66" s="80" t="s">
        <v>280</v>
      </c>
      <c r="D66" s="80" t="s">
        <v>279</v>
      </c>
      <c r="E66" s="79">
        <v>44317</v>
      </c>
      <c r="F66" s="78">
        <v>59423</v>
      </c>
      <c r="G66" s="10" t="str">
        <f t="shared" si="0"/>
        <v>Q5</v>
      </c>
    </row>
    <row r="67" spans="2:7" x14ac:dyDescent="0.3">
      <c r="B67" s="78">
        <v>60</v>
      </c>
      <c r="C67" s="80" t="s">
        <v>280</v>
      </c>
      <c r="D67" s="80" t="s">
        <v>279</v>
      </c>
      <c r="E67" s="79">
        <v>44348</v>
      </c>
      <c r="F67" s="78">
        <v>32352</v>
      </c>
      <c r="G67" s="10" t="str">
        <f t="shared" si="0"/>
        <v>Q6</v>
      </c>
    </row>
    <row r="68" spans="2:7" x14ac:dyDescent="0.3">
      <c r="B68" s="78">
        <v>61</v>
      </c>
      <c r="C68" s="80" t="s">
        <v>280</v>
      </c>
      <c r="D68" s="80" t="s">
        <v>278</v>
      </c>
      <c r="E68" s="79">
        <v>44409</v>
      </c>
      <c r="F68" s="78">
        <v>19225</v>
      </c>
      <c r="G68" s="10" t="str">
        <f t="shared" si="0"/>
        <v>Q8</v>
      </c>
    </row>
    <row r="69" spans="2:7" x14ac:dyDescent="0.3">
      <c r="B69" s="78">
        <v>62</v>
      </c>
      <c r="C69" s="80" t="s">
        <v>280</v>
      </c>
      <c r="D69" s="80" t="s">
        <v>278</v>
      </c>
      <c r="E69" s="79">
        <v>44256</v>
      </c>
      <c r="F69" s="78">
        <v>150851</v>
      </c>
      <c r="G69" s="10" t="str">
        <f t="shared" si="0"/>
        <v>Q3</v>
      </c>
    </row>
    <row r="70" spans="2:7" x14ac:dyDescent="0.3">
      <c r="B70" s="78">
        <v>63</v>
      </c>
      <c r="C70" s="80" t="s">
        <v>280</v>
      </c>
      <c r="D70" s="80" t="s">
        <v>275</v>
      </c>
      <c r="E70" s="79">
        <v>44348</v>
      </c>
      <c r="F70" s="78">
        <v>7110</v>
      </c>
      <c r="G70" s="10" t="str">
        <f t="shared" si="0"/>
        <v>Q6</v>
      </c>
    </row>
    <row r="71" spans="2:7" x14ac:dyDescent="0.3">
      <c r="B71" s="78">
        <v>64</v>
      </c>
      <c r="C71" s="80" t="s">
        <v>280</v>
      </c>
      <c r="D71" s="80" t="s">
        <v>278</v>
      </c>
      <c r="E71" s="79">
        <v>44348</v>
      </c>
      <c r="F71" s="78">
        <v>259896</v>
      </c>
      <c r="G71" s="10" t="str">
        <f t="shared" si="0"/>
        <v>Q6</v>
      </c>
    </row>
    <row r="72" spans="2:7" x14ac:dyDescent="0.3">
      <c r="B72" s="78">
        <v>65</v>
      </c>
      <c r="C72" s="80" t="s">
        <v>280</v>
      </c>
      <c r="D72" s="80" t="s">
        <v>279</v>
      </c>
      <c r="E72" s="79">
        <v>44501</v>
      </c>
      <c r="F72" s="78">
        <v>222162</v>
      </c>
      <c r="G72" s="10" t="str">
        <f t="shared" ref="G72:G135" si="1">"Q"&amp;INT(MONTH(E72)-1/3)+1</f>
        <v>Q11</v>
      </c>
    </row>
    <row r="73" spans="2:7" x14ac:dyDescent="0.3">
      <c r="B73" s="78">
        <v>66</v>
      </c>
      <c r="C73" s="80" t="s">
        <v>280</v>
      </c>
      <c r="D73" s="80" t="s">
        <v>278</v>
      </c>
      <c r="E73" s="79">
        <v>44470</v>
      </c>
      <c r="F73" s="78">
        <v>5652</v>
      </c>
      <c r="G73" s="10" t="str">
        <f t="shared" si="1"/>
        <v>Q10</v>
      </c>
    </row>
    <row r="74" spans="2:7" x14ac:dyDescent="0.3">
      <c r="B74" s="78">
        <v>67</v>
      </c>
      <c r="C74" s="80" t="s">
        <v>280</v>
      </c>
      <c r="D74" s="80" t="s">
        <v>273</v>
      </c>
      <c r="E74" s="79">
        <v>44228</v>
      </c>
      <c r="F74" s="78">
        <v>173392</v>
      </c>
      <c r="G74" s="10" t="str">
        <f t="shared" si="1"/>
        <v>Q2</v>
      </c>
    </row>
    <row r="75" spans="2:7" x14ac:dyDescent="0.3">
      <c r="B75" s="78">
        <v>68</v>
      </c>
      <c r="C75" s="80" t="s">
        <v>280</v>
      </c>
      <c r="D75" s="80" t="s">
        <v>278</v>
      </c>
      <c r="E75" s="79">
        <v>44228</v>
      </c>
      <c r="F75" s="78">
        <v>230726</v>
      </c>
      <c r="G75" s="10" t="str">
        <f t="shared" si="1"/>
        <v>Q2</v>
      </c>
    </row>
    <row r="76" spans="2:7" x14ac:dyDescent="0.3">
      <c r="B76" s="78">
        <v>69</v>
      </c>
      <c r="C76" s="80" t="s">
        <v>280</v>
      </c>
      <c r="D76" s="80" t="s">
        <v>273</v>
      </c>
      <c r="E76" s="79">
        <v>44470</v>
      </c>
      <c r="F76" s="78">
        <v>154630</v>
      </c>
      <c r="G76" s="10" t="str">
        <f t="shared" si="1"/>
        <v>Q10</v>
      </c>
    </row>
    <row r="77" spans="2:7" x14ac:dyDescent="0.3">
      <c r="B77" s="78">
        <v>70</v>
      </c>
      <c r="C77" s="80" t="s">
        <v>280</v>
      </c>
      <c r="D77" s="80" t="s">
        <v>273</v>
      </c>
      <c r="E77" s="79">
        <v>44348</v>
      </c>
      <c r="F77" s="78">
        <v>161165</v>
      </c>
      <c r="G77" s="10" t="str">
        <f t="shared" si="1"/>
        <v>Q6</v>
      </c>
    </row>
    <row r="78" spans="2:7" x14ac:dyDescent="0.3">
      <c r="B78" s="78">
        <v>71</v>
      </c>
      <c r="C78" s="80" t="s">
        <v>280</v>
      </c>
      <c r="D78" s="80" t="s">
        <v>271</v>
      </c>
      <c r="E78" s="79">
        <v>44348</v>
      </c>
      <c r="F78" s="78">
        <v>6105</v>
      </c>
      <c r="G78" s="10" t="str">
        <f t="shared" si="1"/>
        <v>Q6</v>
      </c>
    </row>
    <row r="79" spans="2:7" x14ac:dyDescent="0.3">
      <c r="B79" s="78">
        <v>72</v>
      </c>
      <c r="C79" s="80" t="s">
        <v>280</v>
      </c>
      <c r="D79" s="80" t="s">
        <v>278</v>
      </c>
      <c r="E79" s="79">
        <v>44256</v>
      </c>
      <c r="F79" s="78">
        <v>34334</v>
      </c>
      <c r="G79" s="10" t="str">
        <f t="shared" si="1"/>
        <v>Q3</v>
      </c>
    </row>
    <row r="80" spans="2:7" x14ac:dyDescent="0.3">
      <c r="B80" s="78">
        <v>73</v>
      </c>
      <c r="C80" s="80" t="s">
        <v>280</v>
      </c>
      <c r="D80" s="80" t="s">
        <v>279</v>
      </c>
      <c r="E80" s="79">
        <v>44531</v>
      </c>
      <c r="F80" s="78">
        <v>8406</v>
      </c>
      <c r="G80" s="10" t="str">
        <f t="shared" si="1"/>
        <v>Q12</v>
      </c>
    </row>
    <row r="81" spans="2:7" x14ac:dyDescent="0.3">
      <c r="B81" s="78">
        <v>74</v>
      </c>
      <c r="C81" s="80" t="s">
        <v>280</v>
      </c>
      <c r="D81" s="80" t="s">
        <v>279</v>
      </c>
      <c r="E81" s="79">
        <v>44348</v>
      </c>
      <c r="F81" s="78">
        <v>27137</v>
      </c>
      <c r="G81" s="10" t="str">
        <f t="shared" si="1"/>
        <v>Q6</v>
      </c>
    </row>
    <row r="82" spans="2:7" x14ac:dyDescent="0.3">
      <c r="B82" s="78">
        <v>75</v>
      </c>
      <c r="C82" s="80" t="s">
        <v>280</v>
      </c>
      <c r="D82" s="80" t="s">
        <v>279</v>
      </c>
      <c r="E82" s="79">
        <v>44378</v>
      </c>
      <c r="F82" s="78">
        <v>7819</v>
      </c>
      <c r="G82" s="10" t="str">
        <f t="shared" si="1"/>
        <v>Q7</v>
      </c>
    </row>
    <row r="83" spans="2:7" x14ac:dyDescent="0.3">
      <c r="B83" s="78">
        <v>76</v>
      </c>
      <c r="C83" s="80" t="s">
        <v>280</v>
      </c>
      <c r="D83" s="80" t="s">
        <v>273</v>
      </c>
      <c r="E83" s="79">
        <v>44440</v>
      </c>
      <c r="F83" s="78">
        <v>193691</v>
      </c>
      <c r="G83" s="10" t="str">
        <f t="shared" si="1"/>
        <v>Q9</v>
      </c>
    </row>
    <row r="84" spans="2:7" x14ac:dyDescent="0.3">
      <c r="B84" s="78">
        <v>77</v>
      </c>
      <c r="C84" s="80" t="s">
        <v>280</v>
      </c>
      <c r="D84" s="80" t="s">
        <v>273</v>
      </c>
      <c r="E84" s="79">
        <v>44378</v>
      </c>
      <c r="F84" s="78">
        <v>229218</v>
      </c>
      <c r="G84" s="10" t="str">
        <f t="shared" si="1"/>
        <v>Q7</v>
      </c>
    </row>
    <row r="85" spans="2:7" x14ac:dyDescent="0.3">
      <c r="B85" s="78">
        <v>78</v>
      </c>
      <c r="C85" s="80" t="s">
        <v>280</v>
      </c>
      <c r="D85" s="80" t="s">
        <v>278</v>
      </c>
      <c r="E85" s="79">
        <v>44317</v>
      </c>
      <c r="F85" s="78">
        <v>82968</v>
      </c>
      <c r="G85" s="10" t="str">
        <f t="shared" si="1"/>
        <v>Q5</v>
      </c>
    </row>
    <row r="86" spans="2:7" x14ac:dyDescent="0.3">
      <c r="B86" s="78">
        <v>79</v>
      </c>
      <c r="C86" s="80" t="s">
        <v>280</v>
      </c>
      <c r="D86" s="80" t="s">
        <v>275</v>
      </c>
      <c r="E86" s="79">
        <v>44348</v>
      </c>
      <c r="F86" s="78">
        <v>234786</v>
      </c>
      <c r="G86" s="10" t="str">
        <f t="shared" si="1"/>
        <v>Q6</v>
      </c>
    </row>
    <row r="87" spans="2:7" x14ac:dyDescent="0.3">
      <c r="B87" s="78">
        <v>80</v>
      </c>
      <c r="C87" s="80" t="s">
        <v>280</v>
      </c>
      <c r="D87" s="80" t="s">
        <v>273</v>
      </c>
      <c r="E87" s="79">
        <v>44470</v>
      </c>
      <c r="F87" s="78">
        <v>249705</v>
      </c>
      <c r="G87" s="10" t="str">
        <f t="shared" si="1"/>
        <v>Q10</v>
      </c>
    </row>
    <row r="88" spans="2:7" x14ac:dyDescent="0.3">
      <c r="B88" s="78">
        <v>81</v>
      </c>
      <c r="C88" s="80" t="s">
        <v>276</v>
      </c>
      <c r="D88" s="80" t="s">
        <v>271</v>
      </c>
      <c r="E88" s="79">
        <v>44409</v>
      </c>
      <c r="F88" s="78">
        <v>22746</v>
      </c>
      <c r="G88" s="10" t="str">
        <f t="shared" si="1"/>
        <v>Q8</v>
      </c>
    </row>
    <row r="89" spans="2:7" x14ac:dyDescent="0.3">
      <c r="B89" s="78">
        <v>82</v>
      </c>
      <c r="C89" s="80" t="s">
        <v>276</v>
      </c>
      <c r="D89" s="80" t="s">
        <v>273</v>
      </c>
      <c r="E89" s="79">
        <v>44409</v>
      </c>
      <c r="F89" s="78">
        <v>85536</v>
      </c>
      <c r="G89" s="10" t="str">
        <f t="shared" si="1"/>
        <v>Q8</v>
      </c>
    </row>
    <row r="90" spans="2:7" x14ac:dyDescent="0.3">
      <c r="B90" s="78">
        <v>83</v>
      </c>
      <c r="C90" s="80" t="s">
        <v>276</v>
      </c>
      <c r="D90" s="80" t="s">
        <v>275</v>
      </c>
      <c r="E90" s="79">
        <v>44501</v>
      </c>
      <c r="F90" s="78">
        <v>25301</v>
      </c>
      <c r="G90" s="10" t="str">
        <f t="shared" si="1"/>
        <v>Q11</v>
      </c>
    </row>
    <row r="91" spans="2:7" x14ac:dyDescent="0.3">
      <c r="B91" s="78">
        <v>84</v>
      </c>
      <c r="C91" s="80" t="s">
        <v>277</v>
      </c>
      <c r="D91" s="80" t="s">
        <v>273</v>
      </c>
      <c r="E91" s="79">
        <v>44378</v>
      </c>
      <c r="F91" s="78">
        <v>152936</v>
      </c>
      <c r="G91" s="10" t="str">
        <f t="shared" si="1"/>
        <v>Q7</v>
      </c>
    </row>
    <row r="92" spans="2:7" x14ac:dyDescent="0.3">
      <c r="B92" s="78">
        <v>85</v>
      </c>
      <c r="C92" s="80" t="s">
        <v>277</v>
      </c>
      <c r="D92" s="80" t="s">
        <v>273</v>
      </c>
      <c r="E92" s="79">
        <v>44409</v>
      </c>
      <c r="F92" s="78">
        <v>124717</v>
      </c>
      <c r="G92" s="10" t="str">
        <f t="shared" si="1"/>
        <v>Q8</v>
      </c>
    </row>
    <row r="93" spans="2:7" x14ac:dyDescent="0.3">
      <c r="B93" s="78">
        <v>86</v>
      </c>
      <c r="C93" s="80" t="s">
        <v>272</v>
      </c>
      <c r="D93" s="80" t="s">
        <v>273</v>
      </c>
      <c r="E93" s="79">
        <v>44531</v>
      </c>
      <c r="F93" s="78">
        <v>198140</v>
      </c>
      <c r="G93" s="10" t="str">
        <f t="shared" si="1"/>
        <v>Q12</v>
      </c>
    </row>
    <row r="94" spans="2:7" x14ac:dyDescent="0.3">
      <c r="B94" s="78">
        <v>87</v>
      </c>
      <c r="C94" s="80" t="s">
        <v>272</v>
      </c>
      <c r="D94" s="80" t="s">
        <v>279</v>
      </c>
      <c r="E94" s="79">
        <v>44409</v>
      </c>
      <c r="F94" s="78">
        <v>99343</v>
      </c>
      <c r="G94" s="10" t="str">
        <f t="shared" si="1"/>
        <v>Q8</v>
      </c>
    </row>
    <row r="95" spans="2:7" x14ac:dyDescent="0.3">
      <c r="B95" s="78">
        <v>88</v>
      </c>
      <c r="C95" s="80" t="s">
        <v>277</v>
      </c>
      <c r="D95" s="80" t="s">
        <v>273</v>
      </c>
      <c r="E95" s="79">
        <v>44197</v>
      </c>
      <c r="F95" s="78">
        <v>41318</v>
      </c>
      <c r="G95" s="10" t="str">
        <f t="shared" si="1"/>
        <v>Q1</v>
      </c>
    </row>
    <row r="96" spans="2:7" x14ac:dyDescent="0.3">
      <c r="B96" s="78">
        <v>89</v>
      </c>
      <c r="C96" s="80" t="s">
        <v>277</v>
      </c>
      <c r="D96" s="80" t="s">
        <v>275</v>
      </c>
      <c r="E96" s="79">
        <v>44501</v>
      </c>
      <c r="F96" s="78">
        <v>211082</v>
      </c>
      <c r="G96" s="10" t="str">
        <f t="shared" si="1"/>
        <v>Q11</v>
      </c>
    </row>
    <row r="97" spans="2:7" x14ac:dyDescent="0.3">
      <c r="B97" s="78">
        <v>90</v>
      </c>
      <c r="C97" s="80" t="s">
        <v>274</v>
      </c>
      <c r="D97" s="80" t="s">
        <v>273</v>
      </c>
      <c r="E97" s="79">
        <v>44197</v>
      </c>
      <c r="F97" s="78">
        <v>8675</v>
      </c>
      <c r="G97" s="10" t="str">
        <f t="shared" si="1"/>
        <v>Q1</v>
      </c>
    </row>
    <row r="98" spans="2:7" x14ac:dyDescent="0.3">
      <c r="B98" s="78">
        <v>91</v>
      </c>
      <c r="C98" s="80" t="s">
        <v>274</v>
      </c>
      <c r="D98" s="80" t="s">
        <v>271</v>
      </c>
      <c r="E98" s="79">
        <v>44256</v>
      </c>
      <c r="F98" s="78">
        <v>132363</v>
      </c>
      <c r="G98" s="10" t="str">
        <f t="shared" si="1"/>
        <v>Q3</v>
      </c>
    </row>
    <row r="99" spans="2:7" x14ac:dyDescent="0.3">
      <c r="B99" s="78">
        <v>92</v>
      </c>
      <c r="C99" s="80" t="s">
        <v>276</v>
      </c>
      <c r="D99" s="80" t="s">
        <v>278</v>
      </c>
      <c r="E99" s="79">
        <v>44531</v>
      </c>
      <c r="F99" s="78">
        <v>130275</v>
      </c>
      <c r="G99" s="10" t="str">
        <f t="shared" si="1"/>
        <v>Q12</v>
      </c>
    </row>
    <row r="100" spans="2:7" x14ac:dyDescent="0.3">
      <c r="B100" s="78">
        <v>93</v>
      </c>
      <c r="C100" s="80" t="s">
        <v>274</v>
      </c>
      <c r="D100" s="80" t="s">
        <v>273</v>
      </c>
      <c r="E100" s="79">
        <v>44470</v>
      </c>
      <c r="F100" s="78">
        <v>174302</v>
      </c>
      <c r="G100" s="10" t="str">
        <f t="shared" si="1"/>
        <v>Q10</v>
      </c>
    </row>
    <row r="101" spans="2:7" x14ac:dyDescent="0.3">
      <c r="B101" s="78">
        <v>94</v>
      </c>
      <c r="C101" s="80" t="s">
        <v>272</v>
      </c>
      <c r="D101" s="80" t="s">
        <v>271</v>
      </c>
      <c r="E101" s="79">
        <v>44256</v>
      </c>
      <c r="F101" s="78">
        <v>126174</v>
      </c>
      <c r="G101" s="10" t="str">
        <f t="shared" si="1"/>
        <v>Q3</v>
      </c>
    </row>
    <row r="102" spans="2:7" x14ac:dyDescent="0.3">
      <c r="B102" s="78">
        <v>95</v>
      </c>
      <c r="C102" s="80" t="s">
        <v>274</v>
      </c>
      <c r="D102" s="80" t="s">
        <v>275</v>
      </c>
      <c r="E102" s="79">
        <v>44470</v>
      </c>
      <c r="F102" s="78">
        <v>13328</v>
      </c>
      <c r="G102" s="10" t="str">
        <f t="shared" si="1"/>
        <v>Q10</v>
      </c>
    </row>
    <row r="103" spans="2:7" x14ac:dyDescent="0.3">
      <c r="B103" s="78">
        <v>96</v>
      </c>
      <c r="C103" s="80" t="s">
        <v>274</v>
      </c>
      <c r="D103" s="80" t="s">
        <v>279</v>
      </c>
      <c r="E103" s="79">
        <v>44256</v>
      </c>
      <c r="F103" s="78">
        <v>48808</v>
      </c>
      <c r="G103" s="10" t="str">
        <f t="shared" si="1"/>
        <v>Q3</v>
      </c>
    </row>
    <row r="104" spans="2:7" x14ac:dyDescent="0.3">
      <c r="B104" s="78">
        <v>97</v>
      </c>
      <c r="C104" s="80" t="s">
        <v>277</v>
      </c>
      <c r="D104" s="80" t="s">
        <v>275</v>
      </c>
      <c r="E104" s="79">
        <v>44317</v>
      </c>
      <c r="F104" s="78">
        <v>258583</v>
      </c>
      <c r="G104" s="10" t="str">
        <f t="shared" si="1"/>
        <v>Q5</v>
      </c>
    </row>
    <row r="105" spans="2:7" x14ac:dyDescent="0.3">
      <c r="B105" s="78">
        <v>98</v>
      </c>
      <c r="C105" s="80" t="s">
        <v>276</v>
      </c>
      <c r="D105" s="80" t="s">
        <v>278</v>
      </c>
      <c r="E105" s="79">
        <v>44228</v>
      </c>
      <c r="F105" s="78">
        <v>33850</v>
      </c>
      <c r="G105" s="10" t="str">
        <f t="shared" si="1"/>
        <v>Q2</v>
      </c>
    </row>
    <row r="106" spans="2:7" x14ac:dyDescent="0.3">
      <c r="B106" s="78">
        <v>99</v>
      </c>
      <c r="C106" s="80" t="s">
        <v>276</v>
      </c>
      <c r="D106" s="80" t="s">
        <v>275</v>
      </c>
      <c r="E106" s="79">
        <v>44440</v>
      </c>
      <c r="F106" s="78">
        <v>147727</v>
      </c>
      <c r="G106" s="10" t="str">
        <f t="shared" si="1"/>
        <v>Q9</v>
      </c>
    </row>
    <row r="107" spans="2:7" x14ac:dyDescent="0.3">
      <c r="B107" s="78">
        <v>100</v>
      </c>
      <c r="C107" s="80" t="s">
        <v>272</v>
      </c>
      <c r="D107" s="80" t="s">
        <v>275</v>
      </c>
      <c r="E107" s="79">
        <v>44409</v>
      </c>
      <c r="F107" s="78">
        <v>109849</v>
      </c>
      <c r="G107" s="10" t="str">
        <f t="shared" si="1"/>
        <v>Q8</v>
      </c>
    </row>
    <row r="108" spans="2:7" x14ac:dyDescent="0.3">
      <c r="B108" s="78">
        <v>101</v>
      </c>
      <c r="C108" s="80" t="s">
        <v>276</v>
      </c>
      <c r="D108" s="80" t="s">
        <v>275</v>
      </c>
      <c r="E108" s="79">
        <v>44470</v>
      </c>
      <c r="F108" s="78">
        <v>231047</v>
      </c>
      <c r="G108" s="10" t="str">
        <f t="shared" si="1"/>
        <v>Q10</v>
      </c>
    </row>
    <row r="109" spans="2:7" x14ac:dyDescent="0.3">
      <c r="B109" s="78">
        <v>102</v>
      </c>
      <c r="C109" s="80" t="s">
        <v>277</v>
      </c>
      <c r="D109" s="80" t="s">
        <v>278</v>
      </c>
      <c r="E109" s="79">
        <v>44378</v>
      </c>
      <c r="F109" s="78">
        <v>219148</v>
      </c>
      <c r="G109" s="10" t="str">
        <f t="shared" si="1"/>
        <v>Q7</v>
      </c>
    </row>
    <row r="110" spans="2:7" x14ac:dyDescent="0.3">
      <c r="B110" s="78">
        <v>103</v>
      </c>
      <c r="C110" s="80" t="s">
        <v>276</v>
      </c>
      <c r="D110" s="80" t="s">
        <v>279</v>
      </c>
      <c r="E110" s="79">
        <v>44228</v>
      </c>
      <c r="F110" s="78">
        <v>187979</v>
      </c>
      <c r="G110" s="10" t="str">
        <f t="shared" si="1"/>
        <v>Q2</v>
      </c>
    </row>
    <row r="111" spans="2:7" x14ac:dyDescent="0.3">
      <c r="B111" s="78">
        <v>104</v>
      </c>
      <c r="C111" s="80" t="s">
        <v>272</v>
      </c>
      <c r="D111" s="80" t="s">
        <v>278</v>
      </c>
      <c r="E111" s="79">
        <v>44348</v>
      </c>
      <c r="F111" s="78">
        <v>91931</v>
      </c>
      <c r="G111" s="10" t="str">
        <f t="shared" si="1"/>
        <v>Q6</v>
      </c>
    </row>
    <row r="112" spans="2:7" x14ac:dyDescent="0.3">
      <c r="B112" s="78">
        <v>105</v>
      </c>
      <c r="C112" s="80" t="s">
        <v>274</v>
      </c>
      <c r="D112" s="80" t="s">
        <v>273</v>
      </c>
      <c r="E112" s="79">
        <v>44531</v>
      </c>
      <c r="F112" s="78">
        <v>152076</v>
      </c>
      <c r="G112" s="10" t="str">
        <f t="shared" si="1"/>
        <v>Q12</v>
      </c>
    </row>
    <row r="113" spans="2:7" x14ac:dyDescent="0.3">
      <c r="B113" s="78">
        <v>106</v>
      </c>
      <c r="C113" s="80" t="s">
        <v>276</v>
      </c>
      <c r="D113" s="80" t="s">
        <v>278</v>
      </c>
      <c r="E113" s="79">
        <v>44440</v>
      </c>
      <c r="F113" s="78">
        <v>213879</v>
      </c>
      <c r="G113" s="10" t="str">
        <f t="shared" si="1"/>
        <v>Q9</v>
      </c>
    </row>
    <row r="114" spans="2:7" x14ac:dyDescent="0.3">
      <c r="B114" s="78">
        <v>107</v>
      </c>
      <c r="C114" s="80" t="s">
        <v>274</v>
      </c>
      <c r="D114" s="80" t="s">
        <v>278</v>
      </c>
      <c r="E114" s="79">
        <v>44228</v>
      </c>
      <c r="F114" s="78">
        <v>7298</v>
      </c>
      <c r="G114" s="10" t="str">
        <f t="shared" si="1"/>
        <v>Q2</v>
      </c>
    </row>
    <row r="115" spans="2:7" x14ac:dyDescent="0.3">
      <c r="B115" s="78">
        <v>108</v>
      </c>
      <c r="C115" s="80" t="s">
        <v>276</v>
      </c>
      <c r="D115" s="80" t="s">
        <v>273</v>
      </c>
      <c r="E115" s="79">
        <v>44197</v>
      </c>
      <c r="F115" s="78">
        <v>1661</v>
      </c>
      <c r="G115" s="10" t="str">
        <f t="shared" si="1"/>
        <v>Q1</v>
      </c>
    </row>
    <row r="116" spans="2:7" x14ac:dyDescent="0.3">
      <c r="B116" s="78">
        <v>109</v>
      </c>
      <c r="C116" s="80" t="s">
        <v>272</v>
      </c>
      <c r="D116" s="80" t="s">
        <v>278</v>
      </c>
      <c r="E116" s="79">
        <v>44228</v>
      </c>
      <c r="F116" s="78">
        <v>13845</v>
      </c>
      <c r="G116" s="10" t="str">
        <f t="shared" si="1"/>
        <v>Q2</v>
      </c>
    </row>
    <row r="117" spans="2:7" x14ac:dyDescent="0.3">
      <c r="B117" s="78">
        <v>110</v>
      </c>
      <c r="C117" s="80" t="s">
        <v>276</v>
      </c>
      <c r="D117" s="80" t="s">
        <v>271</v>
      </c>
      <c r="E117" s="79">
        <v>44501</v>
      </c>
      <c r="F117" s="78">
        <v>188860</v>
      </c>
      <c r="G117" s="10" t="str">
        <f t="shared" si="1"/>
        <v>Q11</v>
      </c>
    </row>
    <row r="118" spans="2:7" x14ac:dyDescent="0.3">
      <c r="B118" s="78">
        <v>111</v>
      </c>
      <c r="C118" s="80" t="s">
        <v>272</v>
      </c>
      <c r="D118" s="80" t="s">
        <v>271</v>
      </c>
      <c r="E118" s="79">
        <v>44378</v>
      </c>
      <c r="F118" s="78">
        <v>36547</v>
      </c>
      <c r="G118" s="10" t="str">
        <f t="shared" si="1"/>
        <v>Q7</v>
      </c>
    </row>
    <row r="119" spans="2:7" x14ac:dyDescent="0.3">
      <c r="B119" s="78">
        <v>112</v>
      </c>
      <c r="C119" s="80" t="s">
        <v>274</v>
      </c>
      <c r="D119" s="80" t="s">
        <v>273</v>
      </c>
      <c r="E119" s="79">
        <v>44531</v>
      </c>
      <c r="F119" s="78">
        <v>60882</v>
      </c>
      <c r="G119" s="10" t="str">
        <f t="shared" si="1"/>
        <v>Q12</v>
      </c>
    </row>
    <row r="120" spans="2:7" x14ac:dyDescent="0.3">
      <c r="B120" s="78">
        <v>113</v>
      </c>
      <c r="C120" s="80" t="s">
        <v>272</v>
      </c>
      <c r="D120" s="80" t="s">
        <v>275</v>
      </c>
      <c r="E120" s="79">
        <v>44378</v>
      </c>
      <c r="F120" s="78">
        <v>26819</v>
      </c>
      <c r="G120" s="10" t="str">
        <f t="shared" si="1"/>
        <v>Q7</v>
      </c>
    </row>
    <row r="121" spans="2:7" x14ac:dyDescent="0.3">
      <c r="B121" s="78">
        <v>114</v>
      </c>
      <c r="C121" s="80" t="s">
        <v>276</v>
      </c>
      <c r="D121" s="80" t="s">
        <v>275</v>
      </c>
      <c r="E121" s="79">
        <v>44348</v>
      </c>
      <c r="F121" s="78">
        <v>139728</v>
      </c>
      <c r="G121" s="10" t="str">
        <f t="shared" si="1"/>
        <v>Q6</v>
      </c>
    </row>
    <row r="122" spans="2:7" x14ac:dyDescent="0.3">
      <c r="B122" s="78">
        <v>115</v>
      </c>
      <c r="C122" s="80" t="s">
        <v>272</v>
      </c>
      <c r="D122" s="80" t="s">
        <v>271</v>
      </c>
      <c r="E122" s="79">
        <v>44440</v>
      </c>
      <c r="F122" s="78">
        <v>220591</v>
      </c>
      <c r="G122" s="10" t="str">
        <f t="shared" si="1"/>
        <v>Q9</v>
      </c>
    </row>
    <row r="123" spans="2:7" x14ac:dyDescent="0.3">
      <c r="B123" s="78">
        <v>116</v>
      </c>
      <c r="C123" s="80" t="s">
        <v>276</v>
      </c>
      <c r="D123" s="80" t="s">
        <v>273</v>
      </c>
      <c r="E123" s="79">
        <v>44348</v>
      </c>
      <c r="F123" s="78">
        <v>216695</v>
      </c>
      <c r="G123" s="10" t="str">
        <f t="shared" si="1"/>
        <v>Q6</v>
      </c>
    </row>
    <row r="124" spans="2:7" x14ac:dyDescent="0.3">
      <c r="B124" s="78">
        <v>117</v>
      </c>
      <c r="C124" s="80" t="s">
        <v>272</v>
      </c>
      <c r="D124" s="80" t="s">
        <v>275</v>
      </c>
      <c r="E124" s="79">
        <v>44317</v>
      </c>
      <c r="F124" s="78">
        <v>57755</v>
      </c>
      <c r="G124" s="10" t="str">
        <f t="shared" si="1"/>
        <v>Q5</v>
      </c>
    </row>
    <row r="125" spans="2:7" x14ac:dyDescent="0.3">
      <c r="B125" s="78">
        <v>118</v>
      </c>
      <c r="C125" s="80" t="s">
        <v>274</v>
      </c>
      <c r="D125" s="80" t="s">
        <v>271</v>
      </c>
      <c r="E125" s="79">
        <v>44409</v>
      </c>
      <c r="F125" s="78">
        <v>102572</v>
      </c>
      <c r="G125" s="10" t="str">
        <f t="shared" si="1"/>
        <v>Q8</v>
      </c>
    </row>
    <row r="126" spans="2:7" x14ac:dyDescent="0.3">
      <c r="B126" s="78">
        <v>119</v>
      </c>
      <c r="C126" s="80" t="s">
        <v>276</v>
      </c>
      <c r="D126" s="80" t="s">
        <v>279</v>
      </c>
      <c r="E126" s="79">
        <v>44409</v>
      </c>
      <c r="F126" s="78">
        <v>229197</v>
      </c>
      <c r="G126" s="10" t="str">
        <f t="shared" si="1"/>
        <v>Q8</v>
      </c>
    </row>
    <row r="127" spans="2:7" x14ac:dyDescent="0.3">
      <c r="B127" s="78">
        <v>120</v>
      </c>
      <c r="C127" s="80" t="s">
        <v>272</v>
      </c>
      <c r="D127" s="80" t="s">
        <v>271</v>
      </c>
      <c r="E127" s="79">
        <v>44409</v>
      </c>
      <c r="F127" s="78">
        <v>19002</v>
      </c>
      <c r="G127" s="10" t="str">
        <f t="shared" si="1"/>
        <v>Q8</v>
      </c>
    </row>
    <row r="128" spans="2:7" x14ac:dyDescent="0.3">
      <c r="B128" s="78">
        <v>121</v>
      </c>
      <c r="C128" s="80" t="s">
        <v>280</v>
      </c>
      <c r="D128" s="80" t="s">
        <v>278</v>
      </c>
      <c r="E128" s="79">
        <v>44440</v>
      </c>
      <c r="F128" s="78">
        <v>209590</v>
      </c>
      <c r="G128" s="10" t="str">
        <f t="shared" si="1"/>
        <v>Q9</v>
      </c>
    </row>
    <row r="129" spans="2:7" x14ac:dyDescent="0.3">
      <c r="B129" s="78">
        <v>122</v>
      </c>
      <c r="C129" s="80" t="s">
        <v>280</v>
      </c>
      <c r="D129" s="80" t="s">
        <v>279</v>
      </c>
      <c r="E129" s="79">
        <v>44531</v>
      </c>
      <c r="F129" s="78">
        <v>135311</v>
      </c>
      <c r="G129" s="10" t="str">
        <f t="shared" si="1"/>
        <v>Q12</v>
      </c>
    </row>
    <row r="130" spans="2:7" x14ac:dyDescent="0.3">
      <c r="B130" s="78">
        <v>123</v>
      </c>
      <c r="C130" s="80" t="s">
        <v>280</v>
      </c>
      <c r="D130" s="80" t="s">
        <v>275</v>
      </c>
      <c r="E130" s="79">
        <v>44348</v>
      </c>
      <c r="F130" s="78">
        <v>115261</v>
      </c>
      <c r="G130" s="10" t="str">
        <f t="shared" si="1"/>
        <v>Q6</v>
      </c>
    </row>
    <row r="131" spans="2:7" x14ac:dyDescent="0.3">
      <c r="B131" s="78">
        <v>124</v>
      </c>
      <c r="C131" s="80" t="s">
        <v>280</v>
      </c>
      <c r="D131" s="80" t="s">
        <v>278</v>
      </c>
      <c r="E131" s="79">
        <v>44287</v>
      </c>
      <c r="F131" s="78">
        <v>220171</v>
      </c>
      <c r="G131" s="10" t="str">
        <f t="shared" si="1"/>
        <v>Q4</v>
      </c>
    </row>
    <row r="132" spans="2:7" x14ac:dyDescent="0.3">
      <c r="B132" s="78">
        <v>125</v>
      </c>
      <c r="C132" s="80" t="s">
        <v>280</v>
      </c>
      <c r="D132" s="80" t="s">
        <v>275</v>
      </c>
      <c r="E132" s="79">
        <v>44531</v>
      </c>
      <c r="F132" s="78">
        <v>9682</v>
      </c>
      <c r="G132" s="10" t="str">
        <f t="shared" si="1"/>
        <v>Q12</v>
      </c>
    </row>
    <row r="133" spans="2:7" x14ac:dyDescent="0.3">
      <c r="B133" s="78">
        <v>126</v>
      </c>
      <c r="C133" s="80" t="s">
        <v>280</v>
      </c>
      <c r="D133" s="80" t="s">
        <v>271</v>
      </c>
      <c r="E133" s="79">
        <v>44531</v>
      </c>
      <c r="F133" s="78">
        <v>81048</v>
      </c>
      <c r="G133" s="10" t="str">
        <f t="shared" si="1"/>
        <v>Q12</v>
      </c>
    </row>
    <row r="134" spans="2:7" x14ac:dyDescent="0.3">
      <c r="B134" s="78">
        <v>127</v>
      </c>
      <c r="C134" s="80" t="s">
        <v>280</v>
      </c>
      <c r="D134" s="80" t="s">
        <v>279</v>
      </c>
      <c r="E134" s="79">
        <v>44228</v>
      </c>
      <c r="F134" s="78">
        <v>155266</v>
      </c>
      <c r="G134" s="10" t="str">
        <f t="shared" si="1"/>
        <v>Q2</v>
      </c>
    </row>
    <row r="135" spans="2:7" x14ac:dyDescent="0.3">
      <c r="B135" s="78">
        <v>128</v>
      </c>
      <c r="C135" s="80" t="s">
        <v>280</v>
      </c>
      <c r="D135" s="80" t="s">
        <v>271</v>
      </c>
      <c r="E135" s="79">
        <v>44317</v>
      </c>
      <c r="F135" s="78">
        <v>24879</v>
      </c>
      <c r="G135" s="10" t="str">
        <f t="shared" si="1"/>
        <v>Q5</v>
      </c>
    </row>
    <row r="136" spans="2:7" x14ac:dyDescent="0.3">
      <c r="B136" s="78">
        <v>129</v>
      </c>
      <c r="C136" s="80" t="s">
        <v>280</v>
      </c>
      <c r="D136" s="80" t="s">
        <v>279</v>
      </c>
      <c r="E136" s="79">
        <v>44470</v>
      </c>
      <c r="F136" s="78">
        <v>24838</v>
      </c>
      <c r="G136" s="10" t="str">
        <f t="shared" ref="G136:G199" si="2">"Q"&amp;INT(MONTH(E136)-1/3)+1</f>
        <v>Q10</v>
      </c>
    </row>
    <row r="137" spans="2:7" x14ac:dyDescent="0.3">
      <c r="B137" s="78">
        <v>130</v>
      </c>
      <c r="C137" s="80" t="s">
        <v>280</v>
      </c>
      <c r="D137" s="80" t="s">
        <v>279</v>
      </c>
      <c r="E137" s="79">
        <v>44228</v>
      </c>
      <c r="F137" s="78">
        <v>105602</v>
      </c>
      <c r="G137" s="10" t="str">
        <f t="shared" si="2"/>
        <v>Q2</v>
      </c>
    </row>
    <row r="138" spans="2:7" x14ac:dyDescent="0.3">
      <c r="B138" s="78">
        <v>131</v>
      </c>
      <c r="C138" s="80" t="s">
        <v>280</v>
      </c>
      <c r="D138" s="80" t="s">
        <v>273</v>
      </c>
      <c r="E138" s="79">
        <v>44287</v>
      </c>
      <c r="F138" s="78">
        <v>214102</v>
      </c>
      <c r="G138" s="10" t="str">
        <f t="shared" si="2"/>
        <v>Q4</v>
      </c>
    </row>
    <row r="139" spans="2:7" x14ac:dyDescent="0.3">
      <c r="B139" s="78">
        <v>132</v>
      </c>
      <c r="C139" s="80" t="s">
        <v>280</v>
      </c>
      <c r="D139" s="80" t="s">
        <v>273</v>
      </c>
      <c r="E139" s="79">
        <v>44440</v>
      </c>
      <c r="F139" s="78">
        <v>27327</v>
      </c>
      <c r="G139" s="10" t="str">
        <f t="shared" si="2"/>
        <v>Q9</v>
      </c>
    </row>
    <row r="140" spans="2:7" x14ac:dyDescent="0.3">
      <c r="B140" s="78">
        <v>133</v>
      </c>
      <c r="C140" s="80" t="s">
        <v>280</v>
      </c>
      <c r="D140" s="80" t="s">
        <v>275</v>
      </c>
      <c r="E140" s="79">
        <v>44197</v>
      </c>
      <c r="F140" s="78">
        <v>142596</v>
      </c>
      <c r="G140" s="10" t="str">
        <f t="shared" si="2"/>
        <v>Q1</v>
      </c>
    </row>
    <row r="141" spans="2:7" x14ac:dyDescent="0.3">
      <c r="B141" s="78">
        <v>134</v>
      </c>
      <c r="C141" s="80" t="s">
        <v>280</v>
      </c>
      <c r="D141" s="80" t="s">
        <v>275</v>
      </c>
      <c r="E141" s="79">
        <v>44348</v>
      </c>
      <c r="F141" s="78">
        <v>165992</v>
      </c>
      <c r="G141" s="10" t="str">
        <f t="shared" si="2"/>
        <v>Q6</v>
      </c>
    </row>
    <row r="142" spans="2:7" x14ac:dyDescent="0.3">
      <c r="B142" s="78">
        <v>135</v>
      </c>
      <c r="C142" s="80" t="s">
        <v>280</v>
      </c>
      <c r="D142" s="80" t="s">
        <v>273</v>
      </c>
      <c r="E142" s="79">
        <v>44531</v>
      </c>
      <c r="F142" s="78">
        <v>129328</v>
      </c>
      <c r="G142" s="10" t="str">
        <f t="shared" si="2"/>
        <v>Q12</v>
      </c>
    </row>
    <row r="143" spans="2:7" x14ac:dyDescent="0.3">
      <c r="B143" s="78">
        <v>136</v>
      </c>
      <c r="C143" s="80" t="s">
        <v>280</v>
      </c>
      <c r="D143" s="80" t="s">
        <v>278</v>
      </c>
      <c r="E143" s="79">
        <v>44470</v>
      </c>
      <c r="F143" s="78">
        <v>86460</v>
      </c>
      <c r="G143" s="10" t="str">
        <f t="shared" si="2"/>
        <v>Q10</v>
      </c>
    </row>
    <row r="144" spans="2:7" x14ac:dyDescent="0.3">
      <c r="B144" s="78">
        <v>137</v>
      </c>
      <c r="C144" s="80" t="s">
        <v>280</v>
      </c>
      <c r="D144" s="80" t="s">
        <v>278</v>
      </c>
      <c r="E144" s="79">
        <v>44228</v>
      </c>
      <c r="F144" s="78">
        <v>22003</v>
      </c>
      <c r="G144" s="10" t="str">
        <f t="shared" si="2"/>
        <v>Q2</v>
      </c>
    </row>
    <row r="145" spans="2:7" x14ac:dyDescent="0.3">
      <c r="B145" s="78">
        <v>138</v>
      </c>
      <c r="C145" s="80" t="s">
        <v>280</v>
      </c>
      <c r="D145" s="80" t="s">
        <v>275</v>
      </c>
      <c r="E145" s="79">
        <v>44378</v>
      </c>
      <c r="F145" s="78">
        <v>44394</v>
      </c>
      <c r="G145" s="10" t="str">
        <f t="shared" si="2"/>
        <v>Q7</v>
      </c>
    </row>
    <row r="146" spans="2:7" x14ac:dyDescent="0.3">
      <c r="B146" s="78">
        <v>139</v>
      </c>
      <c r="C146" s="80" t="s">
        <v>280</v>
      </c>
      <c r="D146" s="80" t="s">
        <v>278</v>
      </c>
      <c r="E146" s="79">
        <v>44440</v>
      </c>
      <c r="F146" s="78">
        <v>217075</v>
      </c>
      <c r="G146" s="10" t="str">
        <f t="shared" si="2"/>
        <v>Q9</v>
      </c>
    </row>
    <row r="147" spans="2:7" x14ac:dyDescent="0.3">
      <c r="B147" s="78">
        <v>140</v>
      </c>
      <c r="C147" s="80" t="s">
        <v>280</v>
      </c>
      <c r="D147" s="80" t="s">
        <v>271</v>
      </c>
      <c r="E147" s="79">
        <v>44228</v>
      </c>
      <c r="F147" s="78">
        <v>56810</v>
      </c>
      <c r="G147" s="10" t="str">
        <f t="shared" si="2"/>
        <v>Q2</v>
      </c>
    </row>
    <row r="148" spans="2:7" x14ac:dyDescent="0.3">
      <c r="B148" s="78">
        <v>141</v>
      </c>
      <c r="C148" s="80" t="s">
        <v>280</v>
      </c>
      <c r="D148" s="80" t="s">
        <v>278</v>
      </c>
      <c r="E148" s="79">
        <v>44470</v>
      </c>
      <c r="F148" s="78">
        <v>169915</v>
      </c>
      <c r="G148" s="10" t="str">
        <f t="shared" si="2"/>
        <v>Q10</v>
      </c>
    </row>
    <row r="149" spans="2:7" x14ac:dyDescent="0.3">
      <c r="B149" s="78">
        <v>142</v>
      </c>
      <c r="C149" s="80" t="s">
        <v>280</v>
      </c>
      <c r="D149" s="80" t="s">
        <v>279</v>
      </c>
      <c r="E149" s="79">
        <v>44409</v>
      </c>
      <c r="F149" s="78">
        <v>217962</v>
      </c>
      <c r="G149" s="10" t="str">
        <f t="shared" si="2"/>
        <v>Q8</v>
      </c>
    </row>
    <row r="150" spans="2:7" x14ac:dyDescent="0.3">
      <c r="B150" s="78">
        <v>143</v>
      </c>
      <c r="C150" s="80" t="s">
        <v>280</v>
      </c>
      <c r="D150" s="80" t="s">
        <v>279</v>
      </c>
      <c r="E150" s="79">
        <v>44317</v>
      </c>
      <c r="F150" s="78">
        <v>166824</v>
      </c>
      <c r="G150" s="10" t="str">
        <f t="shared" si="2"/>
        <v>Q5</v>
      </c>
    </row>
    <row r="151" spans="2:7" x14ac:dyDescent="0.3">
      <c r="B151" s="78">
        <v>144</v>
      </c>
      <c r="C151" s="80" t="s">
        <v>280</v>
      </c>
      <c r="D151" s="80" t="s">
        <v>275</v>
      </c>
      <c r="E151" s="79">
        <v>44287</v>
      </c>
      <c r="F151" s="78">
        <v>35096</v>
      </c>
      <c r="G151" s="10" t="str">
        <f t="shared" si="2"/>
        <v>Q4</v>
      </c>
    </row>
    <row r="152" spans="2:7" x14ac:dyDescent="0.3">
      <c r="B152" s="78">
        <v>145</v>
      </c>
      <c r="C152" s="80" t="s">
        <v>280</v>
      </c>
      <c r="D152" s="80" t="s">
        <v>279</v>
      </c>
      <c r="E152" s="79">
        <v>44378</v>
      </c>
      <c r="F152" s="78">
        <v>64755</v>
      </c>
      <c r="G152" s="10" t="str">
        <f t="shared" si="2"/>
        <v>Q7</v>
      </c>
    </row>
    <row r="153" spans="2:7" x14ac:dyDescent="0.3">
      <c r="B153" s="78">
        <v>146</v>
      </c>
      <c r="C153" s="80" t="s">
        <v>280</v>
      </c>
      <c r="D153" s="80" t="s">
        <v>271</v>
      </c>
      <c r="E153" s="79">
        <v>44317</v>
      </c>
      <c r="F153" s="78">
        <v>8950</v>
      </c>
      <c r="G153" s="10" t="str">
        <f t="shared" si="2"/>
        <v>Q5</v>
      </c>
    </row>
    <row r="154" spans="2:7" x14ac:dyDescent="0.3">
      <c r="B154" s="78">
        <v>147</v>
      </c>
      <c r="C154" s="80" t="s">
        <v>280</v>
      </c>
      <c r="D154" s="80" t="s">
        <v>271</v>
      </c>
      <c r="E154" s="79">
        <v>44197</v>
      </c>
      <c r="F154" s="78">
        <v>210209</v>
      </c>
      <c r="G154" s="10" t="str">
        <f t="shared" si="2"/>
        <v>Q1</v>
      </c>
    </row>
    <row r="155" spans="2:7" x14ac:dyDescent="0.3">
      <c r="B155" s="78">
        <v>148</v>
      </c>
      <c r="C155" s="80" t="s">
        <v>280</v>
      </c>
      <c r="D155" s="80" t="s">
        <v>278</v>
      </c>
      <c r="E155" s="79">
        <v>44409</v>
      </c>
      <c r="F155" s="78">
        <v>191733</v>
      </c>
      <c r="G155" s="10" t="str">
        <f t="shared" si="2"/>
        <v>Q8</v>
      </c>
    </row>
    <row r="156" spans="2:7" x14ac:dyDescent="0.3">
      <c r="B156" s="78">
        <v>149</v>
      </c>
      <c r="C156" s="80" t="s">
        <v>280</v>
      </c>
      <c r="D156" s="80" t="s">
        <v>279</v>
      </c>
      <c r="E156" s="79">
        <v>44287</v>
      </c>
      <c r="F156" s="78">
        <v>137705</v>
      </c>
      <c r="G156" s="10" t="str">
        <f t="shared" si="2"/>
        <v>Q4</v>
      </c>
    </row>
    <row r="157" spans="2:7" x14ac:dyDescent="0.3">
      <c r="B157" s="78">
        <v>150</v>
      </c>
      <c r="C157" s="80" t="s">
        <v>280</v>
      </c>
      <c r="D157" s="80" t="s">
        <v>273</v>
      </c>
      <c r="E157" s="79">
        <v>44440</v>
      </c>
      <c r="F157" s="78">
        <v>242971</v>
      </c>
      <c r="G157" s="10" t="str">
        <f t="shared" si="2"/>
        <v>Q9</v>
      </c>
    </row>
    <row r="158" spans="2:7" x14ac:dyDescent="0.3">
      <c r="B158" s="78">
        <v>151</v>
      </c>
      <c r="C158" s="80" t="s">
        <v>280</v>
      </c>
      <c r="D158" s="80" t="s">
        <v>275</v>
      </c>
      <c r="E158" s="79">
        <v>44378</v>
      </c>
      <c r="F158" s="78">
        <v>173616</v>
      </c>
      <c r="G158" s="10" t="str">
        <f t="shared" si="2"/>
        <v>Q7</v>
      </c>
    </row>
    <row r="159" spans="2:7" x14ac:dyDescent="0.3">
      <c r="B159" s="78">
        <v>152</v>
      </c>
      <c r="C159" s="80" t="s">
        <v>280</v>
      </c>
      <c r="D159" s="80" t="s">
        <v>271</v>
      </c>
      <c r="E159" s="79">
        <v>44228</v>
      </c>
      <c r="F159" s="78">
        <v>168122</v>
      </c>
      <c r="G159" s="10" t="str">
        <f t="shared" si="2"/>
        <v>Q2</v>
      </c>
    </row>
    <row r="160" spans="2:7" x14ac:dyDescent="0.3">
      <c r="B160" s="78">
        <v>153</v>
      </c>
      <c r="C160" s="80" t="s">
        <v>280</v>
      </c>
      <c r="D160" s="80" t="s">
        <v>271</v>
      </c>
      <c r="E160" s="79">
        <v>44531</v>
      </c>
      <c r="F160" s="78">
        <v>151084</v>
      </c>
      <c r="G160" s="10" t="str">
        <f t="shared" si="2"/>
        <v>Q12</v>
      </c>
    </row>
    <row r="161" spans="2:7" x14ac:dyDescent="0.3">
      <c r="B161" s="78">
        <v>154</v>
      </c>
      <c r="C161" s="80" t="s">
        <v>277</v>
      </c>
      <c r="D161" s="80" t="s">
        <v>271</v>
      </c>
      <c r="E161" s="79">
        <v>44287</v>
      </c>
      <c r="F161" s="78">
        <v>247904</v>
      </c>
      <c r="G161" s="10" t="str">
        <f t="shared" si="2"/>
        <v>Q4</v>
      </c>
    </row>
    <row r="162" spans="2:7" x14ac:dyDescent="0.3">
      <c r="B162" s="78">
        <v>155</v>
      </c>
      <c r="C162" s="80" t="s">
        <v>274</v>
      </c>
      <c r="D162" s="80" t="s">
        <v>278</v>
      </c>
      <c r="E162" s="79">
        <v>44228</v>
      </c>
      <c r="F162" s="78">
        <v>33876</v>
      </c>
      <c r="G162" s="10" t="str">
        <f t="shared" si="2"/>
        <v>Q2</v>
      </c>
    </row>
    <row r="163" spans="2:7" x14ac:dyDescent="0.3">
      <c r="B163" s="78">
        <v>156</v>
      </c>
      <c r="C163" s="80" t="s">
        <v>276</v>
      </c>
      <c r="D163" s="80" t="s">
        <v>275</v>
      </c>
      <c r="E163" s="79">
        <v>44348</v>
      </c>
      <c r="F163" s="78">
        <v>95791</v>
      </c>
      <c r="G163" s="10" t="str">
        <f t="shared" si="2"/>
        <v>Q6</v>
      </c>
    </row>
    <row r="164" spans="2:7" x14ac:dyDescent="0.3">
      <c r="B164" s="78">
        <v>157</v>
      </c>
      <c r="C164" s="80" t="s">
        <v>277</v>
      </c>
      <c r="D164" s="80" t="s">
        <v>273</v>
      </c>
      <c r="E164" s="79">
        <v>44287</v>
      </c>
      <c r="F164" s="78">
        <v>201120</v>
      </c>
      <c r="G164" s="10" t="str">
        <f t="shared" si="2"/>
        <v>Q4</v>
      </c>
    </row>
    <row r="165" spans="2:7" x14ac:dyDescent="0.3">
      <c r="B165" s="78">
        <v>158</v>
      </c>
      <c r="C165" s="80" t="s">
        <v>277</v>
      </c>
      <c r="D165" s="80" t="s">
        <v>279</v>
      </c>
      <c r="E165" s="79">
        <v>44287</v>
      </c>
      <c r="F165" s="78">
        <v>196137</v>
      </c>
      <c r="G165" s="10" t="str">
        <f t="shared" si="2"/>
        <v>Q4</v>
      </c>
    </row>
    <row r="166" spans="2:7" x14ac:dyDescent="0.3">
      <c r="B166" s="78">
        <v>159</v>
      </c>
      <c r="C166" s="80" t="s">
        <v>277</v>
      </c>
      <c r="D166" s="80" t="s">
        <v>273</v>
      </c>
      <c r="E166" s="79">
        <v>44197</v>
      </c>
      <c r="F166" s="78">
        <v>6345</v>
      </c>
      <c r="G166" s="10" t="str">
        <f t="shared" si="2"/>
        <v>Q1</v>
      </c>
    </row>
    <row r="167" spans="2:7" x14ac:dyDescent="0.3">
      <c r="B167" s="78">
        <v>160</v>
      </c>
      <c r="C167" s="80" t="s">
        <v>277</v>
      </c>
      <c r="D167" s="80" t="s">
        <v>279</v>
      </c>
      <c r="E167" s="79">
        <v>44197</v>
      </c>
      <c r="F167" s="78">
        <v>60394</v>
      </c>
      <c r="G167" s="10" t="str">
        <f t="shared" si="2"/>
        <v>Q1</v>
      </c>
    </row>
    <row r="168" spans="2:7" x14ac:dyDescent="0.3">
      <c r="B168" s="78">
        <v>161</v>
      </c>
      <c r="C168" s="80" t="s">
        <v>276</v>
      </c>
      <c r="D168" s="80" t="s">
        <v>271</v>
      </c>
      <c r="E168" s="79">
        <v>44197</v>
      </c>
      <c r="F168" s="78">
        <v>208053</v>
      </c>
      <c r="G168" s="10" t="str">
        <f t="shared" si="2"/>
        <v>Q1</v>
      </c>
    </row>
    <row r="169" spans="2:7" x14ac:dyDescent="0.3">
      <c r="B169" s="78">
        <v>162</v>
      </c>
      <c r="C169" s="80" t="s">
        <v>276</v>
      </c>
      <c r="D169" s="80" t="s">
        <v>278</v>
      </c>
      <c r="E169" s="79">
        <v>44287</v>
      </c>
      <c r="F169" s="78">
        <v>216555</v>
      </c>
      <c r="G169" s="10" t="str">
        <f t="shared" si="2"/>
        <v>Q4</v>
      </c>
    </row>
    <row r="170" spans="2:7" x14ac:dyDescent="0.3">
      <c r="B170" s="78">
        <v>163</v>
      </c>
      <c r="C170" s="80" t="s">
        <v>277</v>
      </c>
      <c r="D170" s="80" t="s">
        <v>273</v>
      </c>
      <c r="E170" s="79">
        <v>44256</v>
      </c>
      <c r="F170" s="78">
        <v>30219</v>
      </c>
      <c r="G170" s="10" t="str">
        <f t="shared" si="2"/>
        <v>Q3</v>
      </c>
    </row>
    <row r="171" spans="2:7" x14ac:dyDescent="0.3">
      <c r="B171" s="78">
        <v>164</v>
      </c>
      <c r="C171" s="80" t="s">
        <v>277</v>
      </c>
      <c r="D171" s="80" t="s">
        <v>275</v>
      </c>
      <c r="E171" s="79">
        <v>44531</v>
      </c>
      <c r="F171" s="78">
        <v>112636</v>
      </c>
      <c r="G171" s="10" t="str">
        <f t="shared" si="2"/>
        <v>Q12</v>
      </c>
    </row>
    <row r="172" spans="2:7" x14ac:dyDescent="0.3">
      <c r="B172" s="78">
        <v>165</v>
      </c>
      <c r="C172" s="80" t="s">
        <v>277</v>
      </c>
      <c r="D172" s="80" t="s">
        <v>278</v>
      </c>
      <c r="E172" s="79">
        <v>44317</v>
      </c>
      <c r="F172" s="78">
        <v>232025</v>
      </c>
      <c r="G172" s="10" t="str">
        <f t="shared" si="2"/>
        <v>Q5</v>
      </c>
    </row>
    <row r="173" spans="2:7" x14ac:dyDescent="0.3">
      <c r="B173" s="78">
        <v>166</v>
      </c>
      <c r="C173" s="80" t="s">
        <v>272</v>
      </c>
      <c r="D173" s="80" t="s">
        <v>279</v>
      </c>
      <c r="E173" s="79">
        <v>44378</v>
      </c>
      <c r="F173" s="78">
        <v>23560</v>
      </c>
      <c r="G173" s="10" t="str">
        <f t="shared" si="2"/>
        <v>Q7</v>
      </c>
    </row>
    <row r="174" spans="2:7" x14ac:dyDescent="0.3">
      <c r="B174" s="78">
        <v>167</v>
      </c>
      <c r="C174" s="80" t="s">
        <v>277</v>
      </c>
      <c r="D174" s="80" t="s">
        <v>275</v>
      </c>
      <c r="E174" s="79">
        <v>44317</v>
      </c>
      <c r="F174" s="78">
        <v>223042</v>
      </c>
      <c r="G174" s="10" t="str">
        <f t="shared" si="2"/>
        <v>Q5</v>
      </c>
    </row>
    <row r="175" spans="2:7" x14ac:dyDescent="0.3">
      <c r="B175" s="78">
        <v>168</v>
      </c>
      <c r="C175" s="80" t="s">
        <v>274</v>
      </c>
      <c r="D175" s="80" t="s">
        <v>275</v>
      </c>
      <c r="E175" s="79">
        <v>44378</v>
      </c>
      <c r="F175" s="78">
        <v>185869</v>
      </c>
      <c r="G175" s="10" t="str">
        <f t="shared" si="2"/>
        <v>Q7</v>
      </c>
    </row>
    <row r="176" spans="2:7" x14ac:dyDescent="0.3">
      <c r="B176" s="78">
        <v>169</v>
      </c>
      <c r="C176" s="80" t="s">
        <v>274</v>
      </c>
      <c r="D176" s="80" t="s">
        <v>275</v>
      </c>
      <c r="E176" s="79">
        <v>44287</v>
      </c>
      <c r="F176" s="78">
        <v>73394</v>
      </c>
      <c r="G176" s="10" t="str">
        <f t="shared" si="2"/>
        <v>Q4</v>
      </c>
    </row>
    <row r="177" spans="2:7" x14ac:dyDescent="0.3">
      <c r="B177" s="78">
        <v>170</v>
      </c>
      <c r="C177" s="80" t="s">
        <v>276</v>
      </c>
      <c r="D177" s="80" t="s">
        <v>275</v>
      </c>
      <c r="E177" s="79">
        <v>44348</v>
      </c>
      <c r="F177" s="78">
        <v>254580</v>
      </c>
      <c r="G177" s="10" t="str">
        <f t="shared" si="2"/>
        <v>Q6</v>
      </c>
    </row>
    <row r="178" spans="2:7" x14ac:dyDescent="0.3">
      <c r="B178" s="78">
        <v>171</v>
      </c>
      <c r="C178" s="80" t="s">
        <v>274</v>
      </c>
      <c r="D178" s="80" t="s">
        <v>273</v>
      </c>
      <c r="E178" s="79">
        <v>44470</v>
      </c>
      <c r="F178" s="78">
        <v>175018</v>
      </c>
      <c r="G178" s="10" t="str">
        <f t="shared" si="2"/>
        <v>Q10</v>
      </c>
    </row>
    <row r="179" spans="2:7" x14ac:dyDescent="0.3">
      <c r="B179" s="78">
        <v>172</v>
      </c>
      <c r="C179" s="80" t="s">
        <v>274</v>
      </c>
      <c r="D179" s="80" t="s">
        <v>273</v>
      </c>
      <c r="E179" s="79">
        <v>44197</v>
      </c>
      <c r="F179" s="78">
        <v>248756</v>
      </c>
      <c r="G179" s="10" t="str">
        <f t="shared" si="2"/>
        <v>Q1</v>
      </c>
    </row>
    <row r="180" spans="2:7" x14ac:dyDescent="0.3">
      <c r="B180" s="78">
        <v>173</v>
      </c>
      <c r="C180" s="80" t="s">
        <v>276</v>
      </c>
      <c r="D180" s="80" t="s">
        <v>279</v>
      </c>
      <c r="E180" s="79">
        <v>44531</v>
      </c>
      <c r="F180" s="78">
        <v>22305</v>
      </c>
      <c r="G180" s="10" t="str">
        <f t="shared" si="2"/>
        <v>Q12</v>
      </c>
    </row>
    <row r="181" spans="2:7" x14ac:dyDescent="0.3">
      <c r="B181" s="78">
        <v>174</v>
      </c>
      <c r="C181" s="80" t="s">
        <v>276</v>
      </c>
      <c r="D181" s="80" t="s">
        <v>278</v>
      </c>
      <c r="E181" s="79">
        <v>44228</v>
      </c>
      <c r="F181" s="78">
        <v>5187</v>
      </c>
      <c r="G181" s="10" t="str">
        <f t="shared" si="2"/>
        <v>Q2</v>
      </c>
    </row>
    <row r="182" spans="2:7" x14ac:dyDescent="0.3">
      <c r="B182" s="78">
        <v>175</v>
      </c>
      <c r="C182" s="80" t="s">
        <v>274</v>
      </c>
      <c r="D182" s="80" t="s">
        <v>279</v>
      </c>
      <c r="E182" s="79">
        <v>44197</v>
      </c>
      <c r="F182" s="78">
        <v>100486</v>
      </c>
      <c r="G182" s="10" t="str">
        <f t="shared" si="2"/>
        <v>Q1</v>
      </c>
    </row>
    <row r="183" spans="2:7" x14ac:dyDescent="0.3">
      <c r="B183" s="78">
        <v>176</v>
      </c>
      <c r="C183" s="80" t="s">
        <v>276</v>
      </c>
      <c r="D183" s="80" t="s">
        <v>275</v>
      </c>
      <c r="E183" s="79">
        <v>44287</v>
      </c>
      <c r="F183" s="78">
        <v>259</v>
      </c>
      <c r="G183" s="10" t="str">
        <f t="shared" si="2"/>
        <v>Q4</v>
      </c>
    </row>
    <row r="184" spans="2:7" x14ac:dyDescent="0.3">
      <c r="B184" s="78">
        <v>177</v>
      </c>
      <c r="C184" s="80" t="s">
        <v>277</v>
      </c>
      <c r="D184" s="80" t="s">
        <v>271</v>
      </c>
      <c r="E184" s="79">
        <v>44287</v>
      </c>
      <c r="F184" s="78">
        <v>61230</v>
      </c>
      <c r="G184" s="10" t="str">
        <f t="shared" si="2"/>
        <v>Q4</v>
      </c>
    </row>
    <row r="185" spans="2:7" x14ac:dyDescent="0.3">
      <c r="B185" s="78">
        <v>178</v>
      </c>
      <c r="C185" s="80" t="s">
        <v>276</v>
      </c>
      <c r="D185" s="80" t="s">
        <v>271</v>
      </c>
      <c r="E185" s="79">
        <v>44256</v>
      </c>
      <c r="F185" s="78">
        <v>29435</v>
      </c>
      <c r="G185" s="10" t="str">
        <f t="shared" si="2"/>
        <v>Q3</v>
      </c>
    </row>
    <row r="186" spans="2:7" x14ac:dyDescent="0.3">
      <c r="B186" s="78">
        <v>179</v>
      </c>
      <c r="C186" s="80" t="s">
        <v>277</v>
      </c>
      <c r="D186" s="80" t="s">
        <v>271</v>
      </c>
      <c r="E186" s="79">
        <v>44228</v>
      </c>
      <c r="F186" s="78">
        <v>74022</v>
      </c>
      <c r="G186" s="10" t="str">
        <f t="shared" si="2"/>
        <v>Q2</v>
      </c>
    </row>
    <row r="187" spans="2:7" x14ac:dyDescent="0.3">
      <c r="B187" s="78">
        <v>180</v>
      </c>
      <c r="C187" s="80" t="s">
        <v>272</v>
      </c>
      <c r="D187" s="80" t="s">
        <v>271</v>
      </c>
      <c r="E187" s="79">
        <v>44317</v>
      </c>
      <c r="F187" s="78">
        <v>124153</v>
      </c>
      <c r="G187" s="10" t="str">
        <f t="shared" si="2"/>
        <v>Q5</v>
      </c>
    </row>
    <row r="188" spans="2:7" x14ac:dyDescent="0.3">
      <c r="B188" s="78">
        <v>181</v>
      </c>
      <c r="C188" s="80" t="s">
        <v>276</v>
      </c>
      <c r="D188" s="80" t="s">
        <v>279</v>
      </c>
      <c r="E188" s="79">
        <v>44470</v>
      </c>
      <c r="F188" s="78">
        <v>225220</v>
      </c>
      <c r="G188" s="10" t="str">
        <f t="shared" si="2"/>
        <v>Q10</v>
      </c>
    </row>
    <row r="189" spans="2:7" x14ac:dyDescent="0.3">
      <c r="B189" s="78">
        <v>182</v>
      </c>
      <c r="C189" s="80" t="s">
        <v>272</v>
      </c>
      <c r="D189" s="80" t="s">
        <v>275</v>
      </c>
      <c r="E189" s="79">
        <v>44317</v>
      </c>
      <c r="F189" s="78">
        <v>164464</v>
      </c>
      <c r="G189" s="10" t="str">
        <f t="shared" si="2"/>
        <v>Q5</v>
      </c>
    </row>
    <row r="190" spans="2:7" x14ac:dyDescent="0.3">
      <c r="B190" s="78">
        <v>183</v>
      </c>
      <c r="C190" s="80" t="s">
        <v>276</v>
      </c>
      <c r="D190" s="80" t="s">
        <v>271</v>
      </c>
      <c r="E190" s="79">
        <v>44287</v>
      </c>
      <c r="F190" s="78">
        <v>145328</v>
      </c>
      <c r="G190" s="10" t="str">
        <f t="shared" si="2"/>
        <v>Q4</v>
      </c>
    </row>
    <row r="191" spans="2:7" x14ac:dyDescent="0.3">
      <c r="B191" s="78">
        <v>184</v>
      </c>
      <c r="C191" s="80" t="s">
        <v>277</v>
      </c>
      <c r="D191" s="80" t="s">
        <v>273</v>
      </c>
      <c r="E191" s="79">
        <v>44287</v>
      </c>
      <c r="F191" s="78">
        <v>189847</v>
      </c>
      <c r="G191" s="10" t="str">
        <f t="shared" si="2"/>
        <v>Q4</v>
      </c>
    </row>
    <row r="192" spans="2:7" x14ac:dyDescent="0.3">
      <c r="B192" s="78">
        <v>185</v>
      </c>
      <c r="C192" s="80" t="s">
        <v>280</v>
      </c>
      <c r="D192" s="80" t="s">
        <v>279</v>
      </c>
      <c r="E192" s="79">
        <v>44317</v>
      </c>
      <c r="F192" s="78">
        <v>240648</v>
      </c>
      <c r="G192" s="10" t="str">
        <f t="shared" si="2"/>
        <v>Q5</v>
      </c>
    </row>
    <row r="193" spans="2:7" x14ac:dyDescent="0.3">
      <c r="B193" s="78">
        <v>186</v>
      </c>
      <c r="C193" s="80" t="s">
        <v>280</v>
      </c>
      <c r="D193" s="80" t="s">
        <v>278</v>
      </c>
      <c r="E193" s="79">
        <v>44287</v>
      </c>
      <c r="F193" s="78">
        <v>73163</v>
      </c>
      <c r="G193" s="10" t="str">
        <f t="shared" si="2"/>
        <v>Q4</v>
      </c>
    </row>
    <row r="194" spans="2:7" x14ac:dyDescent="0.3">
      <c r="B194" s="78">
        <v>187</v>
      </c>
      <c r="C194" s="80" t="s">
        <v>280</v>
      </c>
      <c r="D194" s="80" t="s">
        <v>273</v>
      </c>
      <c r="E194" s="79">
        <v>44409</v>
      </c>
      <c r="F194" s="78">
        <v>67090</v>
      </c>
      <c r="G194" s="10" t="str">
        <f t="shared" si="2"/>
        <v>Q8</v>
      </c>
    </row>
    <row r="195" spans="2:7" x14ac:dyDescent="0.3">
      <c r="B195" s="78">
        <v>188</v>
      </c>
      <c r="C195" s="80" t="s">
        <v>280</v>
      </c>
      <c r="D195" s="80" t="s">
        <v>273</v>
      </c>
      <c r="E195" s="79">
        <v>44440</v>
      </c>
      <c r="F195" s="78">
        <v>13179</v>
      </c>
      <c r="G195" s="10" t="str">
        <f t="shared" si="2"/>
        <v>Q9</v>
      </c>
    </row>
    <row r="196" spans="2:7" x14ac:dyDescent="0.3">
      <c r="B196" s="78">
        <v>189</v>
      </c>
      <c r="C196" s="80" t="s">
        <v>280</v>
      </c>
      <c r="D196" s="80" t="s">
        <v>275</v>
      </c>
      <c r="E196" s="79">
        <v>44228</v>
      </c>
      <c r="F196" s="78">
        <v>210276</v>
      </c>
      <c r="G196" s="10" t="str">
        <f t="shared" si="2"/>
        <v>Q2</v>
      </c>
    </row>
    <row r="197" spans="2:7" x14ac:dyDescent="0.3">
      <c r="B197" s="78">
        <v>190</v>
      </c>
      <c r="C197" s="80" t="s">
        <v>280</v>
      </c>
      <c r="D197" s="80" t="s">
        <v>275</v>
      </c>
      <c r="E197" s="79">
        <v>44228</v>
      </c>
      <c r="F197" s="78">
        <v>86142</v>
      </c>
      <c r="G197" s="10" t="str">
        <f t="shared" si="2"/>
        <v>Q2</v>
      </c>
    </row>
    <row r="198" spans="2:7" x14ac:dyDescent="0.3">
      <c r="B198" s="78">
        <v>191</v>
      </c>
      <c r="C198" s="80" t="s">
        <v>280</v>
      </c>
      <c r="D198" s="80" t="s">
        <v>278</v>
      </c>
      <c r="E198" s="79">
        <v>44287</v>
      </c>
      <c r="F198" s="78">
        <v>203878</v>
      </c>
      <c r="G198" s="10" t="str">
        <f t="shared" si="2"/>
        <v>Q4</v>
      </c>
    </row>
    <row r="199" spans="2:7" x14ac:dyDescent="0.3">
      <c r="B199" s="78">
        <v>192</v>
      </c>
      <c r="C199" s="80" t="s">
        <v>280</v>
      </c>
      <c r="D199" s="80" t="s">
        <v>271</v>
      </c>
      <c r="E199" s="79">
        <v>44378</v>
      </c>
      <c r="F199" s="78">
        <v>86843</v>
      </c>
      <c r="G199" s="10" t="str">
        <f t="shared" si="2"/>
        <v>Q7</v>
      </c>
    </row>
    <row r="200" spans="2:7" x14ac:dyDescent="0.3">
      <c r="B200" s="78">
        <v>193</v>
      </c>
      <c r="C200" s="80" t="s">
        <v>280</v>
      </c>
      <c r="D200" s="80" t="s">
        <v>271</v>
      </c>
      <c r="E200" s="79">
        <v>44531</v>
      </c>
      <c r="F200" s="78">
        <v>-21877</v>
      </c>
      <c r="G200" s="10" t="str">
        <f t="shared" ref="G200:G263" si="3">"Q"&amp;INT(MONTH(E200)-1/3)+1</f>
        <v>Q12</v>
      </c>
    </row>
    <row r="201" spans="2:7" x14ac:dyDescent="0.3">
      <c r="B201" s="78">
        <v>194</v>
      </c>
      <c r="C201" s="80" t="s">
        <v>280</v>
      </c>
      <c r="D201" s="80" t="s">
        <v>271</v>
      </c>
      <c r="E201" s="79">
        <v>44197</v>
      </c>
      <c r="F201" s="78">
        <v>95623</v>
      </c>
      <c r="G201" s="10" t="str">
        <f t="shared" si="3"/>
        <v>Q1</v>
      </c>
    </row>
    <row r="202" spans="2:7" x14ac:dyDescent="0.3">
      <c r="B202" s="78">
        <v>195</v>
      </c>
      <c r="C202" s="80" t="s">
        <v>280</v>
      </c>
      <c r="D202" s="80" t="s">
        <v>273</v>
      </c>
      <c r="E202" s="79">
        <v>44531</v>
      </c>
      <c r="F202" s="78">
        <v>244284</v>
      </c>
      <c r="G202" s="10" t="str">
        <f t="shared" si="3"/>
        <v>Q12</v>
      </c>
    </row>
    <row r="203" spans="2:7" x14ac:dyDescent="0.3">
      <c r="B203" s="78">
        <v>196</v>
      </c>
      <c r="C203" s="80" t="s">
        <v>280</v>
      </c>
      <c r="D203" s="80" t="s">
        <v>273</v>
      </c>
      <c r="E203" s="79">
        <v>44378</v>
      </c>
      <c r="F203" s="78">
        <v>103592</v>
      </c>
      <c r="G203" s="10" t="str">
        <f t="shared" si="3"/>
        <v>Q7</v>
      </c>
    </row>
    <row r="204" spans="2:7" x14ac:dyDescent="0.3">
      <c r="B204" s="78">
        <v>197</v>
      </c>
      <c r="C204" s="80" t="s">
        <v>280</v>
      </c>
      <c r="D204" s="80" t="s">
        <v>279</v>
      </c>
      <c r="E204" s="79">
        <v>44348</v>
      </c>
      <c r="F204" s="78">
        <v>17150</v>
      </c>
      <c r="G204" s="10" t="str">
        <f t="shared" si="3"/>
        <v>Q6</v>
      </c>
    </row>
    <row r="205" spans="2:7" x14ac:dyDescent="0.3">
      <c r="B205" s="78">
        <v>198</v>
      </c>
      <c r="C205" s="80" t="s">
        <v>280</v>
      </c>
      <c r="D205" s="80" t="s">
        <v>278</v>
      </c>
      <c r="E205" s="79">
        <v>44378</v>
      </c>
      <c r="F205" s="78">
        <v>138473</v>
      </c>
      <c r="G205" s="10" t="str">
        <f t="shared" si="3"/>
        <v>Q7</v>
      </c>
    </row>
    <row r="206" spans="2:7" x14ac:dyDescent="0.3">
      <c r="B206" s="78">
        <v>199</v>
      </c>
      <c r="C206" s="80" t="s">
        <v>280</v>
      </c>
      <c r="D206" s="80" t="s">
        <v>273</v>
      </c>
      <c r="E206" s="79">
        <v>44287</v>
      </c>
      <c r="F206" s="78">
        <v>81846</v>
      </c>
      <c r="G206" s="10" t="str">
        <f t="shared" si="3"/>
        <v>Q4</v>
      </c>
    </row>
    <row r="207" spans="2:7" x14ac:dyDescent="0.3">
      <c r="B207" s="78">
        <v>200</v>
      </c>
      <c r="C207" s="80" t="s">
        <v>280</v>
      </c>
      <c r="D207" s="80" t="s">
        <v>273</v>
      </c>
      <c r="E207" s="79">
        <v>44409</v>
      </c>
      <c r="F207" s="78">
        <v>10877</v>
      </c>
      <c r="G207" s="10" t="str">
        <f t="shared" si="3"/>
        <v>Q8</v>
      </c>
    </row>
    <row r="208" spans="2:7" x14ac:dyDescent="0.3">
      <c r="B208" s="78">
        <v>201</v>
      </c>
      <c r="C208" s="80" t="s">
        <v>276</v>
      </c>
      <c r="D208" s="80" t="s">
        <v>278</v>
      </c>
      <c r="E208" s="79">
        <v>44409</v>
      </c>
      <c r="F208" s="78">
        <v>155980</v>
      </c>
      <c r="G208" s="10" t="str">
        <f t="shared" si="3"/>
        <v>Q8</v>
      </c>
    </row>
    <row r="209" spans="2:7" x14ac:dyDescent="0.3">
      <c r="B209" s="78">
        <v>202</v>
      </c>
      <c r="C209" s="80" t="s">
        <v>272</v>
      </c>
      <c r="D209" s="80" t="s">
        <v>271</v>
      </c>
      <c r="E209" s="79">
        <v>44409</v>
      </c>
      <c r="F209" s="78">
        <v>23010</v>
      </c>
      <c r="G209" s="10" t="str">
        <f t="shared" si="3"/>
        <v>Q8</v>
      </c>
    </row>
    <row r="210" spans="2:7" x14ac:dyDescent="0.3">
      <c r="B210" s="78">
        <v>203</v>
      </c>
      <c r="C210" s="80" t="s">
        <v>272</v>
      </c>
      <c r="D210" s="80" t="s">
        <v>275</v>
      </c>
      <c r="E210" s="79">
        <v>44531</v>
      </c>
      <c r="F210" s="78">
        <v>71529</v>
      </c>
      <c r="G210" s="10" t="str">
        <f t="shared" si="3"/>
        <v>Q12</v>
      </c>
    </row>
    <row r="211" spans="2:7" x14ac:dyDescent="0.3">
      <c r="B211" s="78">
        <v>204</v>
      </c>
      <c r="C211" s="80" t="s">
        <v>274</v>
      </c>
      <c r="D211" s="80" t="s">
        <v>278</v>
      </c>
      <c r="E211" s="79">
        <v>44470</v>
      </c>
      <c r="F211" s="78">
        <v>39494</v>
      </c>
      <c r="G211" s="10" t="str">
        <f t="shared" si="3"/>
        <v>Q10</v>
      </c>
    </row>
    <row r="212" spans="2:7" x14ac:dyDescent="0.3">
      <c r="B212" s="78">
        <v>205</v>
      </c>
      <c r="C212" s="80" t="s">
        <v>272</v>
      </c>
      <c r="D212" s="80" t="s">
        <v>278</v>
      </c>
      <c r="E212" s="79">
        <v>44228</v>
      </c>
      <c r="F212" s="78">
        <v>157993</v>
      </c>
      <c r="G212" s="10" t="str">
        <f t="shared" si="3"/>
        <v>Q2</v>
      </c>
    </row>
    <row r="213" spans="2:7" x14ac:dyDescent="0.3">
      <c r="B213" s="78">
        <v>206</v>
      </c>
      <c r="C213" s="80" t="s">
        <v>274</v>
      </c>
      <c r="D213" s="80" t="s">
        <v>271</v>
      </c>
      <c r="E213" s="79">
        <v>44378</v>
      </c>
      <c r="F213" s="78">
        <v>121986</v>
      </c>
      <c r="G213" s="10" t="str">
        <f t="shared" si="3"/>
        <v>Q7</v>
      </c>
    </row>
    <row r="214" spans="2:7" x14ac:dyDescent="0.3">
      <c r="B214" s="78">
        <v>207</v>
      </c>
      <c r="C214" s="80" t="s">
        <v>277</v>
      </c>
      <c r="D214" s="80" t="s">
        <v>275</v>
      </c>
      <c r="E214" s="79">
        <v>44440</v>
      </c>
      <c r="F214" s="78">
        <v>258051</v>
      </c>
      <c r="G214" s="10" t="str">
        <f t="shared" si="3"/>
        <v>Q9</v>
      </c>
    </row>
    <row r="215" spans="2:7" x14ac:dyDescent="0.3">
      <c r="B215" s="78">
        <v>208</v>
      </c>
      <c r="C215" s="80" t="s">
        <v>276</v>
      </c>
      <c r="D215" s="80" t="s">
        <v>271</v>
      </c>
      <c r="E215" s="79">
        <v>44197</v>
      </c>
      <c r="F215" s="78">
        <v>6460</v>
      </c>
      <c r="G215" s="10" t="str">
        <f t="shared" si="3"/>
        <v>Q1</v>
      </c>
    </row>
    <row r="216" spans="2:7" x14ac:dyDescent="0.3">
      <c r="B216" s="78">
        <v>209</v>
      </c>
      <c r="C216" s="80" t="s">
        <v>277</v>
      </c>
      <c r="D216" s="80" t="s">
        <v>271</v>
      </c>
      <c r="E216" s="79">
        <v>44256</v>
      </c>
      <c r="F216" s="78">
        <v>114470</v>
      </c>
      <c r="G216" s="10" t="str">
        <f t="shared" si="3"/>
        <v>Q3</v>
      </c>
    </row>
    <row r="217" spans="2:7" x14ac:dyDescent="0.3">
      <c r="B217" s="78">
        <v>210</v>
      </c>
      <c r="C217" s="80" t="s">
        <v>276</v>
      </c>
      <c r="D217" s="80" t="s">
        <v>279</v>
      </c>
      <c r="E217" s="79">
        <v>44228</v>
      </c>
      <c r="F217" s="78">
        <v>8721</v>
      </c>
      <c r="G217" s="10" t="str">
        <f t="shared" si="3"/>
        <v>Q2</v>
      </c>
    </row>
    <row r="218" spans="2:7" x14ac:dyDescent="0.3">
      <c r="B218" s="78">
        <v>211</v>
      </c>
      <c r="C218" s="80" t="s">
        <v>274</v>
      </c>
      <c r="D218" s="80" t="s">
        <v>271</v>
      </c>
      <c r="E218" s="79">
        <v>44440</v>
      </c>
      <c r="F218" s="78">
        <v>160752</v>
      </c>
      <c r="G218" s="10" t="str">
        <f t="shared" si="3"/>
        <v>Q9</v>
      </c>
    </row>
    <row r="219" spans="2:7" x14ac:dyDescent="0.3">
      <c r="B219" s="78">
        <v>212</v>
      </c>
      <c r="C219" s="80" t="s">
        <v>274</v>
      </c>
      <c r="D219" s="80" t="s">
        <v>271</v>
      </c>
      <c r="E219" s="79">
        <v>44531</v>
      </c>
      <c r="F219" s="78">
        <v>1365</v>
      </c>
      <c r="G219" s="10" t="str">
        <f t="shared" si="3"/>
        <v>Q12</v>
      </c>
    </row>
    <row r="220" spans="2:7" x14ac:dyDescent="0.3">
      <c r="B220" s="78">
        <v>213</v>
      </c>
      <c r="C220" s="80" t="s">
        <v>276</v>
      </c>
      <c r="D220" s="80" t="s">
        <v>273</v>
      </c>
      <c r="E220" s="79">
        <v>44531</v>
      </c>
      <c r="F220" s="78">
        <v>54633</v>
      </c>
      <c r="G220" s="10" t="str">
        <f t="shared" si="3"/>
        <v>Q12</v>
      </c>
    </row>
    <row r="221" spans="2:7" x14ac:dyDescent="0.3">
      <c r="B221" s="78">
        <v>214</v>
      </c>
      <c r="C221" s="80" t="s">
        <v>274</v>
      </c>
      <c r="D221" s="80" t="s">
        <v>278</v>
      </c>
      <c r="E221" s="79">
        <v>44348</v>
      </c>
      <c r="F221" s="78">
        <v>130437</v>
      </c>
      <c r="G221" s="10" t="str">
        <f t="shared" si="3"/>
        <v>Q6</v>
      </c>
    </row>
    <row r="222" spans="2:7" x14ac:dyDescent="0.3">
      <c r="B222" s="78">
        <v>215</v>
      </c>
      <c r="C222" s="80" t="s">
        <v>276</v>
      </c>
      <c r="D222" s="80" t="s">
        <v>271</v>
      </c>
      <c r="E222" s="79">
        <v>44317</v>
      </c>
      <c r="F222" s="78">
        <v>53266</v>
      </c>
      <c r="G222" s="10" t="str">
        <f t="shared" si="3"/>
        <v>Q5</v>
      </c>
    </row>
    <row r="223" spans="2:7" x14ac:dyDescent="0.3">
      <c r="B223" s="78">
        <v>216</v>
      </c>
      <c r="C223" s="80" t="s">
        <v>274</v>
      </c>
      <c r="D223" s="80" t="s">
        <v>273</v>
      </c>
      <c r="E223" s="79">
        <v>44409</v>
      </c>
      <c r="F223" s="78">
        <v>110965</v>
      </c>
      <c r="G223" s="10" t="str">
        <f t="shared" si="3"/>
        <v>Q8</v>
      </c>
    </row>
    <row r="224" spans="2:7" x14ac:dyDescent="0.3">
      <c r="B224" s="78">
        <v>217</v>
      </c>
      <c r="C224" s="80" t="s">
        <v>276</v>
      </c>
      <c r="D224" s="80" t="s">
        <v>275</v>
      </c>
      <c r="E224" s="79">
        <v>44348</v>
      </c>
      <c r="F224" s="78">
        <v>159478</v>
      </c>
      <c r="G224" s="10" t="str">
        <f t="shared" si="3"/>
        <v>Q6</v>
      </c>
    </row>
    <row r="225" spans="2:7" x14ac:dyDescent="0.3">
      <c r="B225" s="78">
        <v>218</v>
      </c>
      <c r="C225" s="80" t="s">
        <v>274</v>
      </c>
      <c r="D225" s="80" t="s">
        <v>278</v>
      </c>
      <c r="E225" s="79">
        <v>44348</v>
      </c>
      <c r="F225" s="78">
        <v>96983</v>
      </c>
      <c r="G225" s="10" t="str">
        <f t="shared" si="3"/>
        <v>Q6</v>
      </c>
    </row>
    <row r="226" spans="2:7" x14ac:dyDescent="0.3">
      <c r="B226" s="78">
        <v>219</v>
      </c>
      <c r="C226" s="80" t="s">
        <v>276</v>
      </c>
      <c r="D226" s="80" t="s">
        <v>278</v>
      </c>
      <c r="E226" s="79">
        <v>44228</v>
      </c>
      <c r="F226" s="78">
        <v>15238</v>
      </c>
      <c r="G226" s="10" t="str">
        <f t="shared" si="3"/>
        <v>Q2</v>
      </c>
    </row>
    <row r="227" spans="2:7" x14ac:dyDescent="0.3">
      <c r="B227" s="78">
        <v>220</v>
      </c>
      <c r="C227" s="80" t="s">
        <v>277</v>
      </c>
      <c r="D227" s="80" t="s">
        <v>275</v>
      </c>
      <c r="E227" s="79">
        <v>44287</v>
      </c>
      <c r="F227" s="78">
        <v>89649</v>
      </c>
      <c r="G227" s="10" t="str">
        <f t="shared" si="3"/>
        <v>Q4</v>
      </c>
    </row>
    <row r="228" spans="2:7" x14ac:dyDescent="0.3">
      <c r="B228" s="78">
        <v>221</v>
      </c>
      <c r="C228" s="80" t="s">
        <v>272</v>
      </c>
      <c r="D228" s="80" t="s">
        <v>275</v>
      </c>
      <c r="E228" s="79">
        <v>44287</v>
      </c>
      <c r="F228" s="78">
        <v>42319</v>
      </c>
      <c r="G228" s="10" t="str">
        <f t="shared" si="3"/>
        <v>Q4</v>
      </c>
    </row>
    <row r="229" spans="2:7" x14ac:dyDescent="0.3">
      <c r="B229" s="78">
        <v>222</v>
      </c>
      <c r="C229" s="80" t="s">
        <v>274</v>
      </c>
      <c r="D229" s="80" t="s">
        <v>275</v>
      </c>
      <c r="E229" s="79">
        <v>44317</v>
      </c>
      <c r="F229" s="78">
        <v>1519</v>
      </c>
      <c r="G229" s="10" t="str">
        <f t="shared" si="3"/>
        <v>Q5</v>
      </c>
    </row>
    <row r="230" spans="2:7" x14ac:dyDescent="0.3">
      <c r="B230" s="78">
        <v>223</v>
      </c>
      <c r="C230" s="80" t="s">
        <v>276</v>
      </c>
      <c r="D230" s="80" t="s">
        <v>278</v>
      </c>
      <c r="E230" s="79">
        <v>44409</v>
      </c>
      <c r="F230" s="78">
        <v>78549</v>
      </c>
      <c r="G230" s="10" t="str">
        <f t="shared" si="3"/>
        <v>Q8</v>
      </c>
    </row>
    <row r="231" spans="2:7" x14ac:dyDescent="0.3">
      <c r="B231" s="78">
        <v>224</v>
      </c>
      <c r="C231" s="80" t="s">
        <v>272</v>
      </c>
      <c r="D231" s="80" t="s">
        <v>278</v>
      </c>
      <c r="E231" s="79">
        <v>44317</v>
      </c>
      <c r="F231" s="78">
        <v>1696</v>
      </c>
      <c r="G231" s="10" t="str">
        <f t="shared" si="3"/>
        <v>Q5</v>
      </c>
    </row>
    <row r="232" spans="2:7" x14ac:dyDescent="0.3">
      <c r="B232" s="78">
        <v>225</v>
      </c>
      <c r="C232" s="80" t="s">
        <v>276</v>
      </c>
      <c r="D232" s="80" t="s">
        <v>279</v>
      </c>
      <c r="E232" s="79">
        <v>44228</v>
      </c>
      <c r="F232" s="78">
        <v>252387</v>
      </c>
      <c r="G232" s="10" t="str">
        <f t="shared" si="3"/>
        <v>Q2</v>
      </c>
    </row>
    <row r="233" spans="2:7" x14ac:dyDescent="0.3">
      <c r="B233" s="78">
        <v>226</v>
      </c>
      <c r="C233" s="80" t="s">
        <v>272</v>
      </c>
      <c r="D233" s="80" t="s">
        <v>278</v>
      </c>
      <c r="E233" s="79">
        <v>44228</v>
      </c>
      <c r="F233" s="78">
        <v>27849</v>
      </c>
      <c r="G233" s="10" t="str">
        <f t="shared" si="3"/>
        <v>Q2</v>
      </c>
    </row>
    <row r="234" spans="2:7" x14ac:dyDescent="0.3">
      <c r="B234" s="78">
        <v>227</v>
      </c>
      <c r="C234" s="80" t="s">
        <v>276</v>
      </c>
      <c r="D234" s="80" t="s">
        <v>279</v>
      </c>
      <c r="E234" s="79">
        <v>44287</v>
      </c>
      <c r="F234" s="78">
        <v>173334</v>
      </c>
      <c r="G234" s="10" t="str">
        <f t="shared" si="3"/>
        <v>Q4</v>
      </c>
    </row>
    <row r="235" spans="2:7" x14ac:dyDescent="0.3">
      <c r="B235" s="78">
        <v>228</v>
      </c>
      <c r="C235" s="80" t="s">
        <v>274</v>
      </c>
      <c r="D235" s="80" t="s">
        <v>273</v>
      </c>
      <c r="E235" s="79">
        <v>44287</v>
      </c>
      <c r="F235" s="78">
        <v>221658</v>
      </c>
      <c r="G235" s="10" t="str">
        <f t="shared" si="3"/>
        <v>Q4</v>
      </c>
    </row>
    <row r="236" spans="2:7" x14ac:dyDescent="0.3">
      <c r="B236" s="78">
        <v>229</v>
      </c>
      <c r="C236" s="80" t="s">
        <v>272</v>
      </c>
      <c r="D236" s="80" t="s">
        <v>275</v>
      </c>
      <c r="E236" s="79">
        <v>44531</v>
      </c>
      <c r="F236" s="78">
        <v>12709</v>
      </c>
      <c r="G236" s="10" t="str">
        <f t="shared" si="3"/>
        <v>Q12</v>
      </c>
    </row>
    <row r="237" spans="2:7" x14ac:dyDescent="0.3">
      <c r="B237" s="78">
        <v>230</v>
      </c>
      <c r="C237" s="80" t="s">
        <v>274</v>
      </c>
      <c r="D237" s="80" t="s">
        <v>271</v>
      </c>
      <c r="E237" s="79">
        <v>44256</v>
      </c>
      <c r="F237" s="78">
        <v>6845</v>
      </c>
      <c r="G237" s="10" t="str">
        <f t="shared" si="3"/>
        <v>Q3</v>
      </c>
    </row>
    <row r="238" spans="2:7" x14ac:dyDescent="0.3">
      <c r="B238" s="78">
        <v>231</v>
      </c>
      <c r="C238" s="80" t="s">
        <v>277</v>
      </c>
      <c r="D238" s="80" t="s">
        <v>275</v>
      </c>
      <c r="E238" s="79">
        <v>44501</v>
      </c>
      <c r="F238" s="78">
        <v>39271</v>
      </c>
      <c r="G238" s="10" t="str">
        <f t="shared" si="3"/>
        <v>Q11</v>
      </c>
    </row>
    <row r="239" spans="2:7" x14ac:dyDescent="0.3">
      <c r="B239" s="78">
        <v>232</v>
      </c>
      <c r="C239" s="80" t="s">
        <v>277</v>
      </c>
      <c r="D239" s="80" t="s">
        <v>278</v>
      </c>
      <c r="E239" s="79">
        <v>44440</v>
      </c>
      <c r="F239" s="78">
        <v>208038</v>
      </c>
      <c r="G239" s="10" t="str">
        <f t="shared" si="3"/>
        <v>Q9</v>
      </c>
    </row>
    <row r="240" spans="2:7" x14ac:dyDescent="0.3">
      <c r="B240" s="78">
        <v>233</v>
      </c>
      <c r="C240" s="80" t="s">
        <v>276</v>
      </c>
      <c r="D240" s="80" t="s">
        <v>278</v>
      </c>
      <c r="E240" s="79">
        <v>44378</v>
      </c>
      <c r="F240" s="78">
        <v>12894</v>
      </c>
      <c r="G240" s="10" t="str">
        <f t="shared" si="3"/>
        <v>Q7</v>
      </c>
    </row>
    <row r="241" spans="2:7" x14ac:dyDescent="0.3">
      <c r="B241" s="78">
        <v>234</v>
      </c>
      <c r="C241" s="80" t="s">
        <v>272</v>
      </c>
      <c r="D241" s="80" t="s">
        <v>275</v>
      </c>
      <c r="E241" s="79">
        <v>44470</v>
      </c>
      <c r="F241" s="78">
        <v>236531</v>
      </c>
      <c r="G241" s="10" t="str">
        <f t="shared" si="3"/>
        <v>Q10</v>
      </c>
    </row>
    <row r="242" spans="2:7" x14ac:dyDescent="0.3">
      <c r="B242" s="78">
        <v>235</v>
      </c>
      <c r="C242" s="80" t="s">
        <v>276</v>
      </c>
      <c r="D242" s="80" t="s">
        <v>275</v>
      </c>
      <c r="E242" s="79">
        <v>44470</v>
      </c>
      <c r="F242" s="78">
        <v>128249</v>
      </c>
      <c r="G242" s="10" t="str">
        <f t="shared" si="3"/>
        <v>Q10</v>
      </c>
    </row>
    <row r="243" spans="2:7" x14ac:dyDescent="0.3">
      <c r="B243" s="78">
        <v>236</v>
      </c>
      <c r="C243" s="80" t="s">
        <v>272</v>
      </c>
      <c r="D243" s="80" t="s">
        <v>275</v>
      </c>
      <c r="E243" s="79">
        <v>44531</v>
      </c>
      <c r="F243" s="78">
        <v>210352</v>
      </c>
      <c r="G243" s="10" t="str">
        <f t="shared" si="3"/>
        <v>Q12</v>
      </c>
    </row>
    <row r="244" spans="2:7" x14ac:dyDescent="0.3">
      <c r="B244" s="78">
        <v>237</v>
      </c>
      <c r="C244" s="80" t="s">
        <v>276</v>
      </c>
      <c r="D244" s="80" t="s">
        <v>271</v>
      </c>
      <c r="E244" s="79">
        <v>44256</v>
      </c>
      <c r="F244" s="78">
        <v>133951</v>
      </c>
      <c r="G244" s="10" t="str">
        <f t="shared" si="3"/>
        <v>Q3</v>
      </c>
    </row>
    <row r="245" spans="2:7" x14ac:dyDescent="0.3">
      <c r="B245" s="78">
        <v>238</v>
      </c>
      <c r="C245" s="80" t="s">
        <v>276</v>
      </c>
      <c r="D245" s="80" t="s">
        <v>275</v>
      </c>
      <c r="E245" s="79">
        <v>44256</v>
      </c>
      <c r="F245" s="78">
        <v>117440</v>
      </c>
      <c r="G245" s="10" t="str">
        <f t="shared" si="3"/>
        <v>Q3</v>
      </c>
    </row>
    <row r="246" spans="2:7" x14ac:dyDescent="0.3">
      <c r="B246" s="78">
        <v>239</v>
      </c>
      <c r="C246" s="80" t="s">
        <v>274</v>
      </c>
      <c r="D246" s="80" t="s">
        <v>279</v>
      </c>
      <c r="E246" s="79">
        <v>44440</v>
      </c>
      <c r="F246" s="78">
        <v>256402</v>
      </c>
      <c r="G246" s="10" t="str">
        <f t="shared" si="3"/>
        <v>Q9</v>
      </c>
    </row>
    <row r="247" spans="2:7" x14ac:dyDescent="0.3">
      <c r="B247" s="78">
        <v>240</v>
      </c>
      <c r="C247" s="80" t="s">
        <v>280</v>
      </c>
      <c r="D247" s="80" t="s">
        <v>275</v>
      </c>
      <c r="E247" s="79">
        <v>44197</v>
      </c>
      <c r="F247" s="78">
        <v>151301</v>
      </c>
      <c r="G247" s="10" t="str">
        <f t="shared" si="3"/>
        <v>Q1</v>
      </c>
    </row>
    <row r="248" spans="2:7" x14ac:dyDescent="0.3">
      <c r="B248" s="78">
        <v>241</v>
      </c>
      <c r="C248" s="80" t="s">
        <v>280</v>
      </c>
      <c r="D248" s="80" t="s">
        <v>271</v>
      </c>
      <c r="E248" s="79">
        <v>44501</v>
      </c>
      <c r="F248" s="78">
        <v>74813</v>
      </c>
      <c r="G248" s="10" t="str">
        <f t="shared" si="3"/>
        <v>Q11</v>
      </c>
    </row>
    <row r="249" spans="2:7" x14ac:dyDescent="0.3">
      <c r="B249" s="78">
        <v>242</v>
      </c>
      <c r="C249" s="80" t="s">
        <v>280</v>
      </c>
      <c r="D249" s="80" t="s">
        <v>271</v>
      </c>
      <c r="E249" s="79">
        <v>44197</v>
      </c>
      <c r="F249" s="78">
        <v>161532</v>
      </c>
      <c r="G249" s="10" t="str">
        <f t="shared" si="3"/>
        <v>Q1</v>
      </c>
    </row>
    <row r="250" spans="2:7" x14ac:dyDescent="0.3">
      <c r="B250" s="78">
        <v>243</v>
      </c>
      <c r="C250" s="80" t="s">
        <v>280</v>
      </c>
      <c r="D250" s="80" t="s">
        <v>279</v>
      </c>
      <c r="E250" s="79">
        <v>44501</v>
      </c>
      <c r="F250" s="78">
        <v>63494</v>
      </c>
      <c r="G250" s="10" t="str">
        <f t="shared" si="3"/>
        <v>Q11</v>
      </c>
    </row>
    <row r="251" spans="2:7" x14ac:dyDescent="0.3">
      <c r="B251" s="78">
        <v>244</v>
      </c>
      <c r="C251" s="80" t="s">
        <v>280</v>
      </c>
      <c r="D251" s="80" t="s">
        <v>278</v>
      </c>
      <c r="E251" s="79">
        <v>44501</v>
      </c>
      <c r="F251" s="78">
        <v>8463</v>
      </c>
      <c r="G251" s="10" t="str">
        <f t="shared" si="3"/>
        <v>Q11</v>
      </c>
    </row>
    <row r="252" spans="2:7" x14ac:dyDescent="0.3">
      <c r="B252" s="78">
        <v>245</v>
      </c>
      <c r="C252" s="80" t="s">
        <v>280</v>
      </c>
      <c r="D252" s="80" t="s">
        <v>278</v>
      </c>
      <c r="E252" s="79">
        <v>44531</v>
      </c>
      <c r="F252" s="78">
        <v>9630</v>
      </c>
      <c r="G252" s="10" t="str">
        <f t="shared" si="3"/>
        <v>Q12</v>
      </c>
    </row>
    <row r="253" spans="2:7" x14ac:dyDescent="0.3">
      <c r="B253" s="78">
        <v>246</v>
      </c>
      <c r="C253" s="80" t="s">
        <v>280</v>
      </c>
      <c r="D253" s="80" t="s">
        <v>273</v>
      </c>
      <c r="E253" s="79">
        <v>44470</v>
      </c>
      <c r="F253" s="78">
        <v>139432</v>
      </c>
      <c r="G253" s="10" t="str">
        <f t="shared" si="3"/>
        <v>Q10</v>
      </c>
    </row>
    <row r="254" spans="2:7" x14ac:dyDescent="0.3">
      <c r="B254" s="78">
        <v>247</v>
      </c>
      <c r="C254" s="80" t="s">
        <v>280</v>
      </c>
      <c r="D254" s="80" t="s">
        <v>273</v>
      </c>
      <c r="E254" s="79">
        <v>44440</v>
      </c>
      <c r="F254" s="78">
        <v>261354</v>
      </c>
      <c r="G254" s="10" t="str">
        <f t="shared" si="3"/>
        <v>Q9</v>
      </c>
    </row>
    <row r="255" spans="2:7" x14ac:dyDescent="0.3">
      <c r="B255" s="78">
        <v>248</v>
      </c>
      <c r="C255" s="80" t="s">
        <v>280</v>
      </c>
      <c r="D255" s="80" t="s">
        <v>275</v>
      </c>
      <c r="E255" s="79">
        <v>44378</v>
      </c>
      <c r="F255" s="78">
        <v>89802</v>
      </c>
      <c r="G255" s="10" t="str">
        <f t="shared" si="3"/>
        <v>Q7</v>
      </c>
    </row>
    <row r="256" spans="2:7" x14ac:dyDescent="0.3">
      <c r="B256" s="78">
        <v>249</v>
      </c>
      <c r="C256" s="80" t="s">
        <v>280</v>
      </c>
      <c r="D256" s="80" t="s">
        <v>275</v>
      </c>
      <c r="E256" s="79">
        <v>44409</v>
      </c>
      <c r="F256" s="78">
        <v>23250</v>
      </c>
      <c r="G256" s="10" t="str">
        <f t="shared" si="3"/>
        <v>Q8</v>
      </c>
    </row>
    <row r="257" spans="2:7" x14ac:dyDescent="0.3">
      <c r="B257" s="78">
        <v>250</v>
      </c>
      <c r="C257" s="80" t="s">
        <v>280</v>
      </c>
      <c r="D257" s="80" t="s">
        <v>273</v>
      </c>
      <c r="E257" s="79">
        <v>44501</v>
      </c>
      <c r="F257" s="78">
        <v>156072</v>
      </c>
      <c r="G257" s="10" t="str">
        <f t="shared" si="3"/>
        <v>Q11</v>
      </c>
    </row>
    <row r="258" spans="2:7" x14ac:dyDescent="0.3">
      <c r="B258" s="78">
        <v>251</v>
      </c>
      <c r="C258" s="80" t="s">
        <v>280</v>
      </c>
      <c r="D258" s="80" t="s">
        <v>273</v>
      </c>
      <c r="E258" s="79">
        <v>44378</v>
      </c>
      <c r="F258" s="78">
        <v>52513</v>
      </c>
      <c r="G258" s="10" t="str">
        <f t="shared" si="3"/>
        <v>Q7</v>
      </c>
    </row>
    <row r="259" spans="2:7" x14ac:dyDescent="0.3">
      <c r="B259" s="78">
        <v>252</v>
      </c>
      <c r="C259" s="80" t="s">
        <v>280</v>
      </c>
      <c r="D259" s="80" t="s">
        <v>273</v>
      </c>
      <c r="E259" s="79">
        <v>44197</v>
      </c>
      <c r="F259" s="78">
        <v>25860</v>
      </c>
      <c r="G259" s="10" t="str">
        <f t="shared" si="3"/>
        <v>Q1</v>
      </c>
    </row>
    <row r="260" spans="2:7" x14ac:dyDescent="0.3">
      <c r="B260" s="78">
        <v>253</v>
      </c>
      <c r="C260" s="80" t="s">
        <v>280</v>
      </c>
      <c r="D260" s="80" t="s">
        <v>279</v>
      </c>
      <c r="E260" s="79">
        <v>44287</v>
      </c>
      <c r="F260" s="78">
        <v>244904</v>
      </c>
      <c r="G260" s="10" t="str">
        <f t="shared" si="3"/>
        <v>Q4</v>
      </c>
    </row>
    <row r="261" spans="2:7" x14ac:dyDescent="0.3">
      <c r="B261" s="78">
        <v>254</v>
      </c>
      <c r="C261" s="80" t="s">
        <v>280</v>
      </c>
      <c r="D261" s="80" t="s">
        <v>279</v>
      </c>
      <c r="E261" s="79">
        <v>44378</v>
      </c>
      <c r="F261" s="78">
        <v>159745</v>
      </c>
      <c r="G261" s="10" t="str">
        <f t="shared" si="3"/>
        <v>Q7</v>
      </c>
    </row>
    <row r="262" spans="2:7" x14ac:dyDescent="0.3">
      <c r="B262" s="78">
        <v>255</v>
      </c>
      <c r="C262" s="80" t="s">
        <v>280</v>
      </c>
      <c r="D262" s="80" t="s">
        <v>273</v>
      </c>
      <c r="E262" s="79">
        <v>44197</v>
      </c>
      <c r="F262" s="78">
        <v>6256</v>
      </c>
      <c r="G262" s="10" t="str">
        <f t="shared" si="3"/>
        <v>Q1</v>
      </c>
    </row>
    <row r="263" spans="2:7" x14ac:dyDescent="0.3">
      <c r="B263" s="78">
        <v>256</v>
      </c>
      <c r="C263" s="80" t="s">
        <v>280</v>
      </c>
      <c r="D263" s="80" t="s">
        <v>278</v>
      </c>
      <c r="E263" s="79">
        <v>44228</v>
      </c>
      <c r="F263" s="78">
        <v>194150</v>
      </c>
      <c r="G263" s="10" t="str">
        <f t="shared" si="3"/>
        <v>Q2</v>
      </c>
    </row>
    <row r="264" spans="2:7" x14ac:dyDescent="0.3">
      <c r="B264" s="78">
        <v>257</v>
      </c>
      <c r="C264" s="80" t="s">
        <v>280</v>
      </c>
      <c r="D264" s="80" t="s">
        <v>275</v>
      </c>
      <c r="E264" s="79">
        <v>44409</v>
      </c>
      <c r="F264" s="78">
        <v>7382</v>
      </c>
      <c r="G264" s="10" t="str">
        <f t="shared" ref="G264:G320" si="4">"Q"&amp;INT(MONTH(E264)-1/3)+1</f>
        <v>Q8</v>
      </c>
    </row>
    <row r="265" spans="2:7" x14ac:dyDescent="0.3">
      <c r="B265" s="78">
        <v>258</v>
      </c>
      <c r="C265" s="80" t="s">
        <v>280</v>
      </c>
      <c r="D265" s="80" t="s">
        <v>273</v>
      </c>
      <c r="E265" s="79">
        <v>44317</v>
      </c>
      <c r="F265" s="78">
        <v>26172</v>
      </c>
      <c r="G265" s="10" t="str">
        <f t="shared" si="4"/>
        <v>Q5</v>
      </c>
    </row>
    <row r="266" spans="2:7" x14ac:dyDescent="0.3">
      <c r="B266" s="78">
        <v>259</v>
      </c>
      <c r="C266" s="80" t="s">
        <v>280</v>
      </c>
      <c r="D266" s="80" t="s">
        <v>273</v>
      </c>
      <c r="E266" s="79">
        <v>44501</v>
      </c>
      <c r="F266" s="78">
        <v>223295</v>
      </c>
      <c r="G266" s="10" t="str">
        <f t="shared" si="4"/>
        <v>Q11</v>
      </c>
    </row>
    <row r="267" spans="2:7" x14ac:dyDescent="0.3">
      <c r="B267" s="78">
        <v>260</v>
      </c>
      <c r="C267" s="80" t="s">
        <v>280</v>
      </c>
      <c r="D267" s="80" t="s">
        <v>279</v>
      </c>
      <c r="E267" s="79">
        <v>44348</v>
      </c>
      <c r="F267" s="78">
        <v>213069</v>
      </c>
      <c r="G267" s="10" t="str">
        <f t="shared" si="4"/>
        <v>Q6</v>
      </c>
    </row>
    <row r="268" spans="2:7" x14ac:dyDescent="0.3">
      <c r="B268" s="78">
        <v>261</v>
      </c>
      <c r="C268" s="80" t="s">
        <v>280</v>
      </c>
      <c r="D268" s="80" t="s">
        <v>275</v>
      </c>
      <c r="E268" s="79">
        <v>44348</v>
      </c>
      <c r="F268" s="78">
        <v>7190</v>
      </c>
      <c r="G268" s="10" t="str">
        <f t="shared" si="4"/>
        <v>Q6</v>
      </c>
    </row>
    <row r="269" spans="2:7" x14ac:dyDescent="0.3">
      <c r="B269" s="78">
        <v>262</v>
      </c>
      <c r="C269" s="80" t="s">
        <v>280</v>
      </c>
      <c r="D269" s="80" t="s">
        <v>279</v>
      </c>
      <c r="E269" s="79">
        <v>44256</v>
      </c>
      <c r="F269" s="78">
        <v>51626</v>
      </c>
      <c r="G269" s="10" t="str">
        <f t="shared" si="4"/>
        <v>Q3</v>
      </c>
    </row>
    <row r="270" spans="2:7" x14ac:dyDescent="0.3">
      <c r="B270" s="78">
        <v>263</v>
      </c>
      <c r="C270" s="80" t="s">
        <v>280</v>
      </c>
      <c r="D270" s="80" t="s">
        <v>271</v>
      </c>
      <c r="E270" s="79">
        <v>44440</v>
      </c>
      <c r="F270" s="78">
        <v>200584</v>
      </c>
      <c r="G270" s="10" t="str">
        <f t="shared" si="4"/>
        <v>Q9</v>
      </c>
    </row>
    <row r="271" spans="2:7" x14ac:dyDescent="0.3">
      <c r="B271" s="78">
        <v>264</v>
      </c>
      <c r="C271" s="80" t="s">
        <v>280</v>
      </c>
      <c r="D271" s="80" t="s">
        <v>278</v>
      </c>
      <c r="E271" s="79">
        <v>44378</v>
      </c>
      <c r="F271" s="78">
        <v>235104</v>
      </c>
      <c r="G271" s="10" t="str">
        <f t="shared" si="4"/>
        <v>Q7</v>
      </c>
    </row>
    <row r="272" spans="2:7" x14ac:dyDescent="0.3">
      <c r="B272" s="78">
        <v>265</v>
      </c>
      <c r="C272" s="80" t="s">
        <v>280</v>
      </c>
      <c r="D272" s="80" t="s">
        <v>279</v>
      </c>
      <c r="E272" s="79">
        <v>44440</v>
      </c>
      <c r="F272" s="78">
        <v>55991</v>
      </c>
      <c r="G272" s="10" t="str">
        <f t="shared" si="4"/>
        <v>Q9</v>
      </c>
    </row>
    <row r="273" spans="2:7" x14ac:dyDescent="0.3">
      <c r="B273" s="78">
        <v>266</v>
      </c>
      <c r="C273" s="80" t="s">
        <v>280</v>
      </c>
      <c r="D273" s="80" t="s">
        <v>275</v>
      </c>
      <c r="E273" s="79">
        <v>44228</v>
      </c>
      <c r="F273" s="78">
        <v>134107</v>
      </c>
      <c r="G273" s="10" t="str">
        <f t="shared" si="4"/>
        <v>Q2</v>
      </c>
    </row>
    <row r="274" spans="2:7" x14ac:dyDescent="0.3">
      <c r="B274" s="78">
        <v>267</v>
      </c>
      <c r="C274" s="80" t="s">
        <v>280</v>
      </c>
      <c r="D274" s="80" t="s">
        <v>271</v>
      </c>
      <c r="E274" s="79">
        <v>44470</v>
      </c>
      <c r="F274" s="78">
        <v>104379</v>
      </c>
      <c r="G274" s="10" t="str">
        <f t="shared" si="4"/>
        <v>Q10</v>
      </c>
    </row>
    <row r="275" spans="2:7" x14ac:dyDescent="0.3">
      <c r="B275" s="78">
        <v>268</v>
      </c>
      <c r="C275" s="80" t="s">
        <v>280</v>
      </c>
      <c r="D275" s="80" t="s">
        <v>278</v>
      </c>
      <c r="E275" s="79">
        <v>44470</v>
      </c>
      <c r="F275" s="78">
        <v>22810</v>
      </c>
      <c r="G275" s="10" t="str">
        <f t="shared" si="4"/>
        <v>Q10</v>
      </c>
    </row>
    <row r="276" spans="2:7" x14ac:dyDescent="0.3">
      <c r="B276" s="78">
        <v>269</v>
      </c>
      <c r="C276" s="80" t="s">
        <v>280</v>
      </c>
      <c r="D276" s="80" t="s">
        <v>275</v>
      </c>
      <c r="E276" s="79">
        <v>44197</v>
      </c>
      <c r="F276" s="78">
        <v>28289</v>
      </c>
      <c r="G276" s="10" t="str">
        <f t="shared" si="4"/>
        <v>Q1</v>
      </c>
    </row>
    <row r="277" spans="2:7" x14ac:dyDescent="0.3">
      <c r="B277" s="78">
        <v>270</v>
      </c>
      <c r="C277" s="80" t="s">
        <v>280</v>
      </c>
      <c r="D277" s="80" t="s">
        <v>278</v>
      </c>
      <c r="E277" s="79">
        <v>44348</v>
      </c>
      <c r="F277" s="78">
        <v>65162</v>
      </c>
      <c r="G277" s="10" t="str">
        <f t="shared" si="4"/>
        <v>Q6</v>
      </c>
    </row>
    <row r="278" spans="2:7" x14ac:dyDescent="0.3">
      <c r="B278" s="78">
        <v>271</v>
      </c>
      <c r="C278" s="80" t="s">
        <v>276</v>
      </c>
      <c r="D278" s="80" t="s">
        <v>278</v>
      </c>
      <c r="E278" s="79">
        <v>44256</v>
      </c>
      <c r="F278" s="78">
        <v>201340</v>
      </c>
      <c r="G278" s="10" t="str">
        <f t="shared" si="4"/>
        <v>Q3</v>
      </c>
    </row>
    <row r="279" spans="2:7" x14ac:dyDescent="0.3">
      <c r="B279" s="78">
        <v>272</v>
      </c>
      <c r="C279" s="80" t="s">
        <v>277</v>
      </c>
      <c r="D279" s="80" t="s">
        <v>271</v>
      </c>
      <c r="E279" s="79">
        <v>44501</v>
      </c>
      <c r="F279" s="78">
        <v>55433</v>
      </c>
      <c r="G279" s="10" t="str">
        <f t="shared" si="4"/>
        <v>Q11</v>
      </c>
    </row>
    <row r="280" spans="2:7" x14ac:dyDescent="0.3">
      <c r="B280" s="78">
        <v>273</v>
      </c>
      <c r="C280" s="80" t="s">
        <v>272</v>
      </c>
      <c r="D280" s="80" t="s">
        <v>279</v>
      </c>
      <c r="E280" s="79">
        <v>44378</v>
      </c>
      <c r="F280" s="78">
        <v>104422</v>
      </c>
      <c r="G280" s="10" t="str">
        <f t="shared" si="4"/>
        <v>Q7</v>
      </c>
    </row>
    <row r="281" spans="2:7" x14ac:dyDescent="0.3">
      <c r="B281" s="78">
        <v>274</v>
      </c>
      <c r="C281" s="80" t="s">
        <v>276</v>
      </c>
      <c r="D281" s="80" t="s">
        <v>275</v>
      </c>
      <c r="E281" s="79">
        <v>44531</v>
      </c>
      <c r="F281" s="78">
        <v>100956</v>
      </c>
      <c r="G281" s="10" t="str">
        <f t="shared" si="4"/>
        <v>Q12</v>
      </c>
    </row>
    <row r="282" spans="2:7" x14ac:dyDescent="0.3">
      <c r="B282" s="78">
        <v>275</v>
      </c>
      <c r="C282" s="80" t="s">
        <v>276</v>
      </c>
      <c r="D282" s="80" t="s">
        <v>271</v>
      </c>
      <c r="E282" s="79">
        <v>44287</v>
      </c>
      <c r="F282" s="78">
        <v>135272</v>
      </c>
      <c r="G282" s="10" t="str">
        <f t="shared" si="4"/>
        <v>Q4</v>
      </c>
    </row>
    <row r="283" spans="2:7" x14ac:dyDescent="0.3">
      <c r="B283" s="78">
        <v>276</v>
      </c>
      <c r="C283" s="80" t="s">
        <v>277</v>
      </c>
      <c r="D283" s="80" t="s">
        <v>273</v>
      </c>
      <c r="E283" s="79">
        <v>44378</v>
      </c>
      <c r="F283" s="78">
        <v>59920</v>
      </c>
      <c r="G283" s="10" t="str">
        <f t="shared" si="4"/>
        <v>Q7</v>
      </c>
    </row>
    <row r="284" spans="2:7" x14ac:dyDescent="0.3">
      <c r="B284" s="78">
        <v>277</v>
      </c>
      <c r="C284" s="80" t="s">
        <v>276</v>
      </c>
      <c r="D284" s="80" t="s">
        <v>273</v>
      </c>
      <c r="E284" s="79">
        <v>44470</v>
      </c>
      <c r="F284" s="78">
        <v>163127</v>
      </c>
      <c r="G284" s="10" t="str">
        <f t="shared" si="4"/>
        <v>Q10</v>
      </c>
    </row>
    <row r="285" spans="2:7" x14ac:dyDescent="0.3">
      <c r="B285" s="78">
        <v>278</v>
      </c>
      <c r="C285" s="80" t="s">
        <v>277</v>
      </c>
      <c r="D285" s="80" t="s">
        <v>279</v>
      </c>
      <c r="E285" s="79">
        <v>44531</v>
      </c>
      <c r="F285" s="78">
        <v>232472</v>
      </c>
      <c r="G285" s="10" t="str">
        <f t="shared" si="4"/>
        <v>Q12</v>
      </c>
    </row>
    <row r="286" spans="2:7" x14ac:dyDescent="0.3">
      <c r="B286" s="78">
        <v>279</v>
      </c>
      <c r="C286" s="80" t="s">
        <v>272</v>
      </c>
      <c r="D286" s="80" t="s">
        <v>273</v>
      </c>
      <c r="E286" s="79">
        <v>44501</v>
      </c>
      <c r="F286" s="78">
        <v>28110</v>
      </c>
      <c r="G286" s="10" t="str">
        <f t="shared" si="4"/>
        <v>Q11</v>
      </c>
    </row>
    <row r="287" spans="2:7" x14ac:dyDescent="0.3">
      <c r="B287" s="78">
        <v>280</v>
      </c>
      <c r="C287" s="80" t="s">
        <v>272</v>
      </c>
      <c r="D287" s="80" t="s">
        <v>279</v>
      </c>
      <c r="E287" s="79">
        <v>44197</v>
      </c>
      <c r="F287" s="78">
        <v>40778</v>
      </c>
      <c r="G287" s="10" t="str">
        <f t="shared" si="4"/>
        <v>Q1</v>
      </c>
    </row>
    <row r="288" spans="2:7" x14ac:dyDescent="0.3">
      <c r="B288" s="78">
        <v>281</v>
      </c>
      <c r="C288" s="80" t="s">
        <v>274</v>
      </c>
      <c r="D288" s="80" t="s">
        <v>278</v>
      </c>
      <c r="E288" s="79">
        <v>44197</v>
      </c>
      <c r="F288" s="78">
        <v>219774</v>
      </c>
      <c r="G288" s="10" t="str">
        <f t="shared" si="4"/>
        <v>Q1</v>
      </c>
    </row>
    <row r="289" spans="2:7" x14ac:dyDescent="0.3">
      <c r="B289" s="78">
        <v>282</v>
      </c>
      <c r="C289" s="80" t="s">
        <v>274</v>
      </c>
      <c r="D289" s="80" t="s">
        <v>279</v>
      </c>
      <c r="E289" s="79">
        <v>44409</v>
      </c>
      <c r="F289" s="78">
        <v>216458</v>
      </c>
      <c r="G289" s="10" t="str">
        <f t="shared" si="4"/>
        <v>Q8</v>
      </c>
    </row>
    <row r="290" spans="2:7" x14ac:dyDescent="0.3">
      <c r="B290" s="78">
        <v>283</v>
      </c>
      <c r="C290" s="80" t="s">
        <v>274</v>
      </c>
      <c r="D290" s="80" t="s">
        <v>271</v>
      </c>
      <c r="E290" s="79">
        <v>44256</v>
      </c>
      <c r="F290" s="78">
        <v>39973</v>
      </c>
      <c r="G290" s="10" t="str">
        <f t="shared" si="4"/>
        <v>Q3</v>
      </c>
    </row>
    <row r="291" spans="2:7" x14ac:dyDescent="0.3">
      <c r="B291" s="78">
        <v>284</v>
      </c>
      <c r="C291" s="80" t="s">
        <v>277</v>
      </c>
      <c r="D291" s="80" t="s">
        <v>275</v>
      </c>
      <c r="E291" s="79">
        <v>44501</v>
      </c>
      <c r="F291" s="78">
        <v>195638</v>
      </c>
      <c r="G291" s="10" t="str">
        <f t="shared" si="4"/>
        <v>Q11</v>
      </c>
    </row>
    <row r="292" spans="2:7" x14ac:dyDescent="0.3">
      <c r="B292" s="78">
        <v>285</v>
      </c>
      <c r="C292" s="80" t="s">
        <v>277</v>
      </c>
      <c r="D292" s="80" t="s">
        <v>271</v>
      </c>
      <c r="E292" s="79">
        <v>44197</v>
      </c>
      <c r="F292" s="78">
        <v>256329</v>
      </c>
      <c r="G292" s="10" t="str">
        <f t="shared" si="4"/>
        <v>Q1</v>
      </c>
    </row>
    <row r="293" spans="2:7" x14ac:dyDescent="0.3">
      <c r="B293" s="78">
        <v>286</v>
      </c>
      <c r="C293" s="80" t="s">
        <v>274</v>
      </c>
      <c r="D293" s="80" t="s">
        <v>278</v>
      </c>
      <c r="E293" s="79">
        <v>44348</v>
      </c>
      <c r="F293" s="78">
        <v>11238</v>
      </c>
      <c r="G293" s="10" t="str">
        <f t="shared" si="4"/>
        <v>Q6</v>
      </c>
    </row>
    <row r="294" spans="2:7" x14ac:dyDescent="0.3">
      <c r="B294" s="78">
        <v>287</v>
      </c>
      <c r="C294" s="80" t="s">
        <v>276</v>
      </c>
      <c r="D294" s="80" t="s">
        <v>271</v>
      </c>
      <c r="E294" s="79">
        <v>44501</v>
      </c>
      <c r="F294" s="78">
        <v>20238</v>
      </c>
      <c r="G294" s="10" t="str">
        <f t="shared" si="4"/>
        <v>Q11</v>
      </c>
    </row>
    <row r="295" spans="2:7" x14ac:dyDescent="0.3">
      <c r="B295" s="78">
        <v>288</v>
      </c>
      <c r="C295" s="80" t="s">
        <v>274</v>
      </c>
      <c r="D295" s="80" t="s">
        <v>278</v>
      </c>
      <c r="E295" s="79">
        <v>44378</v>
      </c>
      <c r="F295" s="78">
        <v>226327</v>
      </c>
      <c r="G295" s="10" t="str">
        <f t="shared" si="4"/>
        <v>Q7</v>
      </c>
    </row>
    <row r="296" spans="2:7" x14ac:dyDescent="0.3">
      <c r="B296" s="78">
        <v>289</v>
      </c>
      <c r="C296" s="80" t="s">
        <v>277</v>
      </c>
      <c r="D296" s="80" t="s">
        <v>273</v>
      </c>
      <c r="E296" s="79">
        <v>44228</v>
      </c>
      <c r="F296" s="78">
        <v>192728</v>
      </c>
      <c r="G296" s="10" t="str">
        <f t="shared" si="4"/>
        <v>Q2</v>
      </c>
    </row>
    <row r="297" spans="2:7" x14ac:dyDescent="0.3">
      <c r="B297" s="78">
        <v>290</v>
      </c>
      <c r="C297" s="80" t="s">
        <v>274</v>
      </c>
      <c r="D297" s="80" t="s">
        <v>273</v>
      </c>
      <c r="E297" s="79">
        <v>44470</v>
      </c>
      <c r="F297" s="78">
        <v>245470</v>
      </c>
      <c r="G297" s="10" t="str">
        <f t="shared" si="4"/>
        <v>Q10</v>
      </c>
    </row>
    <row r="298" spans="2:7" x14ac:dyDescent="0.3">
      <c r="B298" s="78">
        <v>291</v>
      </c>
      <c r="C298" s="80" t="s">
        <v>274</v>
      </c>
      <c r="D298" s="80" t="s">
        <v>273</v>
      </c>
      <c r="E298" s="79">
        <v>44440</v>
      </c>
      <c r="F298" s="78">
        <v>12156</v>
      </c>
      <c r="G298" s="10" t="str">
        <f t="shared" si="4"/>
        <v>Q9</v>
      </c>
    </row>
    <row r="299" spans="2:7" x14ac:dyDescent="0.3">
      <c r="B299" s="78">
        <v>292</v>
      </c>
      <c r="C299" s="80" t="s">
        <v>276</v>
      </c>
      <c r="D299" s="80" t="s">
        <v>275</v>
      </c>
      <c r="E299" s="79">
        <v>44228</v>
      </c>
      <c r="F299" s="78">
        <v>11682</v>
      </c>
      <c r="G299" s="10" t="str">
        <f t="shared" si="4"/>
        <v>Q2</v>
      </c>
    </row>
    <row r="300" spans="2:7" x14ac:dyDescent="0.3">
      <c r="B300" s="78">
        <v>293</v>
      </c>
      <c r="C300" s="80" t="s">
        <v>272</v>
      </c>
      <c r="D300" s="80" t="s">
        <v>279</v>
      </c>
      <c r="E300" s="79">
        <v>44501</v>
      </c>
      <c r="F300" s="78">
        <v>161110</v>
      </c>
      <c r="G300" s="10" t="str">
        <f t="shared" si="4"/>
        <v>Q11</v>
      </c>
    </row>
    <row r="301" spans="2:7" x14ac:dyDescent="0.3">
      <c r="B301" s="78">
        <v>294</v>
      </c>
      <c r="C301" s="80" t="s">
        <v>277</v>
      </c>
      <c r="D301" s="80" t="s">
        <v>278</v>
      </c>
      <c r="E301" s="79">
        <v>44256</v>
      </c>
      <c r="F301" s="78">
        <v>155535</v>
      </c>
      <c r="G301" s="10" t="str">
        <f t="shared" si="4"/>
        <v>Q3</v>
      </c>
    </row>
    <row r="302" spans="2:7" x14ac:dyDescent="0.3">
      <c r="B302" s="78">
        <v>295</v>
      </c>
      <c r="C302" s="80" t="s">
        <v>277</v>
      </c>
      <c r="D302" s="80" t="s">
        <v>271</v>
      </c>
      <c r="E302" s="79">
        <v>44348</v>
      </c>
      <c r="F302" s="78">
        <v>223894</v>
      </c>
      <c r="G302" s="10" t="str">
        <f t="shared" si="4"/>
        <v>Q6</v>
      </c>
    </row>
    <row r="303" spans="2:7" x14ac:dyDescent="0.3">
      <c r="B303" s="78">
        <v>296</v>
      </c>
      <c r="C303" s="80" t="s">
        <v>276</v>
      </c>
      <c r="D303" s="80" t="s">
        <v>278</v>
      </c>
      <c r="E303" s="79">
        <v>44287</v>
      </c>
      <c r="F303" s="78">
        <v>22839</v>
      </c>
      <c r="G303" s="10" t="str">
        <f t="shared" si="4"/>
        <v>Q4</v>
      </c>
    </row>
    <row r="304" spans="2:7" x14ac:dyDescent="0.3">
      <c r="B304" s="78">
        <v>297</v>
      </c>
      <c r="C304" s="80" t="s">
        <v>277</v>
      </c>
      <c r="D304" s="80" t="s">
        <v>279</v>
      </c>
      <c r="E304" s="79">
        <v>44348</v>
      </c>
      <c r="F304" s="78">
        <v>-14202</v>
      </c>
      <c r="G304" s="10" t="str">
        <f t="shared" si="4"/>
        <v>Q6</v>
      </c>
    </row>
    <row r="305" spans="2:7" x14ac:dyDescent="0.3">
      <c r="B305" s="78">
        <v>298</v>
      </c>
      <c r="C305" s="80" t="s">
        <v>276</v>
      </c>
      <c r="D305" s="80" t="s">
        <v>273</v>
      </c>
      <c r="E305" s="79">
        <v>44440</v>
      </c>
      <c r="F305" s="78">
        <v>98246</v>
      </c>
      <c r="G305" s="10" t="str">
        <f t="shared" si="4"/>
        <v>Q9</v>
      </c>
    </row>
    <row r="306" spans="2:7" x14ac:dyDescent="0.3">
      <c r="B306" s="78">
        <v>299</v>
      </c>
      <c r="C306" s="80" t="s">
        <v>274</v>
      </c>
      <c r="D306" s="80" t="s">
        <v>279</v>
      </c>
      <c r="E306" s="79">
        <v>44317</v>
      </c>
      <c r="F306" s="78">
        <v>111998</v>
      </c>
      <c r="G306" s="10" t="str">
        <f t="shared" si="4"/>
        <v>Q5</v>
      </c>
    </row>
    <row r="307" spans="2:7" x14ac:dyDescent="0.3">
      <c r="B307" s="78">
        <v>300</v>
      </c>
      <c r="C307" s="80" t="s">
        <v>277</v>
      </c>
      <c r="D307" s="80" t="s">
        <v>273</v>
      </c>
      <c r="E307" s="79">
        <v>44440</v>
      </c>
      <c r="F307" s="78">
        <v>74093</v>
      </c>
      <c r="G307" s="10" t="str">
        <f t="shared" si="4"/>
        <v>Q9</v>
      </c>
    </row>
    <row r="308" spans="2:7" x14ac:dyDescent="0.3">
      <c r="B308" s="78">
        <v>301</v>
      </c>
      <c r="C308" s="80" t="s">
        <v>276</v>
      </c>
      <c r="D308" s="80" t="s">
        <v>279</v>
      </c>
      <c r="E308" s="79">
        <v>44501</v>
      </c>
      <c r="F308" s="78">
        <v>40179</v>
      </c>
      <c r="G308" s="10" t="str">
        <f t="shared" si="4"/>
        <v>Q11</v>
      </c>
    </row>
    <row r="309" spans="2:7" x14ac:dyDescent="0.3">
      <c r="B309" s="78">
        <v>302</v>
      </c>
      <c r="C309" s="80" t="s">
        <v>272</v>
      </c>
      <c r="D309" s="80" t="s">
        <v>278</v>
      </c>
      <c r="E309" s="79">
        <v>44409</v>
      </c>
      <c r="F309" s="78">
        <v>75634</v>
      </c>
      <c r="G309" s="10" t="str">
        <f t="shared" si="4"/>
        <v>Q8</v>
      </c>
    </row>
    <row r="310" spans="2:7" x14ac:dyDescent="0.3">
      <c r="B310" s="78">
        <v>303</v>
      </c>
      <c r="C310" s="80" t="s">
        <v>274</v>
      </c>
      <c r="D310" s="80" t="s">
        <v>279</v>
      </c>
      <c r="E310" s="79">
        <v>44228</v>
      </c>
      <c r="F310" s="78">
        <v>-11610</v>
      </c>
      <c r="G310" s="10" t="str">
        <f t="shared" si="4"/>
        <v>Q2</v>
      </c>
    </row>
    <row r="311" spans="2:7" x14ac:dyDescent="0.3">
      <c r="B311" s="78">
        <v>304</v>
      </c>
      <c r="C311" s="80" t="s">
        <v>272</v>
      </c>
      <c r="D311" s="80" t="s">
        <v>279</v>
      </c>
      <c r="E311" s="79">
        <v>44348</v>
      </c>
      <c r="F311" s="78">
        <v>34080</v>
      </c>
      <c r="G311" s="10" t="str">
        <f t="shared" si="4"/>
        <v>Q6</v>
      </c>
    </row>
    <row r="312" spans="2:7" x14ac:dyDescent="0.3">
      <c r="B312" s="78">
        <v>305</v>
      </c>
      <c r="C312" s="80" t="s">
        <v>274</v>
      </c>
      <c r="D312" s="80" t="s">
        <v>278</v>
      </c>
      <c r="E312" s="79">
        <v>44317</v>
      </c>
      <c r="F312" s="78">
        <v>239368</v>
      </c>
      <c r="G312" s="10" t="str">
        <f t="shared" si="4"/>
        <v>Q5</v>
      </c>
    </row>
    <row r="313" spans="2:7" x14ac:dyDescent="0.3">
      <c r="B313" s="78">
        <v>306</v>
      </c>
      <c r="C313" s="80" t="s">
        <v>276</v>
      </c>
      <c r="D313" s="80" t="s">
        <v>275</v>
      </c>
      <c r="E313" s="79">
        <v>44470</v>
      </c>
      <c r="F313" s="78">
        <v>86076</v>
      </c>
      <c r="G313" s="10" t="str">
        <f t="shared" si="4"/>
        <v>Q10</v>
      </c>
    </row>
    <row r="314" spans="2:7" x14ac:dyDescent="0.3">
      <c r="B314" s="78">
        <v>307</v>
      </c>
      <c r="C314" s="80" t="s">
        <v>272</v>
      </c>
      <c r="D314" s="80" t="s">
        <v>273</v>
      </c>
      <c r="E314" s="79">
        <v>44256</v>
      </c>
      <c r="F314" s="78">
        <v>75969</v>
      </c>
      <c r="G314" s="10" t="str">
        <f t="shared" si="4"/>
        <v>Q3</v>
      </c>
    </row>
    <row r="315" spans="2:7" x14ac:dyDescent="0.3">
      <c r="B315" s="78">
        <v>308</v>
      </c>
      <c r="C315" s="80" t="s">
        <v>276</v>
      </c>
      <c r="D315" s="80" t="s">
        <v>273</v>
      </c>
      <c r="E315" s="79">
        <v>44378</v>
      </c>
      <c r="F315" s="78">
        <v>-39689</v>
      </c>
      <c r="G315" s="10" t="str">
        <f t="shared" si="4"/>
        <v>Q7</v>
      </c>
    </row>
    <row r="316" spans="2:7" x14ac:dyDescent="0.3">
      <c r="B316" s="78">
        <v>309</v>
      </c>
      <c r="C316" s="80" t="s">
        <v>276</v>
      </c>
      <c r="D316" s="80" t="s">
        <v>275</v>
      </c>
      <c r="E316" s="79">
        <v>44287</v>
      </c>
      <c r="F316" s="78">
        <v>51383</v>
      </c>
      <c r="G316" s="10" t="str">
        <f t="shared" si="4"/>
        <v>Q4</v>
      </c>
    </row>
    <row r="317" spans="2:7" x14ac:dyDescent="0.3">
      <c r="B317" s="78">
        <v>310</v>
      </c>
      <c r="C317" s="80" t="s">
        <v>277</v>
      </c>
      <c r="D317" s="80" t="s">
        <v>273</v>
      </c>
      <c r="E317" s="79">
        <v>44378</v>
      </c>
      <c r="F317" s="78">
        <v>252080</v>
      </c>
      <c r="G317" s="10" t="str">
        <f t="shared" si="4"/>
        <v>Q7</v>
      </c>
    </row>
    <row r="318" spans="2:7" x14ac:dyDescent="0.3">
      <c r="B318" s="78">
        <v>311</v>
      </c>
      <c r="C318" s="80" t="s">
        <v>276</v>
      </c>
      <c r="D318" s="80" t="s">
        <v>275</v>
      </c>
      <c r="E318" s="79">
        <v>44378</v>
      </c>
      <c r="F318" s="78">
        <v>176652</v>
      </c>
      <c r="G318" s="10" t="str">
        <f t="shared" si="4"/>
        <v>Q7</v>
      </c>
    </row>
    <row r="319" spans="2:7" x14ac:dyDescent="0.3">
      <c r="B319" s="78">
        <v>312</v>
      </c>
      <c r="C319" s="80" t="s">
        <v>274</v>
      </c>
      <c r="D319" s="80" t="s">
        <v>273</v>
      </c>
      <c r="E319" s="79">
        <v>44317</v>
      </c>
      <c r="F319" s="78">
        <v>125616</v>
      </c>
      <c r="G319" s="10" t="str">
        <f t="shared" si="4"/>
        <v>Q5</v>
      </c>
    </row>
    <row r="320" spans="2:7" x14ac:dyDescent="0.3">
      <c r="B320" s="78">
        <v>313</v>
      </c>
      <c r="C320" s="80" t="s">
        <v>272</v>
      </c>
      <c r="D320" s="80" t="s">
        <v>271</v>
      </c>
      <c r="E320" s="79">
        <v>44409</v>
      </c>
      <c r="F320" s="78">
        <v>7269</v>
      </c>
      <c r="G320" s="10" t="str">
        <f t="shared" si="4"/>
        <v>Q8</v>
      </c>
    </row>
  </sheetData>
  <autoFilter ref="B7:G320" xr:uid="{00000000-0001-0000-0000-000000000000}"/>
  <mergeCells count="3">
    <mergeCell ref="B2:H3"/>
    <mergeCell ref="B4:H4"/>
    <mergeCell ref="B5:H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2D72-A848-48E2-9FF3-58059296EA78}">
  <dimension ref="B1:J70"/>
  <sheetViews>
    <sheetView workbookViewId="0">
      <selection activeCell="J5" sqref="J5"/>
    </sheetView>
  </sheetViews>
  <sheetFormatPr defaultRowHeight="14.4" x14ac:dyDescent="0.3"/>
  <cols>
    <col min="2" max="2" width="4" bestFit="1" customWidth="1"/>
    <col min="3" max="3" width="14.88671875" bestFit="1" customWidth="1"/>
    <col min="4" max="4" width="7.44140625" bestFit="1" customWidth="1"/>
    <col min="5" max="5" width="10.33203125" bestFit="1" customWidth="1"/>
    <col min="6" max="6" width="7" bestFit="1" customWidth="1"/>
    <col min="10" max="10" width="15.109375" bestFit="1" customWidth="1"/>
  </cols>
  <sheetData>
    <row r="1" spans="2:10" ht="18" x14ac:dyDescent="0.35">
      <c r="B1" s="82" t="s">
        <v>288</v>
      </c>
    </row>
    <row r="3" spans="2:10" x14ac:dyDescent="0.3">
      <c r="B3" s="78" t="s">
        <v>286</v>
      </c>
      <c r="C3" s="80" t="s">
        <v>285</v>
      </c>
      <c r="D3" s="80" t="s">
        <v>284</v>
      </c>
      <c r="E3" s="80" t="s">
        <v>283</v>
      </c>
      <c r="F3" s="80" t="s">
        <v>282</v>
      </c>
    </row>
    <row r="4" spans="2:10" ht="18" x14ac:dyDescent="0.35">
      <c r="B4" s="78">
        <v>2</v>
      </c>
      <c r="C4" s="80" t="s">
        <v>280</v>
      </c>
      <c r="D4" s="80" t="s">
        <v>275</v>
      </c>
      <c r="E4" s="79">
        <v>44470</v>
      </c>
      <c r="F4" s="80">
        <v>165656</v>
      </c>
      <c r="J4" s="68" t="s">
        <v>290</v>
      </c>
    </row>
    <row r="5" spans="2:10" x14ac:dyDescent="0.3">
      <c r="B5" s="78">
        <v>3</v>
      </c>
      <c r="C5" s="80" t="s">
        <v>280</v>
      </c>
      <c r="D5" s="80" t="s">
        <v>275</v>
      </c>
      <c r="E5" s="79">
        <v>44256</v>
      </c>
      <c r="F5" s="80">
        <v>25467</v>
      </c>
    </row>
    <row r="6" spans="2:10" x14ac:dyDescent="0.3">
      <c r="B6" s="78">
        <v>5</v>
      </c>
      <c r="C6" s="80" t="s">
        <v>280</v>
      </c>
      <c r="D6" s="80" t="s">
        <v>275</v>
      </c>
      <c r="E6" s="79">
        <v>44440</v>
      </c>
      <c r="F6" s="80">
        <v>135801</v>
      </c>
    </row>
    <row r="7" spans="2:10" x14ac:dyDescent="0.3">
      <c r="B7" s="78">
        <v>13</v>
      </c>
      <c r="C7" s="80" t="s">
        <v>280</v>
      </c>
      <c r="D7" s="80" t="s">
        <v>275</v>
      </c>
      <c r="E7" s="79">
        <v>44531</v>
      </c>
      <c r="F7" s="80">
        <v>201069</v>
      </c>
    </row>
    <row r="8" spans="2:10" x14ac:dyDescent="0.3">
      <c r="B8" s="78">
        <v>25</v>
      </c>
      <c r="C8" s="80" t="s">
        <v>277</v>
      </c>
      <c r="D8" s="80" t="s">
        <v>275</v>
      </c>
      <c r="E8" s="79">
        <v>44440</v>
      </c>
      <c r="F8" s="80">
        <v>60921</v>
      </c>
    </row>
    <row r="9" spans="2:10" x14ac:dyDescent="0.3">
      <c r="B9" s="78">
        <v>26</v>
      </c>
      <c r="C9" s="80" t="s">
        <v>272</v>
      </c>
      <c r="D9" s="80" t="s">
        <v>275</v>
      </c>
      <c r="E9" s="79">
        <v>44197</v>
      </c>
      <c r="F9" s="80">
        <v>180969</v>
      </c>
    </row>
    <row r="10" spans="2:10" x14ac:dyDescent="0.3">
      <c r="B10" s="78">
        <v>31</v>
      </c>
      <c r="C10" s="80" t="s">
        <v>277</v>
      </c>
      <c r="D10" s="80" t="s">
        <v>275</v>
      </c>
      <c r="E10" s="79">
        <v>44409</v>
      </c>
      <c r="F10" s="80">
        <v>87532</v>
      </c>
    </row>
    <row r="11" spans="2:10" x14ac:dyDescent="0.3">
      <c r="B11" s="78">
        <v>32</v>
      </c>
      <c r="C11" s="80" t="s">
        <v>274</v>
      </c>
      <c r="D11" s="80" t="s">
        <v>275</v>
      </c>
      <c r="E11" s="79">
        <v>44531</v>
      </c>
      <c r="F11" s="80">
        <v>82089</v>
      </c>
    </row>
    <row r="12" spans="2:10" x14ac:dyDescent="0.3">
      <c r="B12" s="78">
        <v>34</v>
      </c>
      <c r="C12" s="80" t="s">
        <v>276</v>
      </c>
      <c r="D12" s="80" t="s">
        <v>275</v>
      </c>
      <c r="E12" s="79">
        <v>44378</v>
      </c>
      <c r="F12" s="80">
        <v>57399</v>
      </c>
    </row>
    <row r="13" spans="2:10" x14ac:dyDescent="0.3">
      <c r="B13" s="78">
        <v>47</v>
      </c>
      <c r="C13" s="80" t="s">
        <v>280</v>
      </c>
      <c r="D13" s="80" t="s">
        <v>275</v>
      </c>
      <c r="E13" s="79">
        <v>44197</v>
      </c>
      <c r="F13" s="78">
        <v>48442</v>
      </c>
    </row>
    <row r="14" spans="2:10" x14ac:dyDescent="0.3">
      <c r="B14" s="78">
        <v>49</v>
      </c>
      <c r="C14" s="80" t="s">
        <v>280</v>
      </c>
      <c r="D14" s="80" t="s">
        <v>275</v>
      </c>
      <c r="E14" s="79">
        <v>44501</v>
      </c>
      <c r="F14" s="78">
        <v>146394</v>
      </c>
    </row>
    <row r="15" spans="2:10" x14ac:dyDescent="0.3">
      <c r="B15" s="78">
        <v>56</v>
      </c>
      <c r="C15" s="80" t="s">
        <v>280</v>
      </c>
      <c r="D15" s="80" t="s">
        <v>275</v>
      </c>
      <c r="E15" s="79">
        <v>44348</v>
      </c>
      <c r="F15" s="78">
        <v>137843</v>
      </c>
    </row>
    <row r="16" spans="2:10" x14ac:dyDescent="0.3">
      <c r="B16" s="78">
        <v>57</v>
      </c>
      <c r="C16" s="80" t="s">
        <v>280</v>
      </c>
      <c r="D16" s="80" t="s">
        <v>275</v>
      </c>
      <c r="E16" s="79">
        <v>44378</v>
      </c>
      <c r="F16" s="78">
        <v>96209</v>
      </c>
    </row>
    <row r="17" spans="2:6" x14ac:dyDescent="0.3">
      <c r="B17" s="78">
        <v>63</v>
      </c>
      <c r="C17" s="80" t="s">
        <v>280</v>
      </c>
      <c r="D17" s="80" t="s">
        <v>275</v>
      </c>
      <c r="E17" s="79">
        <v>44348</v>
      </c>
      <c r="F17" s="78">
        <v>7110</v>
      </c>
    </row>
    <row r="18" spans="2:6" x14ac:dyDescent="0.3">
      <c r="B18" s="78">
        <v>79</v>
      </c>
      <c r="C18" s="80" t="s">
        <v>280</v>
      </c>
      <c r="D18" s="80" t="s">
        <v>275</v>
      </c>
      <c r="E18" s="79">
        <v>44348</v>
      </c>
      <c r="F18" s="78">
        <v>234786</v>
      </c>
    </row>
    <row r="19" spans="2:6" x14ac:dyDescent="0.3">
      <c r="B19" s="78">
        <v>83</v>
      </c>
      <c r="C19" s="80" t="s">
        <v>276</v>
      </c>
      <c r="D19" s="80" t="s">
        <v>275</v>
      </c>
      <c r="E19" s="79">
        <v>44501</v>
      </c>
      <c r="F19" s="78">
        <v>25301</v>
      </c>
    </row>
    <row r="20" spans="2:6" x14ac:dyDescent="0.3">
      <c r="B20" s="78">
        <v>89</v>
      </c>
      <c r="C20" s="80" t="s">
        <v>277</v>
      </c>
      <c r="D20" s="80" t="s">
        <v>275</v>
      </c>
      <c r="E20" s="79">
        <v>44501</v>
      </c>
      <c r="F20" s="78">
        <v>211082</v>
      </c>
    </row>
    <row r="21" spans="2:6" x14ac:dyDescent="0.3">
      <c r="B21" s="78">
        <v>95</v>
      </c>
      <c r="C21" s="80" t="s">
        <v>274</v>
      </c>
      <c r="D21" s="80" t="s">
        <v>275</v>
      </c>
      <c r="E21" s="79">
        <v>44470</v>
      </c>
      <c r="F21" s="78">
        <v>13328</v>
      </c>
    </row>
    <row r="22" spans="2:6" x14ac:dyDescent="0.3">
      <c r="B22" s="78">
        <v>97</v>
      </c>
      <c r="C22" s="80" t="s">
        <v>277</v>
      </c>
      <c r="D22" s="80" t="s">
        <v>275</v>
      </c>
      <c r="E22" s="79">
        <v>44317</v>
      </c>
      <c r="F22" s="78">
        <v>258583</v>
      </c>
    </row>
    <row r="23" spans="2:6" x14ac:dyDescent="0.3">
      <c r="B23" s="78">
        <v>99</v>
      </c>
      <c r="C23" s="80" t="s">
        <v>276</v>
      </c>
      <c r="D23" s="80" t="s">
        <v>275</v>
      </c>
      <c r="E23" s="79">
        <v>44440</v>
      </c>
      <c r="F23" s="78">
        <v>147727</v>
      </c>
    </row>
    <row r="24" spans="2:6" x14ac:dyDescent="0.3">
      <c r="B24" s="78">
        <v>100</v>
      </c>
      <c r="C24" s="80" t="s">
        <v>272</v>
      </c>
      <c r="D24" s="80" t="s">
        <v>275</v>
      </c>
      <c r="E24" s="79">
        <v>44409</v>
      </c>
      <c r="F24" s="78">
        <v>109849</v>
      </c>
    </row>
    <row r="25" spans="2:6" x14ac:dyDescent="0.3">
      <c r="B25" s="78">
        <v>101</v>
      </c>
      <c r="C25" s="80" t="s">
        <v>276</v>
      </c>
      <c r="D25" s="80" t="s">
        <v>275</v>
      </c>
      <c r="E25" s="79">
        <v>44470</v>
      </c>
      <c r="F25" s="78">
        <v>231047</v>
      </c>
    </row>
    <row r="26" spans="2:6" x14ac:dyDescent="0.3">
      <c r="B26" s="78">
        <v>113</v>
      </c>
      <c r="C26" s="80" t="s">
        <v>272</v>
      </c>
      <c r="D26" s="80" t="s">
        <v>275</v>
      </c>
      <c r="E26" s="79">
        <v>44378</v>
      </c>
      <c r="F26" s="78">
        <v>26819</v>
      </c>
    </row>
    <row r="27" spans="2:6" x14ac:dyDescent="0.3">
      <c r="B27" s="78">
        <v>114</v>
      </c>
      <c r="C27" s="80" t="s">
        <v>276</v>
      </c>
      <c r="D27" s="80" t="s">
        <v>275</v>
      </c>
      <c r="E27" s="79">
        <v>44348</v>
      </c>
      <c r="F27" s="78">
        <v>139728</v>
      </c>
    </row>
    <row r="28" spans="2:6" x14ac:dyDescent="0.3">
      <c r="B28" s="78">
        <v>117</v>
      </c>
      <c r="C28" s="80" t="s">
        <v>272</v>
      </c>
      <c r="D28" s="80" t="s">
        <v>275</v>
      </c>
      <c r="E28" s="79">
        <v>44317</v>
      </c>
      <c r="F28" s="78">
        <v>57755</v>
      </c>
    </row>
    <row r="29" spans="2:6" x14ac:dyDescent="0.3">
      <c r="B29" s="78">
        <v>123</v>
      </c>
      <c r="C29" s="80" t="s">
        <v>280</v>
      </c>
      <c r="D29" s="80" t="s">
        <v>275</v>
      </c>
      <c r="E29" s="79">
        <v>44348</v>
      </c>
      <c r="F29" s="78">
        <v>115261</v>
      </c>
    </row>
    <row r="30" spans="2:6" x14ac:dyDescent="0.3">
      <c r="B30" s="78">
        <v>125</v>
      </c>
      <c r="C30" s="80" t="s">
        <v>280</v>
      </c>
      <c r="D30" s="80" t="s">
        <v>275</v>
      </c>
      <c r="E30" s="79">
        <v>44531</v>
      </c>
      <c r="F30" s="78">
        <v>9682</v>
      </c>
    </row>
    <row r="31" spans="2:6" x14ac:dyDescent="0.3">
      <c r="B31" s="78">
        <v>133</v>
      </c>
      <c r="C31" s="80" t="s">
        <v>280</v>
      </c>
      <c r="D31" s="80" t="s">
        <v>275</v>
      </c>
      <c r="E31" s="79">
        <v>44197</v>
      </c>
      <c r="F31" s="78">
        <v>142596</v>
      </c>
    </row>
    <row r="32" spans="2:6" x14ac:dyDescent="0.3">
      <c r="B32" s="78">
        <v>134</v>
      </c>
      <c r="C32" s="80" t="s">
        <v>280</v>
      </c>
      <c r="D32" s="80" t="s">
        <v>275</v>
      </c>
      <c r="E32" s="79">
        <v>44348</v>
      </c>
      <c r="F32" s="78">
        <v>165992</v>
      </c>
    </row>
    <row r="33" spans="2:6" x14ac:dyDescent="0.3">
      <c r="B33" s="78">
        <v>138</v>
      </c>
      <c r="C33" s="80" t="s">
        <v>280</v>
      </c>
      <c r="D33" s="80" t="s">
        <v>275</v>
      </c>
      <c r="E33" s="79">
        <v>44378</v>
      </c>
      <c r="F33" s="78">
        <v>44394</v>
      </c>
    </row>
    <row r="34" spans="2:6" x14ac:dyDescent="0.3">
      <c r="B34" s="78">
        <v>144</v>
      </c>
      <c r="C34" s="80" t="s">
        <v>280</v>
      </c>
      <c r="D34" s="80" t="s">
        <v>275</v>
      </c>
      <c r="E34" s="79">
        <v>44287</v>
      </c>
      <c r="F34" s="78">
        <v>35096</v>
      </c>
    </row>
    <row r="35" spans="2:6" x14ac:dyDescent="0.3">
      <c r="B35" s="78">
        <v>151</v>
      </c>
      <c r="C35" s="80" t="s">
        <v>280</v>
      </c>
      <c r="D35" s="80" t="s">
        <v>275</v>
      </c>
      <c r="E35" s="79">
        <v>44378</v>
      </c>
      <c r="F35" s="78">
        <v>173616</v>
      </c>
    </row>
    <row r="36" spans="2:6" x14ac:dyDescent="0.3">
      <c r="B36" s="78">
        <v>156</v>
      </c>
      <c r="C36" s="80" t="s">
        <v>276</v>
      </c>
      <c r="D36" s="80" t="s">
        <v>275</v>
      </c>
      <c r="E36" s="79">
        <v>44348</v>
      </c>
      <c r="F36" s="78">
        <v>95791</v>
      </c>
    </row>
    <row r="37" spans="2:6" x14ac:dyDescent="0.3">
      <c r="B37" s="78">
        <v>164</v>
      </c>
      <c r="C37" s="80" t="s">
        <v>277</v>
      </c>
      <c r="D37" s="80" t="s">
        <v>275</v>
      </c>
      <c r="E37" s="79">
        <v>44531</v>
      </c>
      <c r="F37" s="78">
        <v>112636</v>
      </c>
    </row>
    <row r="38" spans="2:6" x14ac:dyDescent="0.3">
      <c r="B38" s="78">
        <v>167</v>
      </c>
      <c r="C38" s="80" t="s">
        <v>277</v>
      </c>
      <c r="D38" s="80" t="s">
        <v>275</v>
      </c>
      <c r="E38" s="79">
        <v>44317</v>
      </c>
      <c r="F38" s="78">
        <v>223042</v>
      </c>
    </row>
    <row r="39" spans="2:6" x14ac:dyDescent="0.3">
      <c r="B39" s="78">
        <v>168</v>
      </c>
      <c r="C39" s="80" t="s">
        <v>274</v>
      </c>
      <c r="D39" s="80" t="s">
        <v>275</v>
      </c>
      <c r="E39" s="79">
        <v>44378</v>
      </c>
      <c r="F39" s="78">
        <v>185869</v>
      </c>
    </row>
    <row r="40" spans="2:6" x14ac:dyDescent="0.3">
      <c r="B40" s="78">
        <v>169</v>
      </c>
      <c r="C40" s="80" t="s">
        <v>274</v>
      </c>
      <c r="D40" s="80" t="s">
        <v>275</v>
      </c>
      <c r="E40" s="79">
        <v>44287</v>
      </c>
      <c r="F40" s="78">
        <v>73394</v>
      </c>
    </row>
    <row r="41" spans="2:6" x14ac:dyDescent="0.3">
      <c r="B41" s="78">
        <v>170</v>
      </c>
      <c r="C41" s="80" t="s">
        <v>276</v>
      </c>
      <c r="D41" s="80" t="s">
        <v>275</v>
      </c>
      <c r="E41" s="79">
        <v>44348</v>
      </c>
      <c r="F41" s="78">
        <v>254580</v>
      </c>
    </row>
    <row r="42" spans="2:6" x14ac:dyDescent="0.3">
      <c r="B42" s="78">
        <v>176</v>
      </c>
      <c r="C42" s="80" t="s">
        <v>276</v>
      </c>
      <c r="D42" s="80" t="s">
        <v>275</v>
      </c>
      <c r="E42" s="79">
        <v>44287</v>
      </c>
      <c r="F42" s="78">
        <v>259</v>
      </c>
    </row>
    <row r="43" spans="2:6" x14ac:dyDescent="0.3">
      <c r="B43" s="78">
        <v>182</v>
      </c>
      <c r="C43" s="80" t="s">
        <v>272</v>
      </c>
      <c r="D43" s="80" t="s">
        <v>275</v>
      </c>
      <c r="E43" s="79">
        <v>44317</v>
      </c>
      <c r="F43" s="78">
        <v>164464</v>
      </c>
    </row>
    <row r="44" spans="2:6" x14ac:dyDescent="0.3">
      <c r="B44" s="78">
        <v>189</v>
      </c>
      <c r="C44" s="80" t="s">
        <v>280</v>
      </c>
      <c r="D44" s="80" t="s">
        <v>275</v>
      </c>
      <c r="E44" s="79">
        <v>44228</v>
      </c>
      <c r="F44" s="78">
        <v>210276</v>
      </c>
    </row>
    <row r="45" spans="2:6" x14ac:dyDescent="0.3">
      <c r="B45" s="78">
        <v>190</v>
      </c>
      <c r="C45" s="80" t="s">
        <v>280</v>
      </c>
      <c r="D45" s="80" t="s">
        <v>275</v>
      </c>
      <c r="E45" s="79">
        <v>44228</v>
      </c>
      <c r="F45" s="78">
        <v>86142</v>
      </c>
    </row>
    <row r="46" spans="2:6" x14ac:dyDescent="0.3">
      <c r="B46" s="78">
        <v>203</v>
      </c>
      <c r="C46" s="80" t="s">
        <v>272</v>
      </c>
      <c r="D46" s="80" t="s">
        <v>275</v>
      </c>
      <c r="E46" s="79">
        <v>44531</v>
      </c>
      <c r="F46" s="78">
        <v>71529</v>
      </c>
    </row>
    <row r="47" spans="2:6" x14ac:dyDescent="0.3">
      <c r="B47" s="78">
        <v>207</v>
      </c>
      <c r="C47" s="80" t="s">
        <v>277</v>
      </c>
      <c r="D47" s="80" t="s">
        <v>275</v>
      </c>
      <c r="E47" s="79">
        <v>44440</v>
      </c>
      <c r="F47" s="78">
        <v>258051</v>
      </c>
    </row>
    <row r="48" spans="2:6" x14ac:dyDescent="0.3">
      <c r="B48" s="78">
        <v>217</v>
      </c>
      <c r="C48" s="80" t="s">
        <v>276</v>
      </c>
      <c r="D48" s="80" t="s">
        <v>275</v>
      </c>
      <c r="E48" s="79">
        <v>44348</v>
      </c>
      <c r="F48" s="78">
        <v>159478</v>
      </c>
    </row>
    <row r="49" spans="2:6" x14ac:dyDescent="0.3">
      <c r="B49" s="78">
        <v>220</v>
      </c>
      <c r="C49" s="80" t="s">
        <v>277</v>
      </c>
      <c r="D49" s="80" t="s">
        <v>275</v>
      </c>
      <c r="E49" s="79">
        <v>44287</v>
      </c>
      <c r="F49" s="78">
        <v>89649</v>
      </c>
    </row>
    <row r="50" spans="2:6" x14ac:dyDescent="0.3">
      <c r="B50" s="78">
        <v>221</v>
      </c>
      <c r="C50" s="80" t="s">
        <v>272</v>
      </c>
      <c r="D50" s="80" t="s">
        <v>275</v>
      </c>
      <c r="E50" s="79">
        <v>44287</v>
      </c>
      <c r="F50" s="78">
        <v>42319</v>
      </c>
    </row>
    <row r="51" spans="2:6" x14ac:dyDescent="0.3">
      <c r="B51" s="78">
        <v>222</v>
      </c>
      <c r="C51" s="80" t="s">
        <v>274</v>
      </c>
      <c r="D51" s="80" t="s">
        <v>275</v>
      </c>
      <c r="E51" s="79">
        <v>44317</v>
      </c>
      <c r="F51" s="78">
        <v>1519</v>
      </c>
    </row>
    <row r="52" spans="2:6" x14ac:dyDescent="0.3">
      <c r="B52" s="78">
        <v>229</v>
      </c>
      <c r="C52" s="80" t="s">
        <v>272</v>
      </c>
      <c r="D52" s="80" t="s">
        <v>275</v>
      </c>
      <c r="E52" s="79">
        <v>44531</v>
      </c>
      <c r="F52" s="78">
        <v>12709</v>
      </c>
    </row>
    <row r="53" spans="2:6" x14ac:dyDescent="0.3">
      <c r="B53" s="78">
        <v>231</v>
      </c>
      <c r="C53" s="80" t="s">
        <v>277</v>
      </c>
      <c r="D53" s="80" t="s">
        <v>275</v>
      </c>
      <c r="E53" s="79">
        <v>44501</v>
      </c>
      <c r="F53" s="78">
        <v>39271</v>
      </c>
    </row>
    <row r="54" spans="2:6" x14ac:dyDescent="0.3">
      <c r="B54" s="78">
        <v>234</v>
      </c>
      <c r="C54" s="80" t="s">
        <v>272</v>
      </c>
      <c r="D54" s="80" t="s">
        <v>275</v>
      </c>
      <c r="E54" s="79">
        <v>44470</v>
      </c>
      <c r="F54" s="78">
        <v>236531</v>
      </c>
    </row>
    <row r="55" spans="2:6" x14ac:dyDescent="0.3">
      <c r="B55" s="78">
        <v>235</v>
      </c>
      <c r="C55" s="80" t="s">
        <v>276</v>
      </c>
      <c r="D55" s="80" t="s">
        <v>275</v>
      </c>
      <c r="E55" s="79">
        <v>44470</v>
      </c>
      <c r="F55" s="78">
        <v>128249</v>
      </c>
    </row>
    <row r="56" spans="2:6" x14ac:dyDescent="0.3">
      <c r="B56" s="78">
        <v>236</v>
      </c>
      <c r="C56" s="80" t="s">
        <v>272</v>
      </c>
      <c r="D56" s="80" t="s">
        <v>275</v>
      </c>
      <c r="E56" s="79">
        <v>44531</v>
      </c>
      <c r="F56" s="78">
        <v>210352</v>
      </c>
    </row>
    <row r="57" spans="2:6" x14ac:dyDescent="0.3">
      <c r="B57" s="78">
        <v>238</v>
      </c>
      <c r="C57" s="80" t="s">
        <v>276</v>
      </c>
      <c r="D57" s="80" t="s">
        <v>275</v>
      </c>
      <c r="E57" s="79">
        <v>44256</v>
      </c>
      <c r="F57" s="78">
        <v>117440</v>
      </c>
    </row>
    <row r="58" spans="2:6" x14ac:dyDescent="0.3">
      <c r="B58" s="78">
        <v>240</v>
      </c>
      <c r="C58" s="80" t="s">
        <v>280</v>
      </c>
      <c r="D58" s="80" t="s">
        <v>275</v>
      </c>
      <c r="E58" s="79">
        <v>44197</v>
      </c>
      <c r="F58" s="78">
        <v>151301</v>
      </c>
    </row>
    <row r="59" spans="2:6" x14ac:dyDescent="0.3">
      <c r="B59" s="78">
        <v>248</v>
      </c>
      <c r="C59" s="80" t="s">
        <v>280</v>
      </c>
      <c r="D59" s="80" t="s">
        <v>275</v>
      </c>
      <c r="E59" s="79">
        <v>44378</v>
      </c>
      <c r="F59" s="78">
        <v>89802</v>
      </c>
    </row>
    <row r="60" spans="2:6" x14ac:dyDescent="0.3">
      <c r="B60" s="78">
        <v>249</v>
      </c>
      <c r="C60" s="80" t="s">
        <v>280</v>
      </c>
      <c r="D60" s="80" t="s">
        <v>275</v>
      </c>
      <c r="E60" s="79">
        <v>44409</v>
      </c>
      <c r="F60" s="78">
        <v>23250</v>
      </c>
    </row>
    <row r="61" spans="2:6" x14ac:dyDescent="0.3">
      <c r="B61" s="78">
        <v>257</v>
      </c>
      <c r="C61" s="80" t="s">
        <v>280</v>
      </c>
      <c r="D61" s="80" t="s">
        <v>275</v>
      </c>
      <c r="E61" s="79">
        <v>44409</v>
      </c>
      <c r="F61" s="78">
        <v>7382</v>
      </c>
    </row>
    <row r="62" spans="2:6" x14ac:dyDescent="0.3">
      <c r="B62" s="78">
        <v>261</v>
      </c>
      <c r="C62" s="80" t="s">
        <v>280</v>
      </c>
      <c r="D62" s="80" t="s">
        <v>275</v>
      </c>
      <c r="E62" s="79">
        <v>44348</v>
      </c>
      <c r="F62" s="78">
        <v>7190</v>
      </c>
    </row>
    <row r="63" spans="2:6" x14ac:dyDescent="0.3">
      <c r="B63" s="78">
        <v>266</v>
      </c>
      <c r="C63" s="80" t="s">
        <v>280</v>
      </c>
      <c r="D63" s="80" t="s">
        <v>275</v>
      </c>
      <c r="E63" s="79">
        <v>44228</v>
      </c>
      <c r="F63" s="78">
        <v>134107</v>
      </c>
    </row>
    <row r="64" spans="2:6" x14ac:dyDescent="0.3">
      <c r="B64" s="78">
        <v>269</v>
      </c>
      <c r="C64" s="80" t="s">
        <v>280</v>
      </c>
      <c r="D64" s="80" t="s">
        <v>275</v>
      </c>
      <c r="E64" s="79">
        <v>44197</v>
      </c>
      <c r="F64" s="78">
        <v>28289</v>
      </c>
    </row>
    <row r="65" spans="2:6" x14ac:dyDescent="0.3">
      <c r="B65" s="78">
        <v>274</v>
      </c>
      <c r="C65" s="80" t="s">
        <v>276</v>
      </c>
      <c r="D65" s="80" t="s">
        <v>275</v>
      </c>
      <c r="E65" s="79">
        <v>44531</v>
      </c>
      <c r="F65" s="78">
        <v>100956</v>
      </c>
    </row>
    <row r="66" spans="2:6" x14ac:dyDescent="0.3">
      <c r="B66" s="78">
        <v>284</v>
      </c>
      <c r="C66" s="80" t="s">
        <v>277</v>
      </c>
      <c r="D66" s="80" t="s">
        <v>275</v>
      </c>
      <c r="E66" s="79">
        <v>44501</v>
      </c>
      <c r="F66" s="78">
        <v>195638</v>
      </c>
    </row>
    <row r="67" spans="2:6" x14ac:dyDescent="0.3">
      <c r="B67" s="78">
        <v>292</v>
      </c>
      <c r="C67" s="80" t="s">
        <v>276</v>
      </c>
      <c r="D67" s="80" t="s">
        <v>275</v>
      </c>
      <c r="E67" s="79">
        <v>44228</v>
      </c>
      <c r="F67" s="78">
        <v>11682</v>
      </c>
    </row>
    <row r="68" spans="2:6" x14ac:dyDescent="0.3">
      <c r="B68" s="78">
        <v>306</v>
      </c>
      <c r="C68" s="80" t="s">
        <v>276</v>
      </c>
      <c r="D68" s="80" t="s">
        <v>275</v>
      </c>
      <c r="E68" s="79">
        <v>44470</v>
      </c>
      <c r="F68" s="78">
        <v>86076</v>
      </c>
    </row>
    <row r="69" spans="2:6" x14ac:dyDescent="0.3">
      <c r="B69" s="78">
        <v>309</v>
      </c>
      <c r="C69" s="80" t="s">
        <v>276</v>
      </c>
      <c r="D69" s="80" t="s">
        <v>275</v>
      </c>
      <c r="E69" s="79">
        <v>44287</v>
      </c>
      <c r="F69" s="78">
        <v>51383</v>
      </c>
    </row>
    <row r="70" spans="2:6" x14ac:dyDescent="0.3">
      <c r="B70" s="78">
        <v>311</v>
      </c>
      <c r="C70" s="80" t="s">
        <v>276</v>
      </c>
      <c r="D70" s="80" t="s">
        <v>275</v>
      </c>
      <c r="E70" s="79">
        <v>44378</v>
      </c>
      <c r="F70" s="78">
        <v>176652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D5B35-4BE3-4ECD-B0A2-CE063FBAAD89}">
  <dimension ref="B2:K24"/>
  <sheetViews>
    <sheetView workbookViewId="0">
      <selection activeCell="K4" sqref="K4"/>
    </sheetView>
  </sheetViews>
  <sheetFormatPr defaultRowHeight="14.4" x14ac:dyDescent="0.3"/>
  <cols>
    <col min="2" max="2" width="4" bestFit="1" customWidth="1"/>
    <col min="3" max="3" width="14.88671875" bestFit="1" customWidth="1"/>
    <col min="4" max="4" width="21.5546875" bestFit="1" customWidth="1"/>
    <col min="5" max="5" width="10.33203125" bestFit="1" customWidth="1"/>
    <col min="6" max="6" width="7" bestFit="1" customWidth="1"/>
    <col min="7" max="7" width="8.77734375" bestFit="1" customWidth="1"/>
    <col min="11" max="11" width="15.109375" bestFit="1" customWidth="1"/>
  </cols>
  <sheetData>
    <row r="2" spans="2:11" ht="18" x14ac:dyDescent="0.35">
      <c r="B2" s="82" t="s">
        <v>287</v>
      </c>
    </row>
    <row r="3" spans="2:11" ht="18" x14ac:dyDescent="0.35">
      <c r="K3" s="68" t="s">
        <v>290</v>
      </c>
    </row>
    <row r="5" spans="2:11" x14ac:dyDescent="0.3">
      <c r="B5" s="78" t="s">
        <v>286</v>
      </c>
      <c r="C5" s="80" t="s">
        <v>285</v>
      </c>
      <c r="D5" s="80" t="s">
        <v>284</v>
      </c>
      <c r="E5" s="80" t="s">
        <v>283</v>
      </c>
      <c r="F5" s="80" t="s">
        <v>282</v>
      </c>
      <c r="G5" s="80" t="s">
        <v>292</v>
      </c>
    </row>
    <row r="6" spans="2:11" x14ac:dyDescent="0.3">
      <c r="B6" s="78">
        <v>3</v>
      </c>
      <c r="C6" s="80" t="s">
        <v>280</v>
      </c>
      <c r="D6" s="80" t="s">
        <v>275</v>
      </c>
      <c r="E6" s="79">
        <v>44256</v>
      </c>
      <c r="F6" s="80">
        <v>25467</v>
      </c>
      <c r="G6" s="10" t="s">
        <v>291</v>
      </c>
    </row>
    <row r="7" spans="2:11" x14ac:dyDescent="0.3">
      <c r="B7" s="78">
        <v>4</v>
      </c>
      <c r="C7" s="80" t="s">
        <v>280</v>
      </c>
      <c r="D7" s="80" t="s">
        <v>271</v>
      </c>
      <c r="E7" s="79">
        <v>44256</v>
      </c>
      <c r="F7" s="80">
        <v>16452</v>
      </c>
      <c r="G7" s="10" t="s">
        <v>291</v>
      </c>
    </row>
    <row r="8" spans="2:11" x14ac:dyDescent="0.3">
      <c r="B8" s="78">
        <v>45</v>
      </c>
      <c r="C8" s="80" t="s">
        <v>277</v>
      </c>
      <c r="D8" s="80" t="s">
        <v>271</v>
      </c>
      <c r="E8" s="79">
        <v>44256</v>
      </c>
      <c r="F8" s="80">
        <v>87460</v>
      </c>
      <c r="G8" s="10" t="s">
        <v>291</v>
      </c>
    </row>
    <row r="9" spans="2:11" x14ac:dyDescent="0.3">
      <c r="B9" s="78">
        <v>62</v>
      </c>
      <c r="C9" s="80" t="s">
        <v>280</v>
      </c>
      <c r="D9" s="80" t="s">
        <v>278</v>
      </c>
      <c r="E9" s="79">
        <v>44256</v>
      </c>
      <c r="F9" s="78">
        <v>150851</v>
      </c>
      <c r="G9" s="10" t="s">
        <v>291</v>
      </c>
    </row>
    <row r="10" spans="2:11" x14ac:dyDescent="0.3">
      <c r="B10" s="78">
        <v>72</v>
      </c>
      <c r="C10" s="80" t="s">
        <v>280</v>
      </c>
      <c r="D10" s="80" t="s">
        <v>278</v>
      </c>
      <c r="E10" s="79">
        <v>44256</v>
      </c>
      <c r="F10" s="78">
        <v>34334</v>
      </c>
      <c r="G10" s="10" t="s">
        <v>291</v>
      </c>
    </row>
    <row r="11" spans="2:11" x14ac:dyDescent="0.3">
      <c r="B11" s="78">
        <v>91</v>
      </c>
      <c r="C11" s="80" t="s">
        <v>274</v>
      </c>
      <c r="D11" s="80" t="s">
        <v>271</v>
      </c>
      <c r="E11" s="79">
        <v>44256</v>
      </c>
      <c r="F11" s="78">
        <v>132363</v>
      </c>
      <c r="G11" s="10" t="s">
        <v>291</v>
      </c>
    </row>
    <row r="12" spans="2:11" x14ac:dyDescent="0.3">
      <c r="B12" s="78">
        <v>94</v>
      </c>
      <c r="C12" s="80" t="s">
        <v>272</v>
      </c>
      <c r="D12" s="80" t="s">
        <v>271</v>
      </c>
      <c r="E12" s="79">
        <v>44256</v>
      </c>
      <c r="F12" s="78">
        <v>126174</v>
      </c>
      <c r="G12" s="10" t="s">
        <v>291</v>
      </c>
    </row>
    <row r="13" spans="2:11" x14ac:dyDescent="0.3">
      <c r="B13" s="78">
        <v>96</v>
      </c>
      <c r="C13" s="80" t="s">
        <v>274</v>
      </c>
      <c r="D13" s="80" t="s">
        <v>279</v>
      </c>
      <c r="E13" s="79">
        <v>44256</v>
      </c>
      <c r="F13" s="78">
        <v>48808</v>
      </c>
      <c r="G13" s="10" t="s">
        <v>291</v>
      </c>
    </row>
    <row r="14" spans="2:11" x14ac:dyDescent="0.3">
      <c r="B14" s="78">
        <v>163</v>
      </c>
      <c r="C14" s="80" t="s">
        <v>277</v>
      </c>
      <c r="D14" s="80" t="s">
        <v>273</v>
      </c>
      <c r="E14" s="79">
        <v>44256</v>
      </c>
      <c r="F14" s="78">
        <v>30219</v>
      </c>
      <c r="G14" s="10" t="s">
        <v>291</v>
      </c>
    </row>
    <row r="15" spans="2:11" x14ac:dyDescent="0.3">
      <c r="B15" s="78">
        <v>178</v>
      </c>
      <c r="C15" s="80" t="s">
        <v>276</v>
      </c>
      <c r="D15" s="80" t="s">
        <v>271</v>
      </c>
      <c r="E15" s="79">
        <v>44256</v>
      </c>
      <c r="F15" s="78">
        <v>29435</v>
      </c>
      <c r="G15" s="10" t="s">
        <v>291</v>
      </c>
    </row>
    <row r="16" spans="2:11" x14ac:dyDescent="0.3">
      <c r="B16" s="78">
        <v>209</v>
      </c>
      <c r="C16" s="80" t="s">
        <v>277</v>
      </c>
      <c r="D16" s="80" t="s">
        <v>271</v>
      </c>
      <c r="E16" s="79">
        <v>44256</v>
      </c>
      <c r="F16" s="78">
        <v>114470</v>
      </c>
      <c r="G16" s="10" t="s">
        <v>291</v>
      </c>
    </row>
    <row r="17" spans="2:7" x14ac:dyDescent="0.3">
      <c r="B17" s="78">
        <v>230</v>
      </c>
      <c r="C17" s="80" t="s">
        <v>274</v>
      </c>
      <c r="D17" s="80" t="s">
        <v>271</v>
      </c>
      <c r="E17" s="79">
        <v>44256</v>
      </c>
      <c r="F17" s="78">
        <v>6845</v>
      </c>
      <c r="G17" s="10" t="s">
        <v>291</v>
      </c>
    </row>
    <row r="18" spans="2:7" x14ac:dyDescent="0.3">
      <c r="B18" s="78">
        <v>237</v>
      </c>
      <c r="C18" s="80" t="s">
        <v>276</v>
      </c>
      <c r="D18" s="80" t="s">
        <v>271</v>
      </c>
      <c r="E18" s="79">
        <v>44256</v>
      </c>
      <c r="F18" s="78">
        <v>133951</v>
      </c>
      <c r="G18" s="10" t="s">
        <v>291</v>
      </c>
    </row>
    <row r="19" spans="2:7" x14ac:dyDescent="0.3">
      <c r="B19" s="78">
        <v>238</v>
      </c>
      <c r="C19" s="80" t="s">
        <v>276</v>
      </c>
      <c r="D19" s="80" t="s">
        <v>275</v>
      </c>
      <c r="E19" s="79">
        <v>44256</v>
      </c>
      <c r="F19" s="78">
        <v>117440</v>
      </c>
      <c r="G19" s="10" t="s">
        <v>291</v>
      </c>
    </row>
    <row r="20" spans="2:7" x14ac:dyDescent="0.3">
      <c r="B20" s="78">
        <v>262</v>
      </c>
      <c r="C20" s="80" t="s">
        <v>280</v>
      </c>
      <c r="D20" s="80" t="s">
        <v>279</v>
      </c>
      <c r="E20" s="79">
        <v>44256</v>
      </c>
      <c r="F20" s="78">
        <v>51626</v>
      </c>
      <c r="G20" s="10" t="s">
        <v>291</v>
      </c>
    </row>
    <row r="21" spans="2:7" x14ac:dyDescent="0.3">
      <c r="B21" s="78">
        <v>271</v>
      </c>
      <c r="C21" s="80" t="s">
        <v>276</v>
      </c>
      <c r="D21" s="80" t="s">
        <v>278</v>
      </c>
      <c r="E21" s="79">
        <v>44256</v>
      </c>
      <c r="F21" s="78">
        <v>201340</v>
      </c>
      <c r="G21" s="10" t="s">
        <v>291</v>
      </c>
    </row>
    <row r="22" spans="2:7" x14ac:dyDescent="0.3">
      <c r="B22" s="78">
        <v>283</v>
      </c>
      <c r="C22" s="80" t="s">
        <v>274</v>
      </c>
      <c r="D22" s="80" t="s">
        <v>271</v>
      </c>
      <c r="E22" s="79">
        <v>44256</v>
      </c>
      <c r="F22" s="78">
        <v>39973</v>
      </c>
      <c r="G22" s="10" t="s">
        <v>291</v>
      </c>
    </row>
    <row r="23" spans="2:7" x14ac:dyDescent="0.3">
      <c r="B23" s="78">
        <v>294</v>
      </c>
      <c r="C23" s="80" t="s">
        <v>277</v>
      </c>
      <c r="D23" s="80" t="s">
        <v>278</v>
      </c>
      <c r="E23" s="79">
        <v>44256</v>
      </c>
      <c r="F23" s="78">
        <v>155535</v>
      </c>
      <c r="G23" s="10" t="s">
        <v>291</v>
      </c>
    </row>
    <row r="24" spans="2:7" x14ac:dyDescent="0.3">
      <c r="B24" s="78">
        <v>307</v>
      </c>
      <c r="C24" s="80" t="s">
        <v>272</v>
      </c>
      <c r="D24" s="80" t="s">
        <v>273</v>
      </c>
      <c r="E24" s="79">
        <v>44256</v>
      </c>
      <c r="F24" s="78">
        <v>75969</v>
      </c>
      <c r="G24" s="10" t="s">
        <v>291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5746E-7F8F-4F0C-821D-921D6E794D4C}">
  <dimension ref="A1:AA49"/>
  <sheetViews>
    <sheetView workbookViewId="0">
      <selection activeCell="B6" sqref="B6"/>
    </sheetView>
  </sheetViews>
  <sheetFormatPr defaultColWidth="14.44140625" defaultRowHeight="14.4" x14ac:dyDescent="0.3"/>
  <cols>
    <col min="1" max="1" width="7.44140625" bestFit="1" customWidth="1"/>
    <col min="2" max="3" width="13.21875" bestFit="1" customWidth="1"/>
    <col min="4" max="4" width="9.88671875" bestFit="1" customWidth="1"/>
    <col min="5" max="5" width="7.109375" bestFit="1" customWidth="1"/>
    <col min="6" max="6" width="9" bestFit="1" customWidth="1"/>
    <col min="7" max="7" width="21.33203125" bestFit="1" customWidth="1"/>
    <col min="8" max="8" width="10.77734375" bestFit="1" customWidth="1"/>
    <col min="9" max="9" width="8.77734375" bestFit="1" customWidth="1"/>
    <col min="10" max="10" width="14" bestFit="1" customWidth="1"/>
    <col min="11" max="11" width="14.77734375" bestFit="1" customWidth="1"/>
    <col min="12" max="12" width="9.5546875" bestFit="1" customWidth="1"/>
    <col min="13" max="13" width="15.77734375" bestFit="1" customWidth="1"/>
    <col min="14" max="14" width="22.44140625" bestFit="1" customWidth="1"/>
    <col min="15" max="15" width="13.77734375" bestFit="1" customWidth="1"/>
    <col min="16" max="16" width="10.6640625" customWidth="1"/>
    <col min="17" max="27" width="8.6640625" customWidth="1"/>
  </cols>
  <sheetData>
    <row r="1" spans="1:27" ht="15.6" x14ac:dyDescent="0.3">
      <c r="C1" s="228" t="s">
        <v>306</v>
      </c>
      <c r="D1" s="228"/>
      <c r="E1" s="228"/>
      <c r="F1" s="228"/>
      <c r="G1" s="228"/>
      <c r="H1" s="228"/>
      <c r="I1" s="228"/>
      <c r="J1" s="228"/>
      <c r="K1" s="228"/>
      <c r="L1" s="228"/>
      <c r="M1" s="228"/>
    </row>
    <row r="2" spans="1:27" x14ac:dyDescent="0.3">
      <c r="B2" s="89">
        <v>1</v>
      </c>
      <c r="C2" s="227" t="s">
        <v>305</v>
      </c>
      <c r="D2" s="227"/>
      <c r="E2" s="227"/>
      <c r="F2" s="227"/>
      <c r="G2" s="227"/>
      <c r="H2" s="227"/>
      <c r="I2" s="227"/>
      <c r="J2" s="227"/>
      <c r="K2" s="227"/>
      <c r="L2" s="227"/>
      <c r="M2" s="227"/>
    </row>
    <row r="3" spans="1:27" x14ac:dyDescent="0.3">
      <c r="B3" s="89">
        <v>2</v>
      </c>
      <c r="C3" s="227" t="s">
        <v>304</v>
      </c>
      <c r="D3" s="227"/>
      <c r="E3" s="227"/>
      <c r="F3" s="227"/>
      <c r="G3" s="227"/>
      <c r="H3" s="227"/>
      <c r="I3" s="227"/>
      <c r="J3" s="227"/>
      <c r="K3" s="227"/>
      <c r="L3" s="227"/>
      <c r="M3" s="227"/>
    </row>
    <row r="4" spans="1:27" x14ac:dyDescent="0.3">
      <c r="B4" s="89">
        <v>3</v>
      </c>
      <c r="C4" s="227" t="s">
        <v>303</v>
      </c>
      <c r="D4" s="227"/>
      <c r="E4" s="227"/>
      <c r="F4" s="227"/>
      <c r="G4" s="227"/>
      <c r="H4" s="227"/>
      <c r="I4" s="227"/>
      <c r="J4" s="227"/>
      <c r="K4" s="227"/>
      <c r="L4" s="227"/>
      <c r="M4" s="227"/>
    </row>
    <row r="5" spans="1:27" x14ac:dyDescent="0.3">
      <c r="B5" s="89">
        <v>4</v>
      </c>
      <c r="C5" s="227" t="s">
        <v>302</v>
      </c>
      <c r="D5" s="227"/>
      <c r="E5" s="227"/>
      <c r="F5" s="227"/>
      <c r="G5" s="227"/>
      <c r="H5" s="227"/>
      <c r="I5" s="227"/>
      <c r="J5" s="227"/>
      <c r="K5" s="227"/>
      <c r="L5" s="227"/>
      <c r="M5" s="227"/>
    </row>
    <row r="6" spans="1:27" x14ac:dyDescent="0.3">
      <c r="B6" s="89">
        <v>5</v>
      </c>
      <c r="C6" s="227" t="s">
        <v>301</v>
      </c>
      <c r="D6" s="227"/>
      <c r="E6" s="227"/>
      <c r="F6" s="227"/>
      <c r="G6" s="227"/>
      <c r="H6" s="227"/>
      <c r="I6" s="227"/>
      <c r="J6" s="227"/>
      <c r="K6" s="227"/>
      <c r="L6" s="227"/>
      <c r="M6" s="227"/>
    </row>
    <row r="7" spans="1:27" x14ac:dyDescent="0.3">
      <c r="B7" s="89">
        <v>6</v>
      </c>
      <c r="C7" s="227" t="s">
        <v>300</v>
      </c>
      <c r="D7" s="227"/>
      <c r="E7" s="227"/>
      <c r="F7" s="227"/>
      <c r="G7" s="227"/>
      <c r="H7" s="227"/>
      <c r="I7" s="227"/>
      <c r="J7" s="227"/>
      <c r="K7" s="227"/>
      <c r="L7" s="227"/>
      <c r="M7" s="227"/>
    </row>
    <row r="8" spans="1:27" x14ac:dyDescent="0.3">
      <c r="B8" s="89"/>
      <c r="C8" s="89"/>
    </row>
    <row r="10" spans="1:27" x14ac:dyDescent="0.3">
      <c r="A10" s="1" t="s">
        <v>6</v>
      </c>
      <c r="B10" s="1" t="s">
        <v>7</v>
      </c>
      <c r="C10" s="1" t="s">
        <v>8</v>
      </c>
      <c r="D10" s="1" t="s">
        <v>299</v>
      </c>
      <c r="E10" s="1" t="s">
        <v>10</v>
      </c>
      <c r="F10" s="1" t="s">
        <v>11</v>
      </c>
      <c r="G10" s="1" t="s">
        <v>12</v>
      </c>
      <c r="H10" s="1" t="s">
        <v>14</v>
      </c>
      <c r="I10" s="1" t="s">
        <v>13</v>
      </c>
      <c r="J10" s="88" t="s">
        <v>298</v>
      </c>
      <c r="K10" s="88" t="s">
        <v>297</v>
      </c>
      <c r="L10" s="88" t="s">
        <v>296</v>
      </c>
      <c r="M10" s="88" t="s">
        <v>295</v>
      </c>
      <c r="N10" s="88" t="s">
        <v>294</v>
      </c>
      <c r="O10" s="88" t="s">
        <v>293</v>
      </c>
      <c r="R10" s="36"/>
      <c r="S10" s="36"/>
      <c r="T10" s="36"/>
      <c r="U10" s="36"/>
      <c r="V10" s="36"/>
      <c r="W10" s="36"/>
      <c r="X10" s="36"/>
      <c r="Y10" s="36"/>
      <c r="Z10" s="36"/>
      <c r="AA10" s="36"/>
    </row>
    <row r="11" spans="1:27" x14ac:dyDescent="0.3">
      <c r="A11" s="4">
        <v>150773</v>
      </c>
      <c r="B11" s="5" t="s">
        <v>96</v>
      </c>
      <c r="C11" s="5" t="s">
        <v>97</v>
      </c>
      <c r="D11" s="6">
        <v>26860</v>
      </c>
      <c r="E11" s="7" t="s">
        <v>32</v>
      </c>
      <c r="F11" s="5" t="s">
        <v>19</v>
      </c>
      <c r="G11" s="5" t="s">
        <v>82</v>
      </c>
      <c r="H11" s="2">
        <v>85000</v>
      </c>
      <c r="I11" s="5" t="s">
        <v>21</v>
      </c>
      <c r="J11" s="87" t="str">
        <f t="shared" ref="J11:J48" si="0">IF(AND(E11="Female",H11&lt;50000),"Eligible for Gift","")</f>
        <v/>
      </c>
      <c r="K11" s="86" t="str">
        <f t="shared" ref="K11:K48" si="1">IF(AND(H11&lt;30000,G11="CCD"),"Get 9000 Bonus","")</f>
        <v/>
      </c>
      <c r="L11" s="86" t="str">
        <f t="shared" ref="L11:L48" si="2">IF(YEAR(D11)&lt;1980,"Retired",0)</f>
        <v>Retired</v>
      </c>
      <c r="M11" s="86" t="str">
        <f t="shared" ref="M11:M48" si="3">IF(AND(OR(G11="Sales",G11="Marketing"),H11&lt;45000),"Get 25000 Bonus","")</f>
        <v/>
      </c>
      <c r="N11" s="86" t="str">
        <f t="shared" ref="N11:N48" si="4">IF(OR(G11="Director",G11="CEO"),"","1500rs. Amazon Voucher")</f>
        <v>1500rs. Amazon Voucher</v>
      </c>
      <c r="O11" s="85">
        <f t="shared" ref="O11:O48" si="5">_xlfn.IFS(I11="North",5000,I11="South",4000,I11="East",4200,I11="Mid West",3800)</f>
        <v>5000</v>
      </c>
      <c r="P11" s="84"/>
    </row>
    <row r="12" spans="1:27" x14ac:dyDescent="0.3">
      <c r="A12" s="4">
        <v>150777</v>
      </c>
      <c r="B12" s="5" t="s">
        <v>36</v>
      </c>
      <c r="C12" s="5" t="s">
        <v>37</v>
      </c>
      <c r="D12" s="6">
        <v>21123</v>
      </c>
      <c r="E12" s="7" t="s">
        <v>32</v>
      </c>
      <c r="F12" s="5" t="s">
        <v>19</v>
      </c>
      <c r="G12" s="5" t="s">
        <v>38</v>
      </c>
      <c r="H12" s="2">
        <v>22000</v>
      </c>
      <c r="I12" s="5" t="s">
        <v>21</v>
      </c>
      <c r="J12" s="87" t="str">
        <f t="shared" si="0"/>
        <v/>
      </c>
      <c r="K12" s="86" t="str">
        <f t="shared" si="1"/>
        <v/>
      </c>
      <c r="L12" s="86" t="str">
        <f t="shared" si="2"/>
        <v>Retired</v>
      </c>
      <c r="M12" s="86" t="str">
        <f t="shared" si="3"/>
        <v>Get 25000 Bonus</v>
      </c>
      <c r="N12" s="86" t="str">
        <f t="shared" si="4"/>
        <v>1500rs. Amazon Voucher</v>
      </c>
      <c r="O12" s="85">
        <f t="shared" si="5"/>
        <v>5000</v>
      </c>
      <c r="P12" s="84"/>
    </row>
    <row r="13" spans="1:27" x14ac:dyDescent="0.3">
      <c r="A13" s="4">
        <v>150784</v>
      </c>
      <c r="B13" s="5" t="s">
        <v>23</v>
      </c>
      <c r="C13" s="5" t="s">
        <v>24</v>
      </c>
      <c r="D13" s="6">
        <v>28365</v>
      </c>
      <c r="E13" s="7" t="s">
        <v>18</v>
      </c>
      <c r="F13" s="5" t="s">
        <v>25</v>
      </c>
      <c r="G13" s="5" t="s">
        <v>26</v>
      </c>
      <c r="H13" s="2">
        <v>35000</v>
      </c>
      <c r="I13" s="5" t="s">
        <v>21</v>
      </c>
      <c r="J13" s="87" t="str">
        <f t="shared" si="0"/>
        <v>Eligible for Gift</v>
      </c>
      <c r="K13" s="86" t="str">
        <f t="shared" si="1"/>
        <v/>
      </c>
      <c r="L13" s="86" t="str">
        <f t="shared" si="2"/>
        <v>Retired</v>
      </c>
      <c r="M13" s="86" t="str">
        <f t="shared" si="3"/>
        <v/>
      </c>
      <c r="N13" s="86" t="str">
        <f t="shared" si="4"/>
        <v>1500rs. Amazon Voucher</v>
      </c>
      <c r="O13" s="85">
        <f t="shared" si="5"/>
        <v>5000</v>
      </c>
      <c r="P13" s="84"/>
    </row>
    <row r="14" spans="1:27" x14ac:dyDescent="0.3">
      <c r="A14" s="4">
        <v>150791</v>
      </c>
      <c r="B14" s="5" t="s">
        <v>28</v>
      </c>
      <c r="C14" s="5" t="s">
        <v>29</v>
      </c>
      <c r="D14" s="6">
        <v>23346</v>
      </c>
      <c r="E14" s="7" t="s">
        <v>18</v>
      </c>
      <c r="F14" s="5" t="s">
        <v>19</v>
      </c>
      <c r="G14" s="5" t="s">
        <v>26</v>
      </c>
      <c r="H14" s="2">
        <v>67000</v>
      </c>
      <c r="I14" s="5" t="s">
        <v>34</v>
      </c>
      <c r="J14" s="87" t="str">
        <f t="shared" si="0"/>
        <v/>
      </c>
      <c r="K14" s="86" t="str">
        <f t="shared" si="1"/>
        <v/>
      </c>
      <c r="L14" s="86" t="str">
        <f t="shared" si="2"/>
        <v>Retired</v>
      </c>
      <c r="M14" s="86" t="str">
        <f t="shared" si="3"/>
        <v/>
      </c>
      <c r="N14" s="86" t="str">
        <f t="shared" si="4"/>
        <v>1500rs. Amazon Voucher</v>
      </c>
      <c r="O14" s="85">
        <f t="shared" si="5"/>
        <v>4000</v>
      </c>
      <c r="P14" s="84"/>
    </row>
    <row r="15" spans="1:27" x14ac:dyDescent="0.3">
      <c r="A15" s="4">
        <v>150798</v>
      </c>
      <c r="B15" s="5" t="s">
        <v>104</v>
      </c>
      <c r="C15" s="5" t="s">
        <v>101</v>
      </c>
      <c r="D15" s="6">
        <v>28276</v>
      </c>
      <c r="E15" s="7" t="s">
        <v>18</v>
      </c>
      <c r="F15" s="5" t="s">
        <v>19</v>
      </c>
      <c r="G15" s="5" t="s">
        <v>26</v>
      </c>
      <c r="H15" s="2">
        <v>81000</v>
      </c>
      <c r="I15" s="5" t="s">
        <v>21</v>
      </c>
      <c r="J15" s="87" t="str">
        <f t="shared" si="0"/>
        <v/>
      </c>
      <c r="K15" s="86" t="str">
        <f t="shared" si="1"/>
        <v/>
      </c>
      <c r="L15" s="86" t="str">
        <f t="shared" si="2"/>
        <v>Retired</v>
      </c>
      <c r="M15" s="86" t="str">
        <f t="shared" si="3"/>
        <v/>
      </c>
      <c r="N15" s="86" t="str">
        <f t="shared" si="4"/>
        <v>1500rs. Amazon Voucher</v>
      </c>
      <c r="O15" s="85">
        <f t="shared" si="5"/>
        <v>5000</v>
      </c>
      <c r="P15" s="84"/>
    </row>
    <row r="16" spans="1:27" x14ac:dyDescent="0.3">
      <c r="A16" s="4">
        <v>150805</v>
      </c>
      <c r="B16" s="5" t="s">
        <v>28</v>
      </c>
      <c r="C16" s="5" t="s">
        <v>40</v>
      </c>
      <c r="D16" s="6">
        <v>26172</v>
      </c>
      <c r="E16" s="7" t="s">
        <v>32</v>
      </c>
      <c r="F16" s="5" t="s">
        <v>19</v>
      </c>
      <c r="G16" s="5" t="s">
        <v>41</v>
      </c>
      <c r="H16" s="2">
        <v>91000</v>
      </c>
      <c r="I16" s="5" t="s">
        <v>21</v>
      </c>
      <c r="J16" s="87" t="str">
        <f t="shared" si="0"/>
        <v/>
      </c>
      <c r="K16" s="86" t="str">
        <f t="shared" si="1"/>
        <v/>
      </c>
      <c r="L16" s="86" t="str">
        <f t="shared" si="2"/>
        <v>Retired</v>
      </c>
      <c r="M16" s="86" t="str">
        <f t="shared" si="3"/>
        <v/>
      </c>
      <c r="N16" s="86" t="str">
        <f t="shared" si="4"/>
        <v/>
      </c>
      <c r="O16" s="85">
        <f t="shared" si="5"/>
        <v>5000</v>
      </c>
      <c r="P16" s="84"/>
    </row>
    <row r="17" spans="1:16" x14ac:dyDescent="0.3">
      <c r="A17" s="4">
        <v>150814</v>
      </c>
      <c r="B17" s="5" t="s">
        <v>54</v>
      </c>
      <c r="C17" s="5" t="s">
        <v>55</v>
      </c>
      <c r="D17" s="6">
        <v>26246</v>
      </c>
      <c r="E17" s="7" t="s">
        <v>32</v>
      </c>
      <c r="F17" s="5" t="s">
        <v>19</v>
      </c>
      <c r="G17" s="5" t="s">
        <v>33</v>
      </c>
      <c r="H17" s="2">
        <v>50000</v>
      </c>
      <c r="I17" s="5" t="s">
        <v>46</v>
      </c>
      <c r="J17" s="87" t="str">
        <f t="shared" si="0"/>
        <v/>
      </c>
      <c r="K17" s="86" t="str">
        <f t="shared" si="1"/>
        <v/>
      </c>
      <c r="L17" s="86" t="str">
        <f t="shared" si="2"/>
        <v>Retired</v>
      </c>
      <c r="M17" s="86" t="str">
        <f t="shared" si="3"/>
        <v/>
      </c>
      <c r="N17" s="86" t="str">
        <f t="shared" si="4"/>
        <v>1500rs. Amazon Voucher</v>
      </c>
      <c r="O17" s="85">
        <f t="shared" si="5"/>
        <v>3800</v>
      </c>
      <c r="P17" s="84"/>
    </row>
    <row r="18" spans="1:16" x14ac:dyDescent="0.3">
      <c r="A18" s="4">
        <v>150821</v>
      </c>
      <c r="B18" s="5" t="s">
        <v>111</v>
      </c>
      <c r="C18" s="5" t="s">
        <v>112</v>
      </c>
      <c r="D18" s="6">
        <v>29966</v>
      </c>
      <c r="E18" s="7" t="s">
        <v>32</v>
      </c>
      <c r="F18" s="5" t="s">
        <v>25</v>
      </c>
      <c r="G18" s="5" t="s">
        <v>65</v>
      </c>
      <c r="H18" s="2">
        <v>26000</v>
      </c>
      <c r="I18" s="5" t="s">
        <v>46</v>
      </c>
      <c r="J18" s="87" t="str">
        <f t="shared" si="0"/>
        <v/>
      </c>
      <c r="K18" s="86" t="str">
        <f t="shared" si="1"/>
        <v>Get 9000 Bonus</v>
      </c>
      <c r="L18" s="86">
        <f t="shared" si="2"/>
        <v>0</v>
      </c>
      <c r="M18" s="86" t="str">
        <f t="shared" si="3"/>
        <v/>
      </c>
      <c r="N18" s="86" t="str">
        <f t="shared" si="4"/>
        <v>1500rs. Amazon Voucher</v>
      </c>
      <c r="O18" s="85">
        <f t="shared" si="5"/>
        <v>3800</v>
      </c>
      <c r="P18" s="84"/>
    </row>
    <row r="19" spans="1:16" x14ac:dyDescent="0.3">
      <c r="A19" s="4">
        <v>150830</v>
      </c>
      <c r="B19" s="5" t="s">
        <v>105</v>
      </c>
      <c r="C19" s="5" t="s">
        <v>106</v>
      </c>
      <c r="D19" s="6">
        <v>29037</v>
      </c>
      <c r="E19" s="7" t="s">
        <v>18</v>
      </c>
      <c r="F19" s="5" t="s">
        <v>19</v>
      </c>
      <c r="G19" s="5" t="s">
        <v>93</v>
      </c>
      <c r="H19" s="2">
        <v>52000</v>
      </c>
      <c r="I19" s="5" t="s">
        <v>52</v>
      </c>
      <c r="J19" s="87" t="str">
        <f t="shared" si="0"/>
        <v/>
      </c>
      <c r="K19" s="86" t="str">
        <f t="shared" si="1"/>
        <v/>
      </c>
      <c r="L19" s="86" t="str">
        <f t="shared" si="2"/>
        <v>Retired</v>
      </c>
      <c r="M19" s="86" t="str">
        <f t="shared" si="3"/>
        <v/>
      </c>
      <c r="N19" s="86" t="str">
        <f t="shared" si="4"/>
        <v>1500rs. Amazon Voucher</v>
      </c>
      <c r="O19" s="85">
        <f t="shared" si="5"/>
        <v>4200</v>
      </c>
      <c r="P19" s="84"/>
    </row>
    <row r="20" spans="1:16" x14ac:dyDescent="0.3">
      <c r="A20" s="4">
        <v>150834</v>
      </c>
      <c r="B20" s="5" t="s">
        <v>16</v>
      </c>
      <c r="C20" s="5" t="s">
        <v>17</v>
      </c>
      <c r="D20" s="6">
        <v>31199</v>
      </c>
      <c r="E20" s="7" t="s">
        <v>18</v>
      </c>
      <c r="F20" s="5" t="s">
        <v>19</v>
      </c>
      <c r="G20" s="5" t="s">
        <v>20</v>
      </c>
      <c r="H20" s="2">
        <v>48000</v>
      </c>
      <c r="I20" s="5" t="s">
        <v>21</v>
      </c>
      <c r="J20" s="87" t="str">
        <f t="shared" si="0"/>
        <v>Eligible for Gift</v>
      </c>
      <c r="K20" s="86" t="str">
        <f t="shared" si="1"/>
        <v/>
      </c>
      <c r="L20" s="86">
        <f t="shared" si="2"/>
        <v>0</v>
      </c>
      <c r="M20" s="86" t="str">
        <f t="shared" si="3"/>
        <v/>
      </c>
      <c r="N20" s="86" t="str">
        <f t="shared" si="4"/>
        <v>1500rs. Amazon Voucher</v>
      </c>
      <c r="O20" s="85">
        <f t="shared" si="5"/>
        <v>5000</v>
      </c>
      <c r="P20" s="84"/>
    </row>
    <row r="21" spans="1:16" x14ac:dyDescent="0.3">
      <c r="A21" s="4">
        <v>150840</v>
      </c>
      <c r="B21" s="5" t="s">
        <v>66</v>
      </c>
      <c r="C21" s="5" t="s">
        <v>98</v>
      </c>
      <c r="D21" s="6">
        <v>23136</v>
      </c>
      <c r="E21" s="7" t="s">
        <v>18</v>
      </c>
      <c r="F21" s="5" t="s">
        <v>19</v>
      </c>
      <c r="G21" s="5" t="s">
        <v>33</v>
      </c>
      <c r="H21" s="2">
        <v>20000</v>
      </c>
      <c r="I21" s="5" t="s">
        <v>34</v>
      </c>
      <c r="J21" s="87" t="str">
        <f t="shared" si="0"/>
        <v>Eligible for Gift</v>
      </c>
      <c r="K21" s="86" t="str">
        <f t="shared" si="1"/>
        <v/>
      </c>
      <c r="L21" s="86" t="str">
        <f t="shared" si="2"/>
        <v>Retired</v>
      </c>
      <c r="M21" s="86" t="str">
        <f t="shared" si="3"/>
        <v/>
      </c>
      <c r="N21" s="86" t="str">
        <f t="shared" si="4"/>
        <v>1500rs. Amazon Voucher</v>
      </c>
      <c r="O21" s="85">
        <f t="shared" si="5"/>
        <v>4000</v>
      </c>
      <c r="P21" s="84"/>
    </row>
    <row r="22" spans="1:16" x14ac:dyDescent="0.3">
      <c r="A22" s="4">
        <v>150850</v>
      </c>
      <c r="B22" s="5" t="s">
        <v>57</v>
      </c>
      <c r="C22" s="5" t="s">
        <v>99</v>
      </c>
      <c r="D22" s="6">
        <v>32027</v>
      </c>
      <c r="E22" s="7" t="s">
        <v>32</v>
      </c>
      <c r="F22" s="5" t="s">
        <v>19</v>
      </c>
      <c r="G22" s="5" t="s">
        <v>65</v>
      </c>
      <c r="H22" s="2">
        <v>47000</v>
      </c>
      <c r="I22" s="5" t="s">
        <v>52</v>
      </c>
      <c r="J22" s="87" t="str">
        <f t="shared" si="0"/>
        <v/>
      </c>
      <c r="K22" s="86" t="str">
        <f t="shared" si="1"/>
        <v/>
      </c>
      <c r="L22" s="86">
        <f t="shared" si="2"/>
        <v>0</v>
      </c>
      <c r="M22" s="86" t="str">
        <f t="shared" si="3"/>
        <v/>
      </c>
      <c r="N22" s="86" t="str">
        <f t="shared" si="4"/>
        <v>1500rs. Amazon Voucher</v>
      </c>
      <c r="O22" s="85">
        <f t="shared" si="5"/>
        <v>4200</v>
      </c>
      <c r="P22" s="84"/>
    </row>
    <row r="23" spans="1:16" x14ac:dyDescent="0.3">
      <c r="A23" s="4">
        <v>150851</v>
      </c>
      <c r="B23" s="5" t="s">
        <v>83</v>
      </c>
      <c r="C23" s="5" t="s">
        <v>84</v>
      </c>
      <c r="D23" s="6">
        <v>29368</v>
      </c>
      <c r="E23" s="7" t="s">
        <v>32</v>
      </c>
      <c r="F23" s="5" t="s">
        <v>25</v>
      </c>
      <c r="G23" s="5" t="s">
        <v>33</v>
      </c>
      <c r="H23" s="2">
        <v>75000</v>
      </c>
      <c r="I23" s="5" t="s">
        <v>52</v>
      </c>
      <c r="J23" s="87" t="str">
        <f t="shared" si="0"/>
        <v/>
      </c>
      <c r="K23" s="86" t="str">
        <f t="shared" si="1"/>
        <v/>
      </c>
      <c r="L23" s="86">
        <f t="shared" si="2"/>
        <v>0</v>
      </c>
      <c r="M23" s="86" t="str">
        <f t="shared" si="3"/>
        <v/>
      </c>
      <c r="N23" s="86" t="str">
        <f t="shared" si="4"/>
        <v>1500rs. Amazon Voucher</v>
      </c>
      <c r="O23" s="85">
        <f t="shared" si="5"/>
        <v>4200</v>
      </c>
      <c r="P23" s="84"/>
    </row>
    <row r="24" spans="1:16" x14ac:dyDescent="0.3">
      <c r="A24" s="4">
        <v>150858</v>
      </c>
      <c r="B24" s="5" t="s">
        <v>63</v>
      </c>
      <c r="C24" s="5" t="s">
        <v>64</v>
      </c>
      <c r="D24" s="6">
        <v>34846</v>
      </c>
      <c r="E24" s="7" t="s">
        <v>32</v>
      </c>
      <c r="F24" s="5" t="s">
        <v>19</v>
      </c>
      <c r="G24" s="5" t="s">
        <v>65</v>
      </c>
      <c r="H24" s="2">
        <v>34000</v>
      </c>
      <c r="I24" s="5" t="s">
        <v>52</v>
      </c>
      <c r="J24" s="87" t="str">
        <f t="shared" si="0"/>
        <v/>
      </c>
      <c r="K24" s="86" t="str">
        <f t="shared" si="1"/>
        <v/>
      </c>
      <c r="L24" s="86">
        <f t="shared" si="2"/>
        <v>0</v>
      </c>
      <c r="M24" s="86" t="str">
        <f t="shared" si="3"/>
        <v/>
      </c>
      <c r="N24" s="86" t="str">
        <f t="shared" si="4"/>
        <v>1500rs. Amazon Voucher</v>
      </c>
      <c r="O24" s="85">
        <f t="shared" si="5"/>
        <v>4200</v>
      </c>
      <c r="P24" s="84"/>
    </row>
    <row r="25" spans="1:16" x14ac:dyDescent="0.3">
      <c r="A25" s="4">
        <v>150865</v>
      </c>
      <c r="B25" s="5" t="s">
        <v>61</v>
      </c>
      <c r="C25" s="5" t="s">
        <v>60</v>
      </c>
      <c r="D25" s="6">
        <v>31279</v>
      </c>
      <c r="E25" s="7" t="s">
        <v>18</v>
      </c>
      <c r="F25" s="5" t="s">
        <v>19</v>
      </c>
      <c r="G25" s="5" t="s">
        <v>62</v>
      </c>
      <c r="H25" s="2">
        <v>90000</v>
      </c>
      <c r="I25" s="5" t="s">
        <v>34</v>
      </c>
      <c r="J25" s="87" t="str">
        <f t="shared" si="0"/>
        <v/>
      </c>
      <c r="K25" s="86" t="str">
        <f t="shared" si="1"/>
        <v/>
      </c>
      <c r="L25" s="86">
        <f t="shared" si="2"/>
        <v>0</v>
      </c>
      <c r="M25" s="86" t="str">
        <f t="shared" si="3"/>
        <v/>
      </c>
      <c r="N25" s="86" t="str">
        <f t="shared" si="4"/>
        <v/>
      </c>
      <c r="O25" s="85">
        <f t="shared" si="5"/>
        <v>4000</v>
      </c>
      <c r="P25" s="84"/>
    </row>
    <row r="26" spans="1:16" x14ac:dyDescent="0.3">
      <c r="A26" s="4">
        <v>150867</v>
      </c>
      <c r="B26" s="5" t="s">
        <v>85</v>
      </c>
      <c r="C26" s="5" t="s">
        <v>86</v>
      </c>
      <c r="D26" s="6">
        <v>29028</v>
      </c>
      <c r="E26" s="7" t="s">
        <v>18</v>
      </c>
      <c r="F26" s="5" t="s">
        <v>25</v>
      </c>
      <c r="G26" s="5" t="s">
        <v>82</v>
      </c>
      <c r="H26" s="2">
        <v>49000</v>
      </c>
      <c r="I26" s="5" t="s">
        <v>34</v>
      </c>
      <c r="J26" s="87" t="str">
        <f t="shared" si="0"/>
        <v>Eligible for Gift</v>
      </c>
      <c r="K26" s="86" t="str">
        <f t="shared" si="1"/>
        <v/>
      </c>
      <c r="L26" s="86" t="str">
        <f t="shared" si="2"/>
        <v>Retired</v>
      </c>
      <c r="M26" s="86" t="str">
        <f t="shared" si="3"/>
        <v/>
      </c>
      <c r="N26" s="86" t="str">
        <f t="shared" si="4"/>
        <v>1500rs. Amazon Voucher</v>
      </c>
      <c r="O26" s="85">
        <f t="shared" si="5"/>
        <v>4000</v>
      </c>
      <c r="P26" s="84"/>
    </row>
    <row r="27" spans="1:16" x14ac:dyDescent="0.3">
      <c r="A27" s="4">
        <v>150874</v>
      </c>
      <c r="B27" s="5" t="s">
        <v>103</v>
      </c>
      <c r="C27" s="5" t="s">
        <v>101</v>
      </c>
      <c r="D27" s="6">
        <v>37890</v>
      </c>
      <c r="E27" s="7" t="s">
        <v>18</v>
      </c>
      <c r="F27" s="5" t="s">
        <v>19</v>
      </c>
      <c r="G27" s="5" t="s">
        <v>38</v>
      </c>
      <c r="H27" s="2">
        <v>27000</v>
      </c>
      <c r="I27" s="5" t="s">
        <v>34</v>
      </c>
      <c r="J27" s="87" t="str">
        <f t="shared" si="0"/>
        <v>Eligible for Gift</v>
      </c>
      <c r="K27" s="86" t="str">
        <f t="shared" si="1"/>
        <v/>
      </c>
      <c r="L27" s="86">
        <f t="shared" si="2"/>
        <v>0</v>
      </c>
      <c r="M27" s="86" t="str">
        <f t="shared" si="3"/>
        <v>Get 25000 Bonus</v>
      </c>
      <c r="N27" s="86" t="str">
        <f t="shared" si="4"/>
        <v>1500rs. Amazon Voucher</v>
      </c>
      <c r="O27" s="85">
        <f t="shared" si="5"/>
        <v>4000</v>
      </c>
      <c r="P27" s="84"/>
    </row>
    <row r="28" spans="1:16" x14ac:dyDescent="0.3">
      <c r="A28" s="4">
        <v>150881</v>
      </c>
      <c r="B28" s="5" t="s">
        <v>50</v>
      </c>
      <c r="C28" s="5" t="s">
        <v>51</v>
      </c>
      <c r="D28" s="6">
        <v>30337</v>
      </c>
      <c r="E28" s="7" t="s">
        <v>32</v>
      </c>
      <c r="F28" s="5" t="s">
        <v>25</v>
      </c>
      <c r="G28" s="5" t="s">
        <v>26</v>
      </c>
      <c r="H28" s="2">
        <v>92000</v>
      </c>
      <c r="I28" s="5" t="s">
        <v>34</v>
      </c>
      <c r="J28" s="87" t="str">
        <f t="shared" si="0"/>
        <v/>
      </c>
      <c r="K28" s="86" t="str">
        <f t="shared" si="1"/>
        <v/>
      </c>
      <c r="L28" s="86">
        <f t="shared" si="2"/>
        <v>0</v>
      </c>
      <c r="M28" s="86" t="str">
        <f t="shared" si="3"/>
        <v/>
      </c>
      <c r="N28" s="86" t="str">
        <f t="shared" si="4"/>
        <v>1500rs. Amazon Voucher</v>
      </c>
      <c r="O28" s="85">
        <f t="shared" si="5"/>
        <v>4000</v>
      </c>
      <c r="P28" s="84"/>
    </row>
    <row r="29" spans="1:16" x14ac:dyDescent="0.3">
      <c r="A29" s="4">
        <v>150888</v>
      </c>
      <c r="B29" s="5" t="s">
        <v>59</v>
      </c>
      <c r="C29" s="5" t="s">
        <v>60</v>
      </c>
      <c r="D29" s="6">
        <v>29221</v>
      </c>
      <c r="E29" s="7" t="s">
        <v>32</v>
      </c>
      <c r="F29" s="5" t="s">
        <v>19</v>
      </c>
      <c r="G29" s="5" t="s">
        <v>45</v>
      </c>
      <c r="H29" s="2">
        <v>43000</v>
      </c>
      <c r="I29" s="5" t="s">
        <v>46</v>
      </c>
      <c r="J29" s="87" t="str">
        <f t="shared" si="0"/>
        <v/>
      </c>
      <c r="K29" s="86" t="str">
        <f t="shared" si="1"/>
        <v/>
      </c>
      <c r="L29" s="86">
        <f t="shared" si="2"/>
        <v>0</v>
      </c>
      <c r="M29" s="86" t="str">
        <f t="shared" si="3"/>
        <v/>
      </c>
      <c r="N29" s="86" t="str">
        <f t="shared" si="4"/>
        <v>1500rs. Amazon Voucher</v>
      </c>
      <c r="O29" s="85">
        <f t="shared" si="5"/>
        <v>3800</v>
      </c>
      <c r="P29" s="84"/>
    </row>
    <row r="30" spans="1:16" x14ac:dyDescent="0.3">
      <c r="A30" s="4">
        <v>150894</v>
      </c>
      <c r="B30" s="5" t="s">
        <v>69</v>
      </c>
      <c r="C30" s="5" t="s">
        <v>70</v>
      </c>
      <c r="D30" s="6">
        <v>37124</v>
      </c>
      <c r="E30" s="7" t="s">
        <v>32</v>
      </c>
      <c r="F30" s="5" t="s">
        <v>19</v>
      </c>
      <c r="G30" s="5" t="s">
        <v>33</v>
      </c>
      <c r="H30" s="2">
        <v>67000</v>
      </c>
      <c r="I30" s="5" t="s">
        <v>34</v>
      </c>
      <c r="J30" s="87" t="str">
        <f t="shared" si="0"/>
        <v/>
      </c>
      <c r="K30" s="86" t="str">
        <f t="shared" si="1"/>
        <v/>
      </c>
      <c r="L30" s="86">
        <f t="shared" si="2"/>
        <v>0</v>
      </c>
      <c r="M30" s="86" t="str">
        <f t="shared" si="3"/>
        <v/>
      </c>
      <c r="N30" s="86" t="str">
        <f t="shared" si="4"/>
        <v>1500rs. Amazon Voucher</v>
      </c>
      <c r="O30" s="85">
        <f t="shared" si="5"/>
        <v>4000</v>
      </c>
      <c r="P30" s="84"/>
    </row>
    <row r="31" spans="1:16" x14ac:dyDescent="0.3">
      <c r="A31" s="4">
        <v>150899</v>
      </c>
      <c r="B31" s="5" t="s">
        <v>87</v>
      </c>
      <c r="C31" s="5" t="s">
        <v>88</v>
      </c>
      <c r="D31" s="6">
        <v>37400</v>
      </c>
      <c r="E31" s="7" t="s">
        <v>32</v>
      </c>
      <c r="F31" s="5" t="s">
        <v>19</v>
      </c>
      <c r="G31" s="5" t="s">
        <v>65</v>
      </c>
      <c r="H31" s="2">
        <v>50000</v>
      </c>
      <c r="I31" s="5" t="s">
        <v>34</v>
      </c>
      <c r="J31" s="87" t="str">
        <f t="shared" si="0"/>
        <v/>
      </c>
      <c r="K31" s="86" t="str">
        <f t="shared" si="1"/>
        <v/>
      </c>
      <c r="L31" s="86">
        <f t="shared" si="2"/>
        <v>0</v>
      </c>
      <c r="M31" s="86" t="str">
        <f t="shared" si="3"/>
        <v/>
      </c>
      <c r="N31" s="86" t="str">
        <f t="shared" si="4"/>
        <v>1500rs. Amazon Voucher</v>
      </c>
      <c r="O31" s="85">
        <f t="shared" si="5"/>
        <v>4000</v>
      </c>
      <c r="P31" s="84"/>
    </row>
    <row r="32" spans="1:16" x14ac:dyDescent="0.3">
      <c r="A32" s="4">
        <v>150901</v>
      </c>
      <c r="B32" s="5" t="s">
        <v>91</v>
      </c>
      <c r="C32" s="5" t="s">
        <v>92</v>
      </c>
      <c r="D32" s="6">
        <v>32946</v>
      </c>
      <c r="E32" s="7" t="s">
        <v>18</v>
      </c>
      <c r="F32" s="5" t="s">
        <v>19</v>
      </c>
      <c r="G32" s="5" t="s">
        <v>93</v>
      </c>
      <c r="H32" s="2">
        <v>53000</v>
      </c>
      <c r="I32" s="5" t="s">
        <v>52</v>
      </c>
      <c r="J32" s="87" t="str">
        <f t="shared" si="0"/>
        <v/>
      </c>
      <c r="K32" s="86" t="str">
        <f t="shared" si="1"/>
        <v/>
      </c>
      <c r="L32" s="86">
        <f t="shared" si="2"/>
        <v>0</v>
      </c>
      <c r="M32" s="86" t="str">
        <f t="shared" si="3"/>
        <v/>
      </c>
      <c r="N32" s="86" t="str">
        <f t="shared" si="4"/>
        <v>1500rs. Amazon Voucher</v>
      </c>
      <c r="O32" s="85">
        <f t="shared" si="5"/>
        <v>4200</v>
      </c>
      <c r="P32" s="84"/>
    </row>
    <row r="33" spans="1:16" x14ac:dyDescent="0.3">
      <c r="A33" s="4">
        <v>150905</v>
      </c>
      <c r="B33" s="5" t="s">
        <v>73</v>
      </c>
      <c r="C33" s="5" t="s">
        <v>74</v>
      </c>
      <c r="D33" s="6">
        <v>30819</v>
      </c>
      <c r="E33" s="7" t="s">
        <v>18</v>
      </c>
      <c r="F33" s="5" t="s">
        <v>25</v>
      </c>
      <c r="G33" s="5" t="s">
        <v>20</v>
      </c>
      <c r="H33" s="2">
        <v>62000</v>
      </c>
      <c r="I33" s="5" t="s">
        <v>52</v>
      </c>
      <c r="J33" s="87" t="str">
        <f t="shared" si="0"/>
        <v/>
      </c>
      <c r="K33" s="86" t="str">
        <f t="shared" si="1"/>
        <v/>
      </c>
      <c r="L33" s="86">
        <f t="shared" si="2"/>
        <v>0</v>
      </c>
      <c r="M33" s="86" t="str">
        <f t="shared" si="3"/>
        <v/>
      </c>
      <c r="N33" s="86" t="str">
        <f t="shared" si="4"/>
        <v>1500rs. Amazon Voucher</v>
      </c>
      <c r="O33" s="85">
        <f t="shared" si="5"/>
        <v>4200</v>
      </c>
      <c r="P33" s="84"/>
    </row>
    <row r="34" spans="1:16" x14ac:dyDescent="0.3">
      <c r="A34" s="4">
        <v>150912</v>
      </c>
      <c r="B34" s="5" t="s">
        <v>77</v>
      </c>
      <c r="C34" s="5" t="s">
        <v>78</v>
      </c>
      <c r="D34" s="6">
        <v>37629</v>
      </c>
      <c r="E34" s="7" t="s">
        <v>18</v>
      </c>
      <c r="F34" s="5" t="s">
        <v>19</v>
      </c>
      <c r="G34" s="5" t="s">
        <v>79</v>
      </c>
      <c r="H34" s="2">
        <v>81000</v>
      </c>
      <c r="I34" s="5" t="s">
        <v>34</v>
      </c>
      <c r="J34" s="87" t="str">
        <f t="shared" si="0"/>
        <v/>
      </c>
      <c r="K34" s="86" t="str">
        <f t="shared" si="1"/>
        <v/>
      </c>
      <c r="L34" s="86">
        <f t="shared" si="2"/>
        <v>0</v>
      </c>
      <c r="M34" s="86" t="str">
        <f t="shared" si="3"/>
        <v/>
      </c>
      <c r="N34" s="86" t="str">
        <f t="shared" si="4"/>
        <v>1500rs. Amazon Voucher</v>
      </c>
      <c r="O34" s="85">
        <f t="shared" si="5"/>
        <v>4000</v>
      </c>
      <c r="P34" s="84"/>
    </row>
    <row r="35" spans="1:16" x14ac:dyDescent="0.3">
      <c r="A35" s="4">
        <v>150921</v>
      </c>
      <c r="B35" s="5" t="s">
        <v>80</v>
      </c>
      <c r="C35" s="5" t="s">
        <v>81</v>
      </c>
      <c r="D35" s="6">
        <v>38092</v>
      </c>
      <c r="E35" s="7" t="s">
        <v>32</v>
      </c>
      <c r="F35" s="5" t="s">
        <v>19</v>
      </c>
      <c r="G35" s="5" t="s">
        <v>82</v>
      </c>
      <c r="H35" s="2">
        <v>19000</v>
      </c>
      <c r="I35" s="5" t="s">
        <v>46</v>
      </c>
      <c r="J35" s="87" t="str">
        <f t="shared" si="0"/>
        <v/>
      </c>
      <c r="K35" s="86" t="str">
        <f t="shared" si="1"/>
        <v/>
      </c>
      <c r="L35" s="86">
        <f t="shared" si="2"/>
        <v>0</v>
      </c>
      <c r="M35" s="86" t="str">
        <f t="shared" si="3"/>
        <v/>
      </c>
      <c r="N35" s="86" t="str">
        <f t="shared" si="4"/>
        <v>1500rs. Amazon Voucher</v>
      </c>
      <c r="O35" s="85">
        <f t="shared" si="5"/>
        <v>3800</v>
      </c>
      <c r="P35" s="84"/>
    </row>
    <row r="36" spans="1:16" x14ac:dyDescent="0.3">
      <c r="A36" s="4">
        <v>150929</v>
      </c>
      <c r="B36" s="5" t="s">
        <v>107</v>
      </c>
      <c r="C36" s="5" t="s">
        <v>108</v>
      </c>
      <c r="D36" s="6">
        <v>26739</v>
      </c>
      <c r="E36" s="7" t="s">
        <v>32</v>
      </c>
      <c r="F36" s="5" t="s">
        <v>19</v>
      </c>
      <c r="G36" s="5" t="s">
        <v>38</v>
      </c>
      <c r="H36" s="2">
        <v>58000</v>
      </c>
      <c r="I36" s="5" t="s">
        <v>34</v>
      </c>
      <c r="J36" s="87" t="str">
        <f t="shared" si="0"/>
        <v/>
      </c>
      <c r="K36" s="86" t="str">
        <f t="shared" si="1"/>
        <v/>
      </c>
      <c r="L36" s="86" t="str">
        <f t="shared" si="2"/>
        <v>Retired</v>
      </c>
      <c r="M36" s="86" t="str">
        <f t="shared" si="3"/>
        <v/>
      </c>
      <c r="N36" s="86" t="str">
        <f t="shared" si="4"/>
        <v>1500rs. Amazon Voucher</v>
      </c>
      <c r="O36" s="85">
        <f t="shared" si="5"/>
        <v>4000</v>
      </c>
      <c r="P36" s="84"/>
    </row>
    <row r="37" spans="1:16" x14ac:dyDescent="0.3">
      <c r="A37" s="4">
        <v>150930</v>
      </c>
      <c r="B37" s="5" t="s">
        <v>66</v>
      </c>
      <c r="C37" s="5" t="s">
        <v>67</v>
      </c>
      <c r="D37" s="6">
        <v>37027</v>
      </c>
      <c r="E37" s="7" t="s">
        <v>32</v>
      </c>
      <c r="F37" s="5" t="s">
        <v>19</v>
      </c>
      <c r="G37" s="5" t="s">
        <v>26</v>
      </c>
      <c r="H37" s="2">
        <v>82000</v>
      </c>
      <c r="I37" s="5" t="s">
        <v>34</v>
      </c>
      <c r="J37" s="87" t="str">
        <f t="shared" si="0"/>
        <v/>
      </c>
      <c r="K37" s="86" t="str">
        <f t="shared" si="1"/>
        <v/>
      </c>
      <c r="L37" s="86">
        <f t="shared" si="2"/>
        <v>0</v>
      </c>
      <c r="M37" s="86" t="str">
        <f t="shared" si="3"/>
        <v/>
      </c>
      <c r="N37" s="86" t="str">
        <f t="shared" si="4"/>
        <v>1500rs. Amazon Voucher</v>
      </c>
      <c r="O37" s="85">
        <f t="shared" si="5"/>
        <v>4000</v>
      </c>
      <c r="P37" s="84"/>
    </row>
    <row r="38" spans="1:16" x14ac:dyDescent="0.3">
      <c r="A38" s="4">
        <v>150937</v>
      </c>
      <c r="B38" s="5" t="s">
        <v>57</v>
      </c>
      <c r="C38" s="5" t="s">
        <v>58</v>
      </c>
      <c r="D38" s="6">
        <v>24700</v>
      </c>
      <c r="E38" s="7" t="s">
        <v>32</v>
      </c>
      <c r="F38" s="5" t="s">
        <v>19</v>
      </c>
      <c r="G38" s="5" t="s">
        <v>45</v>
      </c>
      <c r="H38" s="2">
        <v>37000</v>
      </c>
      <c r="I38" s="5" t="s">
        <v>21</v>
      </c>
      <c r="J38" s="87" t="str">
        <f t="shared" si="0"/>
        <v/>
      </c>
      <c r="K38" s="86" t="str">
        <f t="shared" si="1"/>
        <v/>
      </c>
      <c r="L38" s="86" t="str">
        <f t="shared" si="2"/>
        <v>Retired</v>
      </c>
      <c r="M38" s="86" t="str">
        <f t="shared" si="3"/>
        <v/>
      </c>
      <c r="N38" s="86" t="str">
        <f t="shared" si="4"/>
        <v>1500rs. Amazon Voucher</v>
      </c>
      <c r="O38" s="85">
        <f t="shared" si="5"/>
        <v>5000</v>
      </c>
      <c r="P38" s="84"/>
    </row>
    <row r="39" spans="1:16" x14ac:dyDescent="0.3">
      <c r="A39" s="4">
        <v>150940</v>
      </c>
      <c r="B39" s="5" t="s">
        <v>30</v>
      </c>
      <c r="C39" s="5" t="s">
        <v>31</v>
      </c>
      <c r="D39" s="6">
        <v>26906</v>
      </c>
      <c r="E39" s="7" t="s">
        <v>32</v>
      </c>
      <c r="F39" s="5" t="s">
        <v>25</v>
      </c>
      <c r="G39" s="5" t="s">
        <v>33</v>
      </c>
      <c r="H39" s="2">
        <v>87000</v>
      </c>
      <c r="I39" s="5" t="s">
        <v>52</v>
      </c>
      <c r="J39" s="87" t="str">
        <f t="shared" si="0"/>
        <v/>
      </c>
      <c r="K39" s="86" t="str">
        <f t="shared" si="1"/>
        <v/>
      </c>
      <c r="L39" s="86" t="str">
        <f t="shared" si="2"/>
        <v>Retired</v>
      </c>
      <c r="M39" s="86" t="str">
        <f t="shared" si="3"/>
        <v/>
      </c>
      <c r="N39" s="86" t="str">
        <f t="shared" si="4"/>
        <v>1500rs. Amazon Voucher</v>
      </c>
      <c r="O39" s="85">
        <f t="shared" si="5"/>
        <v>4200</v>
      </c>
      <c r="P39" s="84"/>
    </row>
    <row r="40" spans="1:16" x14ac:dyDescent="0.3">
      <c r="A40" s="4">
        <v>150947</v>
      </c>
      <c r="B40" s="5" t="s">
        <v>71</v>
      </c>
      <c r="C40" s="5" t="s">
        <v>72</v>
      </c>
      <c r="D40" s="6">
        <v>33449</v>
      </c>
      <c r="E40" s="7" t="s">
        <v>18</v>
      </c>
      <c r="F40" s="5" t="s">
        <v>19</v>
      </c>
      <c r="G40" s="5" t="s">
        <v>65</v>
      </c>
      <c r="H40" s="2">
        <v>85000</v>
      </c>
      <c r="I40" s="5" t="s">
        <v>52</v>
      </c>
      <c r="J40" s="87" t="str">
        <f t="shared" si="0"/>
        <v/>
      </c>
      <c r="K40" s="86" t="str">
        <f t="shared" si="1"/>
        <v/>
      </c>
      <c r="L40" s="86">
        <f t="shared" si="2"/>
        <v>0</v>
      </c>
      <c r="M40" s="86" t="str">
        <f t="shared" si="3"/>
        <v/>
      </c>
      <c r="N40" s="86" t="str">
        <f t="shared" si="4"/>
        <v>1500rs. Amazon Voucher</v>
      </c>
      <c r="O40" s="85">
        <f t="shared" si="5"/>
        <v>4200</v>
      </c>
      <c r="P40" s="84"/>
    </row>
    <row r="41" spans="1:16" x14ac:dyDescent="0.3">
      <c r="A41" s="4">
        <v>150954</v>
      </c>
      <c r="B41" s="5" t="s">
        <v>102</v>
      </c>
      <c r="C41" s="5" t="s">
        <v>101</v>
      </c>
      <c r="D41" s="6">
        <v>35495</v>
      </c>
      <c r="E41" s="7" t="s">
        <v>18</v>
      </c>
      <c r="F41" s="5" t="s">
        <v>19</v>
      </c>
      <c r="G41" s="5" t="s">
        <v>93</v>
      </c>
      <c r="H41" s="2">
        <v>57000</v>
      </c>
      <c r="I41" s="5" t="s">
        <v>34</v>
      </c>
      <c r="J41" s="87" t="str">
        <f t="shared" si="0"/>
        <v/>
      </c>
      <c r="K41" s="86" t="str">
        <f t="shared" si="1"/>
        <v/>
      </c>
      <c r="L41" s="86">
        <f t="shared" si="2"/>
        <v>0</v>
      </c>
      <c r="M41" s="86" t="str">
        <f t="shared" si="3"/>
        <v/>
      </c>
      <c r="N41" s="86" t="str">
        <f t="shared" si="4"/>
        <v>1500rs. Amazon Voucher</v>
      </c>
      <c r="O41" s="85">
        <f t="shared" si="5"/>
        <v>4000</v>
      </c>
      <c r="P41" s="84"/>
    </row>
    <row r="42" spans="1:16" x14ac:dyDescent="0.3">
      <c r="A42" s="4">
        <v>150962</v>
      </c>
      <c r="B42" s="5" t="s">
        <v>100</v>
      </c>
      <c r="C42" s="5" t="s">
        <v>101</v>
      </c>
      <c r="D42" s="6">
        <v>37773</v>
      </c>
      <c r="E42" s="7" t="s">
        <v>18</v>
      </c>
      <c r="F42" s="5" t="s">
        <v>19</v>
      </c>
      <c r="G42" s="5" t="s">
        <v>41</v>
      </c>
      <c r="H42" s="2">
        <v>87000</v>
      </c>
      <c r="I42" s="5" t="s">
        <v>34</v>
      </c>
      <c r="J42" s="87" t="str">
        <f t="shared" si="0"/>
        <v/>
      </c>
      <c r="K42" s="86" t="str">
        <f t="shared" si="1"/>
        <v/>
      </c>
      <c r="L42" s="86">
        <f t="shared" si="2"/>
        <v>0</v>
      </c>
      <c r="M42" s="86" t="str">
        <f t="shared" si="3"/>
        <v/>
      </c>
      <c r="N42" s="86" t="str">
        <f t="shared" si="4"/>
        <v/>
      </c>
      <c r="O42" s="85">
        <f t="shared" si="5"/>
        <v>4000</v>
      </c>
      <c r="P42" s="84"/>
    </row>
    <row r="43" spans="1:16" x14ac:dyDescent="0.3">
      <c r="A43" s="4">
        <v>150968</v>
      </c>
      <c r="B43" s="5" t="s">
        <v>94</v>
      </c>
      <c r="C43" s="5" t="s">
        <v>95</v>
      </c>
      <c r="D43" s="6">
        <v>37208</v>
      </c>
      <c r="E43" s="7" t="s">
        <v>32</v>
      </c>
      <c r="F43" s="5" t="s">
        <v>19</v>
      </c>
      <c r="G43" s="5" t="s">
        <v>79</v>
      </c>
      <c r="H43" s="2">
        <v>65000</v>
      </c>
      <c r="I43" s="5" t="s">
        <v>52</v>
      </c>
      <c r="J43" s="87" t="str">
        <f t="shared" si="0"/>
        <v/>
      </c>
      <c r="K43" s="86" t="str">
        <f t="shared" si="1"/>
        <v/>
      </c>
      <c r="L43" s="86">
        <f t="shared" si="2"/>
        <v>0</v>
      </c>
      <c r="M43" s="86" t="str">
        <f t="shared" si="3"/>
        <v/>
      </c>
      <c r="N43" s="86" t="str">
        <f t="shared" si="4"/>
        <v>1500rs. Amazon Voucher</v>
      </c>
      <c r="O43" s="85">
        <f t="shared" si="5"/>
        <v>4200</v>
      </c>
      <c r="P43" s="84"/>
    </row>
    <row r="44" spans="1:16" x14ac:dyDescent="0.3">
      <c r="A44" s="4">
        <v>150975</v>
      </c>
      <c r="B44" s="5" t="s">
        <v>89</v>
      </c>
      <c r="C44" s="5" t="s">
        <v>90</v>
      </c>
      <c r="D44" s="6">
        <v>31478</v>
      </c>
      <c r="E44" s="7" t="s">
        <v>32</v>
      </c>
      <c r="F44" s="5" t="s">
        <v>19</v>
      </c>
      <c r="G44" s="5" t="s">
        <v>82</v>
      </c>
      <c r="H44" s="2">
        <v>83000</v>
      </c>
      <c r="I44" s="5" t="s">
        <v>21</v>
      </c>
      <c r="J44" s="87" t="str">
        <f t="shared" si="0"/>
        <v/>
      </c>
      <c r="K44" s="86" t="str">
        <f t="shared" si="1"/>
        <v/>
      </c>
      <c r="L44" s="86">
        <f t="shared" si="2"/>
        <v>0</v>
      </c>
      <c r="M44" s="86" t="str">
        <f t="shared" si="3"/>
        <v/>
      </c>
      <c r="N44" s="86" t="str">
        <f t="shared" si="4"/>
        <v>1500rs. Amazon Voucher</v>
      </c>
      <c r="O44" s="85">
        <f t="shared" si="5"/>
        <v>5000</v>
      </c>
      <c r="P44" s="84"/>
    </row>
    <row r="45" spans="1:16" x14ac:dyDescent="0.3">
      <c r="A45" s="4">
        <v>150982</v>
      </c>
      <c r="B45" s="5" t="s">
        <v>109</v>
      </c>
      <c r="C45" s="5" t="s">
        <v>110</v>
      </c>
      <c r="D45" s="6">
        <v>35574</v>
      </c>
      <c r="E45" s="7" t="s">
        <v>32</v>
      </c>
      <c r="F45" s="5" t="s">
        <v>19</v>
      </c>
      <c r="G45" s="5" t="s">
        <v>38</v>
      </c>
      <c r="H45" s="2">
        <v>47000</v>
      </c>
      <c r="I45" s="5" t="s">
        <v>21</v>
      </c>
      <c r="J45" s="87" t="str">
        <f t="shared" si="0"/>
        <v/>
      </c>
      <c r="K45" s="86" t="str">
        <f t="shared" si="1"/>
        <v/>
      </c>
      <c r="L45" s="86">
        <f t="shared" si="2"/>
        <v>0</v>
      </c>
      <c r="M45" s="86" t="str">
        <f t="shared" si="3"/>
        <v/>
      </c>
      <c r="N45" s="86" t="str">
        <f t="shared" si="4"/>
        <v>1500rs. Amazon Voucher</v>
      </c>
      <c r="O45" s="85">
        <f t="shared" si="5"/>
        <v>5000</v>
      </c>
      <c r="P45" s="84"/>
    </row>
    <row r="46" spans="1:16" x14ac:dyDescent="0.3">
      <c r="A46" s="4">
        <v>150989</v>
      </c>
      <c r="B46" s="5" t="s">
        <v>48</v>
      </c>
      <c r="C46" s="5" t="s">
        <v>44</v>
      </c>
      <c r="D46" s="6">
        <v>33113</v>
      </c>
      <c r="E46" s="7" t="s">
        <v>32</v>
      </c>
      <c r="F46" s="5" t="s">
        <v>19</v>
      </c>
      <c r="G46" s="5" t="s">
        <v>26</v>
      </c>
      <c r="H46" s="2">
        <v>45000</v>
      </c>
      <c r="I46" s="5" t="s">
        <v>34</v>
      </c>
      <c r="J46" s="87" t="str">
        <f t="shared" si="0"/>
        <v/>
      </c>
      <c r="K46" s="86" t="str">
        <f t="shared" si="1"/>
        <v/>
      </c>
      <c r="L46" s="86">
        <f t="shared" si="2"/>
        <v>0</v>
      </c>
      <c r="M46" s="86" t="str">
        <f t="shared" si="3"/>
        <v/>
      </c>
      <c r="N46" s="86" t="str">
        <f t="shared" si="4"/>
        <v>1500rs. Amazon Voucher</v>
      </c>
      <c r="O46" s="85">
        <f t="shared" si="5"/>
        <v>4000</v>
      </c>
      <c r="P46" s="84"/>
    </row>
    <row r="47" spans="1:16" x14ac:dyDescent="0.3">
      <c r="A47" s="4">
        <v>150990</v>
      </c>
      <c r="B47" s="5" t="s">
        <v>43</v>
      </c>
      <c r="C47" s="5" t="s">
        <v>44</v>
      </c>
      <c r="D47" s="6">
        <v>36400</v>
      </c>
      <c r="E47" s="7" t="s">
        <v>32</v>
      </c>
      <c r="F47" s="5" t="s">
        <v>19</v>
      </c>
      <c r="G47" s="5" t="s">
        <v>45</v>
      </c>
      <c r="H47" s="2">
        <v>77000</v>
      </c>
      <c r="I47" s="5" t="s">
        <v>46</v>
      </c>
      <c r="J47" s="87" t="str">
        <f t="shared" si="0"/>
        <v/>
      </c>
      <c r="K47" s="86" t="str">
        <f t="shared" si="1"/>
        <v/>
      </c>
      <c r="L47" s="86">
        <f t="shared" si="2"/>
        <v>0</v>
      </c>
      <c r="M47" s="86" t="str">
        <f t="shared" si="3"/>
        <v/>
      </c>
      <c r="N47" s="86" t="str">
        <f t="shared" si="4"/>
        <v>1500rs. Amazon Voucher</v>
      </c>
      <c r="O47" s="85">
        <f t="shared" si="5"/>
        <v>3800</v>
      </c>
      <c r="P47" s="84"/>
    </row>
    <row r="48" spans="1:16" x14ac:dyDescent="0.3">
      <c r="A48" s="4">
        <v>150995</v>
      </c>
      <c r="B48" s="5" t="s">
        <v>75</v>
      </c>
      <c r="C48" s="5" t="s">
        <v>76</v>
      </c>
      <c r="D48" s="6">
        <v>35330</v>
      </c>
      <c r="E48" s="7" t="s">
        <v>32</v>
      </c>
      <c r="F48" s="5" t="s">
        <v>19</v>
      </c>
      <c r="G48" s="5" t="s">
        <v>33</v>
      </c>
      <c r="H48" s="2">
        <v>15000</v>
      </c>
      <c r="I48" s="5" t="s">
        <v>21</v>
      </c>
      <c r="J48" s="87" t="str">
        <f t="shared" si="0"/>
        <v/>
      </c>
      <c r="K48" s="86" t="str">
        <f t="shared" si="1"/>
        <v/>
      </c>
      <c r="L48" s="86">
        <f t="shared" si="2"/>
        <v>0</v>
      </c>
      <c r="M48" s="86" t="str">
        <f t="shared" si="3"/>
        <v/>
      </c>
      <c r="N48" s="86" t="str">
        <f t="shared" si="4"/>
        <v>1500rs. Amazon Voucher</v>
      </c>
      <c r="O48" s="85">
        <f t="shared" si="5"/>
        <v>5000</v>
      </c>
      <c r="P48" s="84"/>
    </row>
    <row r="49" spans="7:7" x14ac:dyDescent="0.3">
      <c r="G49" s="83"/>
    </row>
  </sheetData>
  <mergeCells count="7">
    <mergeCell ref="C7:M7"/>
    <mergeCell ref="C1:M1"/>
    <mergeCell ref="C2:M2"/>
    <mergeCell ref="C3:M3"/>
    <mergeCell ref="C4:M4"/>
    <mergeCell ref="C5:M5"/>
    <mergeCell ref="C6:M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6F87B-694F-4070-9DBF-14BE70BC86CA}">
  <dimension ref="B2:I17"/>
  <sheetViews>
    <sheetView workbookViewId="0">
      <selection activeCell="G43" sqref="G43"/>
    </sheetView>
  </sheetViews>
  <sheetFormatPr defaultColWidth="14.44140625" defaultRowHeight="14.4" x14ac:dyDescent="0.3"/>
  <cols>
    <col min="1" max="1" width="8.6640625" customWidth="1"/>
    <col min="2" max="2" width="16.88671875" customWidth="1"/>
    <col min="3" max="7" width="9.6640625" customWidth="1"/>
    <col min="8" max="8" width="11.109375" customWidth="1"/>
    <col min="9" max="9" width="17.33203125" customWidth="1"/>
    <col min="10" max="26" width="8.6640625" customWidth="1"/>
  </cols>
  <sheetData>
    <row r="2" spans="2:9" x14ac:dyDescent="0.3">
      <c r="C2" s="229" t="s">
        <v>327</v>
      </c>
      <c r="D2" s="229"/>
      <c r="E2" s="229"/>
      <c r="F2" s="229"/>
      <c r="G2" s="229"/>
      <c r="H2" s="229"/>
    </row>
    <row r="5" spans="2:9" x14ac:dyDescent="0.3">
      <c r="B5" s="74" t="s">
        <v>326</v>
      </c>
      <c r="C5" s="74" t="s">
        <v>325</v>
      </c>
      <c r="D5" s="74" t="s">
        <v>324</v>
      </c>
      <c r="E5" s="74" t="s">
        <v>323</v>
      </c>
      <c r="F5" s="74" t="s">
        <v>322</v>
      </c>
      <c r="G5" s="74" t="s">
        <v>321</v>
      </c>
      <c r="H5" s="74" t="s">
        <v>320</v>
      </c>
      <c r="I5" s="74" t="s">
        <v>319</v>
      </c>
    </row>
    <row r="6" spans="2:9" x14ac:dyDescent="0.3">
      <c r="B6" s="92" t="s">
        <v>318</v>
      </c>
      <c r="C6" s="2">
        <v>38.99</v>
      </c>
      <c r="D6" s="2">
        <v>48.6</v>
      </c>
      <c r="E6" s="2">
        <v>43.53</v>
      </c>
      <c r="F6" s="2">
        <v>40.08</v>
      </c>
      <c r="G6" s="2">
        <v>47.92</v>
      </c>
      <c r="H6" s="91">
        <f t="shared" ref="H6:H17" si="0">MIN(C6:G6)</f>
        <v>38.99</v>
      </c>
      <c r="I6" s="90" t="str">
        <f t="shared" ref="I6:I17" si="1">INDEX($C$5:$G$5,MATCH(H6,C6:G6,0))</f>
        <v>Vendor1</v>
      </c>
    </row>
    <row r="7" spans="2:9" x14ac:dyDescent="0.3">
      <c r="B7" s="92" t="s">
        <v>317</v>
      </c>
      <c r="C7" s="2">
        <v>57.68</v>
      </c>
      <c r="D7" s="2">
        <v>31.8</v>
      </c>
      <c r="E7" s="2">
        <v>52.78</v>
      </c>
      <c r="F7" s="2">
        <v>31.42</v>
      </c>
      <c r="G7" s="2">
        <v>55.19</v>
      </c>
      <c r="H7" s="91">
        <f t="shared" si="0"/>
        <v>31.42</v>
      </c>
      <c r="I7" s="90" t="str">
        <f t="shared" si="1"/>
        <v>Vendor4</v>
      </c>
    </row>
    <row r="8" spans="2:9" x14ac:dyDescent="0.3">
      <c r="B8" s="92" t="s">
        <v>316</v>
      </c>
      <c r="C8" s="2">
        <v>53.32</v>
      </c>
      <c r="D8" s="2">
        <v>32.64</v>
      </c>
      <c r="E8" s="2">
        <v>37.69</v>
      </c>
      <c r="F8" s="2">
        <v>48.29</v>
      </c>
      <c r="G8" s="2">
        <v>41.59</v>
      </c>
      <c r="H8" s="91">
        <f t="shared" si="0"/>
        <v>32.64</v>
      </c>
      <c r="I8" s="90" t="str">
        <f t="shared" si="1"/>
        <v>Vendor2</v>
      </c>
    </row>
    <row r="9" spans="2:9" x14ac:dyDescent="0.3">
      <c r="B9" s="92" t="s">
        <v>315</v>
      </c>
      <c r="C9" s="2">
        <v>35.200000000000003</v>
      </c>
      <c r="D9" s="2">
        <v>40.549999999999997</v>
      </c>
      <c r="E9" s="2">
        <v>32.65</v>
      </c>
      <c r="F9" s="2">
        <v>36.81</v>
      </c>
      <c r="G9" s="2">
        <v>41.14</v>
      </c>
      <c r="H9" s="91">
        <f t="shared" si="0"/>
        <v>32.65</v>
      </c>
      <c r="I9" s="90" t="str">
        <f t="shared" si="1"/>
        <v>Vendor3</v>
      </c>
    </row>
    <row r="10" spans="2:9" x14ac:dyDescent="0.3">
      <c r="B10" s="92" t="s">
        <v>314</v>
      </c>
      <c r="C10" s="2">
        <v>56.72</v>
      </c>
      <c r="D10" s="2">
        <v>47.16</v>
      </c>
      <c r="E10" s="2">
        <v>36.42</v>
      </c>
      <c r="F10" s="2">
        <v>49.56</v>
      </c>
      <c r="G10" s="2">
        <v>39.25</v>
      </c>
      <c r="H10" s="91">
        <f t="shared" si="0"/>
        <v>36.42</v>
      </c>
      <c r="I10" s="90" t="str">
        <f t="shared" si="1"/>
        <v>Vendor3</v>
      </c>
    </row>
    <row r="11" spans="2:9" x14ac:dyDescent="0.3">
      <c r="B11" s="92" t="s">
        <v>313</v>
      </c>
      <c r="C11" s="2">
        <v>47.91</v>
      </c>
      <c r="D11" s="2">
        <v>35.08</v>
      </c>
      <c r="E11" s="2">
        <v>51.129999999999995</v>
      </c>
      <c r="F11" s="2">
        <v>49.84</v>
      </c>
      <c r="G11" s="2">
        <v>42.12</v>
      </c>
      <c r="H11" s="91">
        <f t="shared" si="0"/>
        <v>35.08</v>
      </c>
      <c r="I11" s="90" t="str">
        <f t="shared" si="1"/>
        <v>Vendor2</v>
      </c>
    </row>
    <row r="12" spans="2:9" x14ac:dyDescent="0.3">
      <c r="B12" s="92" t="s">
        <v>312</v>
      </c>
      <c r="C12" s="2">
        <v>34.81</v>
      </c>
      <c r="D12" s="2">
        <v>35.11</v>
      </c>
      <c r="E12" s="2">
        <v>48.629999999999995</v>
      </c>
      <c r="F12" s="2">
        <v>33.32</v>
      </c>
      <c r="G12" s="2">
        <v>37.83</v>
      </c>
      <c r="H12" s="91">
        <f t="shared" si="0"/>
        <v>33.32</v>
      </c>
      <c r="I12" s="90" t="str">
        <f t="shared" si="1"/>
        <v>Vendor4</v>
      </c>
    </row>
    <row r="13" spans="2:9" x14ac:dyDescent="0.3">
      <c r="B13" s="92" t="s">
        <v>311</v>
      </c>
      <c r="C13" s="2">
        <v>42.25</v>
      </c>
      <c r="D13" s="2">
        <v>35.76</v>
      </c>
      <c r="E13" s="2">
        <v>58.6</v>
      </c>
      <c r="F13" s="2">
        <v>46.28</v>
      </c>
      <c r="G13" s="2">
        <v>40.53</v>
      </c>
      <c r="H13" s="91">
        <f t="shared" si="0"/>
        <v>35.76</v>
      </c>
      <c r="I13" s="90" t="str">
        <f t="shared" si="1"/>
        <v>Vendor2</v>
      </c>
    </row>
    <row r="14" spans="2:9" x14ac:dyDescent="0.3">
      <c r="B14" s="92" t="s">
        <v>310</v>
      </c>
      <c r="C14" s="2">
        <v>40.14</v>
      </c>
      <c r="D14" s="2">
        <v>42.31</v>
      </c>
      <c r="E14" s="2">
        <v>37.619999999999997</v>
      </c>
      <c r="F14" s="2">
        <v>59.97</v>
      </c>
      <c r="G14" s="2">
        <v>42.57</v>
      </c>
      <c r="H14" s="91">
        <f t="shared" si="0"/>
        <v>37.619999999999997</v>
      </c>
      <c r="I14" s="90" t="str">
        <f t="shared" si="1"/>
        <v>Vendor3</v>
      </c>
    </row>
    <row r="15" spans="2:9" x14ac:dyDescent="0.3">
      <c r="B15" s="92" t="s">
        <v>309</v>
      </c>
      <c r="C15" s="2">
        <v>36.480000000000004</v>
      </c>
      <c r="D15" s="2">
        <v>40.79</v>
      </c>
      <c r="E15" s="2">
        <v>53.239999999999995</v>
      </c>
      <c r="F15" s="2">
        <v>51.010000000000005</v>
      </c>
      <c r="G15" s="2">
        <v>51.239999999999995</v>
      </c>
      <c r="H15" s="91">
        <f t="shared" si="0"/>
        <v>36.480000000000004</v>
      </c>
      <c r="I15" s="90" t="str">
        <f t="shared" si="1"/>
        <v>Vendor1</v>
      </c>
    </row>
    <row r="16" spans="2:9" x14ac:dyDescent="0.3">
      <c r="B16" s="92" t="s">
        <v>308</v>
      </c>
      <c r="C16" s="2">
        <v>38.57</v>
      </c>
      <c r="D16" s="2">
        <v>40.06</v>
      </c>
      <c r="E16" s="2">
        <v>54.71</v>
      </c>
      <c r="F16" s="2">
        <v>39.700000000000003</v>
      </c>
      <c r="G16" s="2">
        <v>54.730000000000004</v>
      </c>
      <c r="H16" s="91">
        <f t="shared" si="0"/>
        <v>38.57</v>
      </c>
      <c r="I16" s="90" t="str">
        <f t="shared" si="1"/>
        <v>Vendor1</v>
      </c>
    </row>
    <row r="17" spans="2:9" x14ac:dyDescent="0.3">
      <c r="B17" s="92" t="s">
        <v>307</v>
      </c>
      <c r="C17" s="2">
        <v>52.66</v>
      </c>
      <c r="D17" s="2">
        <v>43.61</v>
      </c>
      <c r="E17" s="2">
        <v>59.980000000000004</v>
      </c>
      <c r="F17" s="2">
        <v>34.61</v>
      </c>
      <c r="G17" s="2">
        <v>52.65</v>
      </c>
      <c r="H17" s="91">
        <f t="shared" si="0"/>
        <v>34.61</v>
      </c>
      <c r="I17" s="90" t="str">
        <f t="shared" si="1"/>
        <v>Vendor4</v>
      </c>
    </row>
  </sheetData>
  <mergeCells count="1">
    <mergeCell ref="C2:H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E868D-4DFA-49DD-84E3-44486C49F88C}">
  <dimension ref="B2:L28"/>
  <sheetViews>
    <sheetView topLeftCell="A4" workbookViewId="0">
      <selection activeCell="K14" sqref="K14"/>
    </sheetView>
  </sheetViews>
  <sheetFormatPr defaultRowHeight="14.4" x14ac:dyDescent="0.3"/>
  <cols>
    <col min="2" max="2" width="21.33203125" customWidth="1"/>
    <col min="3" max="6" width="13.88671875" bestFit="1" customWidth="1"/>
    <col min="7" max="7" width="12.33203125" bestFit="1" customWidth="1"/>
  </cols>
  <sheetData>
    <row r="2" spans="2:12" x14ac:dyDescent="0.3">
      <c r="B2" s="230" t="s">
        <v>349</v>
      </c>
      <c r="C2" s="230"/>
      <c r="D2" s="230"/>
      <c r="E2" s="230"/>
    </row>
    <row r="3" spans="2:12" ht="52.5" customHeight="1" x14ac:dyDescent="0.3">
      <c r="B3" s="231" t="s">
        <v>348</v>
      </c>
      <c r="C3" s="231"/>
      <c r="D3" s="231"/>
      <c r="E3" s="231"/>
    </row>
    <row r="4" spans="2:12" x14ac:dyDescent="0.3">
      <c r="B4" s="116"/>
    </row>
    <row r="5" spans="2:12" x14ac:dyDescent="0.3">
      <c r="B5" s="118" t="s">
        <v>347</v>
      </c>
      <c r="C5" s="117" t="s">
        <v>240</v>
      </c>
    </row>
    <row r="6" spans="2:12" ht="15" thickBot="1" x14ac:dyDescent="0.35">
      <c r="B6" s="116"/>
    </row>
    <row r="7" spans="2:12" x14ac:dyDescent="0.3">
      <c r="B7" s="232" t="s">
        <v>346</v>
      </c>
      <c r="C7" s="233"/>
      <c r="D7" s="234"/>
    </row>
    <row r="8" spans="2:12" x14ac:dyDescent="0.3">
      <c r="B8" s="115" t="s">
        <v>266</v>
      </c>
      <c r="C8" s="114" t="s">
        <v>345</v>
      </c>
      <c r="D8" s="113" t="s">
        <v>344</v>
      </c>
    </row>
    <row r="9" spans="2:12" x14ac:dyDescent="0.3">
      <c r="B9" s="111" t="s">
        <v>343</v>
      </c>
      <c r="C9" s="110">
        <v>87423</v>
      </c>
      <c r="D9" s="107" t="str">
        <f t="shared" ref="D9:D16" si="0">INDEX($C$21:$G$28,MATCH(C9,$B$21:$B$28,0),MATCH($C$5,$C$20:$G$20,0))</f>
        <v>Puri, Om</v>
      </c>
      <c r="F9" s="235"/>
      <c r="G9" s="235"/>
      <c r="H9" s="235"/>
      <c r="I9" s="235"/>
      <c r="J9" s="235"/>
      <c r="K9" s="235"/>
      <c r="L9" s="235"/>
    </row>
    <row r="10" spans="2:12" x14ac:dyDescent="0.3">
      <c r="B10" s="111" t="s">
        <v>342</v>
      </c>
      <c r="C10" s="110">
        <v>78312</v>
      </c>
      <c r="D10" s="107" t="str">
        <f t="shared" si="0"/>
        <v>Puri, Om</v>
      </c>
    </row>
    <row r="11" spans="2:12" x14ac:dyDescent="0.3">
      <c r="B11" s="111" t="s">
        <v>341</v>
      </c>
      <c r="C11" s="110">
        <v>98722</v>
      </c>
      <c r="D11" s="107" t="str">
        <f t="shared" si="0"/>
        <v>Londo, Mollari</v>
      </c>
    </row>
    <row r="12" spans="2:12" x14ac:dyDescent="0.3">
      <c r="B12" s="111" t="s">
        <v>340</v>
      </c>
      <c r="C12" s="110">
        <v>12235</v>
      </c>
      <c r="D12" s="107" t="str">
        <f t="shared" si="0"/>
        <v>Londo, Mollari</v>
      </c>
    </row>
    <row r="13" spans="2:12" x14ac:dyDescent="0.3">
      <c r="B13" s="111" t="s">
        <v>339</v>
      </c>
      <c r="C13" s="110">
        <v>23972</v>
      </c>
      <c r="D13" s="107" t="str">
        <f t="shared" si="0"/>
        <v>Londo, Mollari</v>
      </c>
    </row>
    <row r="14" spans="2:12" x14ac:dyDescent="0.3">
      <c r="B14" s="112" t="s">
        <v>338</v>
      </c>
      <c r="C14" s="110">
        <v>56431</v>
      </c>
      <c r="D14" s="107" t="str">
        <f t="shared" si="0"/>
        <v>Londo, Mollari</v>
      </c>
    </row>
    <row r="15" spans="2:12" x14ac:dyDescent="0.3">
      <c r="B15" s="111" t="s">
        <v>337</v>
      </c>
      <c r="C15" s="110">
        <v>98362</v>
      </c>
      <c r="D15" s="107" t="str">
        <f t="shared" si="0"/>
        <v>Puri, Om</v>
      </c>
    </row>
    <row r="16" spans="2:12" ht="15" thickBot="1" x14ac:dyDescent="0.35">
      <c r="B16" s="109" t="s">
        <v>336</v>
      </c>
      <c r="C16" s="108">
        <v>18739</v>
      </c>
      <c r="D16" s="107" t="str">
        <f t="shared" si="0"/>
        <v>Puri, Om</v>
      </c>
    </row>
    <row r="18" spans="2:7" ht="15" thickBot="1" x14ac:dyDescent="0.35"/>
    <row r="19" spans="2:7" x14ac:dyDescent="0.3">
      <c r="B19" s="236" t="s">
        <v>335</v>
      </c>
      <c r="C19" s="237"/>
      <c r="D19" s="106"/>
      <c r="E19" s="106"/>
      <c r="F19" s="106"/>
      <c r="G19" s="105"/>
    </row>
    <row r="20" spans="2:7" x14ac:dyDescent="0.3">
      <c r="B20" s="104" t="s">
        <v>334</v>
      </c>
      <c r="C20" s="103" t="s">
        <v>241</v>
      </c>
      <c r="D20" s="103" t="s">
        <v>240</v>
      </c>
      <c r="E20" s="103" t="s">
        <v>239</v>
      </c>
      <c r="F20" s="103" t="s">
        <v>238</v>
      </c>
      <c r="G20" s="102" t="s">
        <v>237</v>
      </c>
    </row>
    <row r="21" spans="2:7" x14ac:dyDescent="0.3">
      <c r="B21" s="101">
        <v>98362</v>
      </c>
      <c r="C21" s="100" t="s">
        <v>330</v>
      </c>
      <c r="D21" s="100" t="s">
        <v>328</v>
      </c>
      <c r="E21" s="100" t="s">
        <v>333</v>
      </c>
      <c r="F21" s="100" t="s">
        <v>332</v>
      </c>
      <c r="G21" s="99" t="s">
        <v>331</v>
      </c>
    </row>
    <row r="22" spans="2:7" x14ac:dyDescent="0.3">
      <c r="B22" s="98">
        <v>12235</v>
      </c>
      <c r="C22" s="97" t="s">
        <v>330</v>
      </c>
      <c r="D22" s="97" t="s">
        <v>330</v>
      </c>
      <c r="E22" s="97" t="s">
        <v>330</v>
      </c>
      <c r="F22" s="97" t="s">
        <v>332</v>
      </c>
      <c r="G22" s="96" t="s">
        <v>328</v>
      </c>
    </row>
    <row r="23" spans="2:7" x14ac:dyDescent="0.3">
      <c r="B23" s="98">
        <v>78312</v>
      </c>
      <c r="C23" s="97" t="s">
        <v>330</v>
      </c>
      <c r="D23" s="97" t="s">
        <v>328</v>
      </c>
      <c r="E23" s="97" t="s">
        <v>330</v>
      </c>
      <c r="F23" s="97" t="s">
        <v>329</v>
      </c>
      <c r="G23" s="96" t="s">
        <v>331</v>
      </c>
    </row>
    <row r="24" spans="2:7" x14ac:dyDescent="0.3">
      <c r="B24" s="98">
        <v>98722</v>
      </c>
      <c r="C24" s="97" t="s">
        <v>330</v>
      </c>
      <c r="D24" s="97" t="s">
        <v>330</v>
      </c>
      <c r="E24" s="97" t="s">
        <v>333</v>
      </c>
      <c r="F24" s="97" t="s">
        <v>329</v>
      </c>
      <c r="G24" s="96" t="s">
        <v>331</v>
      </c>
    </row>
    <row r="25" spans="2:7" x14ac:dyDescent="0.3">
      <c r="B25" s="98">
        <v>87423</v>
      </c>
      <c r="C25" s="97" t="s">
        <v>328</v>
      </c>
      <c r="D25" s="97" t="s">
        <v>328</v>
      </c>
      <c r="E25" s="97" t="s">
        <v>333</v>
      </c>
      <c r="F25" s="97" t="s">
        <v>329</v>
      </c>
      <c r="G25" s="96" t="s">
        <v>328</v>
      </c>
    </row>
    <row r="26" spans="2:7" x14ac:dyDescent="0.3">
      <c r="B26" s="98">
        <v>56431</v>
      </c>
      <c r="C26" s="97" t="s">
        <v>328</v>
      </c>
      <c r="D26" s="97" t="s">
        <v>330</v>
      </c>
      <c r="E26" s="97" t="s">
        <v>333</v>
      </c>
      <c r="F26" s="97" t="s">
        <v>332</v>
      </c>
      <c r="G26" s="96" t="s">
        <v>328</v>
      </c>
    </row>
    <row r="27" spans="2:7" x14ac:dyDescent="0.3">
      <c r="B27" s="98">
        <v>23972</v>
      </c>
      <c r="C27" s="97" t="s">
        <v>328</v>
      </c>
      <c r="D27" s="97" t="s">
        <v>330</v>
      </c>
      <c r="E27" s="97" t="s">
        <v>330</v>
      </c>
      <c r="F27" s="97" t="s">
        <v>332</v>
      </c>
      <c r="G27" s="96" t="s">
        <v>331</v>
      </c>
    </row>
    <row r="28" spans="2:7" ht="15" thickBot="1" x14ac:dyDescent="0.35">
      <c r="B28" s="95">
        <v>18739</v>
      </c>
      <c r="C28" s="94" t="s">
        <v>328</v>
      </c>
      <c r="D28" s="94" t="s">
        <v>328</v>
      </c>
      <c r="E28" s="94" t="s">
        <v>330</v>
      </c>
      <c r="F28" s="94" t="s">
        <v>329</v>
      </c>
      <c r="G28" s="93" t="s">
        <v>328</v>
      </c>
    </row>
  </sheetData>
  <mergeCells count="5">
    <mergeCell ref="B2:E2"/>
    <mergeCell ref="B3:E3"/>
    <mergeCell ref="B7:D7"/>
    <mergeCell ref="F9:L9"/>
    <mergeCell ref="B19:C19"/>
  </mergeCells>
  <dataValidations count="1">
    <dataValidation type="list" allowBlank="1" showInputMessage="1" showErrorMessage="1" sqref="C5" xr:uid="{3673AA9C-4937-4478-987F-81C827B23A2F}">
      <formula1>$C$20:$G$20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BE080-B71A-4F49-B2DF-7CCCD8C9FBE4}">
  <dimension ref="B2:J319"/>
  <sheetViews>
    <sheetView workbookViewId="0">
      <selection activeCell="B4" sqref="B4"/>
    </sheetView>
  </sheetViews>
  <sheetFormatPr defaultRowHeight="14.4" x14ac:dyDescent="0.3"/>
  <cols>
    <col min="1" max="1" width="8.6640625" customWidth="1"/>
    <col min="2" max="2" width="6" customWidth="1"/>
    <col min="3" max="3" width="14.88671875" bestFit="1" customWidth="1"/>
    <col min="4" max="4" width="22.5546875" customWidth="1"/>
    <col min="5" max="5" width="12.44140625" customWidth="1"/>
    <col min="6" max="6" width="13.5546875" customWidth="1"/>
    <col min="7" max="10" width="8.6640625" customWidth="1"/>
  </cols>
  <sheetData>
    <row r="2" spans="2:10" x14ac:dyDescent="0.3">
      <c r="B2" s="206" t="s">
        <v>351</v>
      </c>
      <c r="C2" s="206"/>
      <c r="D2" s="206"/>
      <c r="E2" s="206"/>
      <c r="F2" s="206"/>
      <c r="G2" s="206"/>
      <c r="H2" s="206"/>
      <c r="I2" s="206"/>
      <c r="J2" s="206"/>
    </row>
    <row r="3" spans="2:10" x14ac:dyDescent="0.3">
      <c r="B3" s="206" t="s">
        <v>350</v>
      </c>
      <c r="C3" s="206"/>
      <c r="D3" s="206"/>
      <c r="E3" s="206"/>
      <c r="F3" s="206"/>
      <c r="G3" s="206"/>
      <c r="H3" s="206"/>
      <c r="I3" s="206"/>
      <c r="J3" s="206"/>
    </row>
    <row r="6" spans="2:10" x14ac:dyDescent="0.3">
      <c r="B6" s="78" t="s">
        <v>286</v>
      </c>
      <c r="C6" s="80" t="s">
        <v>285</v>
      </c>
      <c r="D6" s="80" t="s">
        <v>284</v>
      </c>
      <c r="E6" s="80" t="s">
        <v>283</v>
      </c>
      <c r="F6" s="80" t="s">
        <v>282</v>
      </c>
    </row>
    <row r="7" spans="2:10" x14ac:dyDescent="0.3">
      <c r="B7" s="78">
        <v>3331</v>
      </c>
      <c r="C7" s="80" t="s">
        <v>277</v>
      </c>
      <c r="D7" s="80" t="s">
        <v>279</v>
      </c>
      <c r="E7" s="79">
        <v>44348</v>
      </c>
      <c r="F7" s="78">
        <v>-14202</v>
      </c>
    </row>
    <row r="8" spans="2:10" x14ac:dyDescent="0.3">
      <c r="B8" s="78">
        <v>695</v>
      </c>
      <c r="C8" s="80" t="s">
        <v>277</v>
      </c>
      <c r="D8" s="80" t="s">
        <v>279</v>
      </c>
      <c r="E8" s="79">
        <v>44348</v>
      </c>
      <c r="F8" s="80">
        <v>17043</v>
      </c>
    </row>
    <row r="9" spans="2:10" x14ac:dyDescent="0.3">
      <c r="B9" s="78">
        <v>526</v>
      </c>
      <c r="C9" s="80" t="s">
        <v>277</v>
      </c>
      <c r="D9" s="80" t="s">
        <v>279</v>
      </c>
      <c r="E9" s="79">
        <v>44409</v>
      </c>
      <c r="F9" s="80">
        <v>55010</v>
      </c>
    </row>
    <row r="10" spans="2:10" x14ac:dyDescent="0.3">
      <c r="B10" s="78">
        <v>1746</v>
      </c>
      <c r="C10" s="80" t="s">
        <v>277</v>
      </c>
      <c r="D10" s="80" t="s">
        <v>279</v>
      </c>
      <c r="E10" s="79">
        <v>44197</v>
      </c>
      <c r="F10" s="78">
        <v>60394</v>
      </c>
    </row>
    <row r="11" spans="2:10" x14ac:dyDescent="0.3">
      <c r="B11" s="78">
        <v>346</v>
      </c>
      <c r="C11" s="80" t="s">
        <v>277</v>
      </c>
      <c r="D11" s="80" t="s">
        <v>279</v>
      </c>
      <c r="E11" s="79">
        <v>44317</v>
      </c>
      <c r="F11" s="80">
        <v>166490</v>
      </c>
    </row>
    <row r="12" spans="2:10" x14ac:dyDescent="0.3">
      <c r="B12" s="78">
        <v>1727</v>
      </c>
      <c r="C12" s="80" t="s">
        <v>277</v>
      </c>
      <c r="D12" s="80" t="s">
        <v>279</v>
      </c>
      <c r="E12" s="79">
        <v>44287</v>
      </c>
      <c r="F12" s="78">
        <v>196137</v>
      </c>
    </row>
    <row r="13" spans="2:10" x14ac:dyDescent="0.3">
      <c r="B13" s="78">
        <v>405</v>
      </c>
      <c r="C13" s="80" t="s">
        <v>277</v>
      </c>
      <c r="D13" s="80" t="s">
        <v>279</v>
      </c>
      <c r="E13" s="79">
        <v>44531</v>
      </c>
      <c r="F13" s="80">
        <v>219249</v>
      </c>
    </row>
    <row r="14" spans="2:10" x14ac:dyDescent="0.3">
      <c r="B14" s="78">
        <v>3127</v>
      </c>
      <c r="C14" s="80" t="s">
        <v>277</v>
      </c>
      <c r="D14" s="80" t="s">
        <v>279</v>
      </c>
      <c r="E14" s="79">
        <v>44531</v>
      </c>
      <c r="F14" s="78">
        <v>232472</v>
      </c>
    </row>
    <row r="15" spans="2:10" x14ac:dyDescent="0.3">
      <c r="B15" s="78">
        <v>2715</v>
      </c>
      <c r="C15" s="80" t="s">
        <v>277</v>
      </c>
      <c r="D15" s="80" t="s">
        <v>275</v>
      </c>
      <c r="E15" s="79">
        <v>44501</v>
      </c>
      <c r="F15" s="78">
        <v>39271</v>
      </c>
    </row>
    <row r="16" spans="2:10" x14ac:dyDescent="0.3">
      <c r="B16" s="78">
        <v>329</v>
      </c>
      <c r="C16" s="80" t="s">
        <v>277</v>
      </c>
      <c r="D16" s="80" t="s">
        <v>275</v>
      </c>
      <c r="E16" s="79">
        <v>44440</v>
      </c>
      <c r="F16" s="80">
        <v>60921</v>
      </c>
    </row>
    <row r="17" spans="2:6" x14ac:dyDescent="0.3">
      <c r="B17" s="78">
        <v>423</v>
      </c>
      <c r="C17" s="80" t="s">
        <v>277</v>
      </c>
      <c r="D17" s="80" t="s">
        <v>275</v>
      </c>
      <c r="E17" s="79">
        <v>44409</v>
      </c>
      <c r="F17" s="80">
        <v>87532</v>
      </c>
    </row>
    <row r="18" spans="2:6" x14ac:dyDescent="0.3">
      <c r="B18" s="78">
        <v>2577</v>
      </c>
      <c r="C18" s="80" t="s">
        <v>277</v>
      </c>
      <c r="D18" s="80" t="s">
        <v>275</v>
      </c>
      <c r="E18" s="79">
        <v>44287</v>
      </c>
      <c r="F18" s="78">
        <v>89649</v>
      </c>
    </row>
    <row r="19" spans="2:6" x14ac:dyDescent="0.3">
      <c r="B19" s="78">
        <v>1783</v>
      </c>
      <c r="C19" s="80" t="s">
        <v>277</v>
      </c>
      <c r="D19" s="80" t="s">
        <v>275</v>
      </c>
      <c r="E19" s="79">
        <v>44531</v>
      </c>
      <c r="F19" s="78">
        <v>112636</v>
      </c>
    </row>
    <row r="20" spans="2:6" x14ac:dyDescent="0.3">
      <c r="B20" s="78">
        <v>3189</v>
      </c>
      <c r="C20" s="80" t="s">
        <v>277</v>
      </c>
      <c r="D20" s="80" t="s">
        <v>275</v>
      </c>
      <c r="E20" s="79">
        <v>44501</v>
      </c>
      <c r="F20" s="78">
        <v>195638</v>
      </c>
    </row>
    <row r="21" spans="2:6" x14ac:dyDescent="0.3">
      <c r="B21" s="78">
        <v>1053</v>
      </c>
      <c r="C21" s="80" t="s">
        <v>277</v>
      </c>
      <c r="D21" s="80" t="s">
        <v>275</v>
      </c>
      <c r="E21" s="79">
        <v>44501</v>
      </c>
      <c r="F21" s="78">
        <v>211082</v>
      </c>
    </row>
    <row r="22" spans="2:6" x14ac:dyDescent="0.3">
      <c r="B22" s="78">
        <v>1823</v>
      </c>
      <c r="C22" s="80" t="s">
        <v>277</v>
      </c>
      <c r="D22" s="80" t="s">
        <v>275</v>
      </c>
      <c r="E22" s="79">
        <v>44317</v>
      </c>
      <c r="F22" s="78">
        <v>223042</v>
      </c>
    </row>
    <row r="23" spans="2:6" x14ac:dyDescent="0.3">
      <c r="B23" s="78">
        <v>2466</v>
      </c>
      <c r="C23" s="80" t="s">
        <v>277</v>
      </c>
      <c r="D23" s="80" t="s">
        <v>275</v>
      </c>
      <c r="E23" s="79">
        <v>44440</v>
      </c>
      <c r="F23" s="78">
        <v>258051</v>
      </c>
    </row>
    <row r="24" spans="2:6" x14ac:dyDescent="0.3">
      <c r="B24" s="78">
        <v>1121</v>
      </c>
      <c r="C24" s="80" t="s">
        <v>277</v>
      </c>
      <c r="D24" s="80" t="s">
        <v>275</v>
      </c>
      <c r="E24" s="79">
        <v>44317</v>
      </c>
      <c r="F24" s="78">
        <v>258583</v>
      </c>
    </row>
    <row r="25" spans="2:6" x14ac:dyDescent="0.3">
      <c r="B25" s="78">
        <v>3106</v>
      </c>
      <c r="C25" s="80" t="s">
        <v>277</v>
      </c>
      <c r="D25" s="80" t="s">
        <v>271</v>
      </c>
      <c r="E25" s="79">
        <v>44501</v>
      </c>
      <c r="F25" s="78">
        <v>55433</v>
      </c>
    </row>
    <row r="26" spans="2:6" x14ac:dyDescent="0.3">
      <c r="B26" s="78">
        <v>1989</v>
      </c>
      <c r="C26" s="80" t="s">
        <v>277</v>
      </c>
      <c r="D26" s="80" t="s">
        <v>271</v>
      </c>
      <c r="E26" s="79">
        <v>44287</v>
      </c>
      <c r="F26" s="78">
        <v>61230</v>
      </c>
    </row>
    <row r="27" spans="2:6" x14ac:dyDescent="0.3">
      <c r="B27" s="78">
        <v>2001</v>
      </c>
      <c r="C27" s="80" t="s">
        <v>277</v>
      </c>
      <c r="D27" s="80" t="s">
        <v>271</v>
      </c>
      <c r="E27" s="79">
        <v>44228</v>
      </c>
      <c r="F27" s="78">
        <v>74022</v>
      </c>
    </row>
    <row r="28" spans="2:6" x14ac:dyDescent="0.3">
      <c r="B28" s="78">
        <v>688</v>
      </c>
      <c r="C28" s="80" t="s">
        <v>277</v>
      </c>
      <c r="D28" s="80" t="s">
        <v>271</v>
      </c>
      <c r="E28" s="79">
        <v>44256</v>
      </c>
      <c r="F28" s="80">
        <v>87460</v>
      </c>
    </row>
    <row r="29" spans="2:6" x14ac:dyDescent="0.3">
      <c r="B29" s="78">
        <v>2475</v>
      </c>
      <c r="C29" s="80" t="s">
        <v>277</v>
      </c>
      <c r="D29" s="80" t="s">
        <v>271</v>
      </c>
      <c r="E29" s="79">
        <v>44256</v>
      </c>
      <c r="F29" s="78">
        <v>114470</v>
      </c>
    </row>
    <row r="30" spans="2:6" x14ac:dyDescent="0.3">
      <c r="B30" s="78">
        <v>3307</v>
      </c>
      <c r="C30" s="80" t="s">
        <v>277</v>
      </c>
      <c r="D30" s="80" t="s">
        <v>271</v>
      </c>
      <c r="E30" s="79">
        <v>44348</v>
      </c>
      <c r="F30" s="78">
        <v>223894</v>
      </c>
    </row>
    <row r="31" spans="2:6" x14ac:dyDescent="0.3">
      <c r="B31" s="78">
        <v>1706</v>
      </c>
      <c r="C31" s="80" t="s">
        <v>277</v>
      </c>
      <c r="D31" s="80" t="s">
        <v>271</v>
      </c>
      <c r="E31" s="79">
        <v>44287</v>
      </c>
      <c r="F31" s="78">
        <v>247904</v>
      </c>
    </row>
    <row r="32" spans="2:6" x14ac:dyDescent="0.3">
      <c r="B32" s="78">
        <v>3224</v>
      </c>
      <c r="C32" s="80" t="s">
        <v>277</v>
      </c>
      <c r="D32" s="80" t="s">
        <v>271</v>
      </c>
      <c r="E32" s="79">
        <v>44197</v>
      </c>
      <c r="F32" s="78">
        <v>256329</v>
      </c>
    </row>
    <row r="33" spans="2:6" x14ac:dyDescent="0.3">
      <c r="B33" s="78">
        <v>686</v>
      </c>
      <c r="C33" s="80" t="s">
        <v>277</v>
      </c>
      <c r="D33" s="80" t="s">
        <v>278</v>
      </c>
      <c r="E33" s="79">
        <v>44470</v>
      </c>
      <c r="F33" s="80">
        <v>18670</v>
      </c>
    </row>
    <row r="34" spans="2:6" x14ac:dyDescent="0.3">
      <c r="B34" s="78">
        <v>3305</v>
      </c>
      <c r="C34" s="80" t="s">
        <v>277</v>
      </c>
      <c r="D34" s="80" t="s">
        <v>278</v>
      </c>
      <c r="E34" s="79">
        <v>44256</v>
      </c>
      <c r="F34" s="78">
        <v>155535</v>
      </c>
    </row>
    <row r="35" spans="2:6" x14ac:dyDescent="0.3">
      <c r="B35" s="78">
        <v>2716</v>
      </c>
      <c r="C35" s="80" t="s">
        <v>277</v>
      </c>
      <c r="D35" s="80" t="s">
        <v>278</v>
      </c>
      <c r="E35" s="79">
        <v>44440</v>
      </c>
      <c r="F35" s="78">
        <v>208038</v>
      </c>
    </row>
    <row r="36" spans="2:6" x14ac:dyDescent="0.3">
      <c r="B36" s="78">
        <v>1244</v>
      </c>
      <c r="C36" s="80" t="s">
        <v>277</v>
      </c>
      <c r="D36" s="80" t="s">
        <v>278</v>
      </c>
      <c r="E36" s="79">
        <v>44378</v>
      </c>
      <c r="F36" s="78">
        <v>219148</v>
      </c>
    </row>
    <row r="37" spans="2:6" x14ac:dyDescent="0.3">
      <c r="B37" s="78">
        <v>1788</v>
      </c>
      <c r="C37" s="80" t="s">
        <v>277</v>
      </c>
      <c r="D37" s="80" t="s">
        <v>278</v>
      </c>
      <c r="E37" s="79">
        <v>44317</v>
      </c>
      <c r="F37" s="78">
        <v>232025</v>
      </c>
    </row>
    <row r="38" spans="2:6" x14ac:dyDescent="0.3">
      <c r="B38" s="78">
        <v>451</v>
      </c>
      <c r="C38" s="80" t="s">
        <v>277</v>
      </c>
      <c r="D38" s="80" t="s">
        <v>278</v>
      </c>
      <c r="E38" s="79">
        <v>44440</v>
      </c>
      <c r="F38" s="80">
        <v>242254</v>
      </c>
    </row>
    <row r="39" spans="2:6" x14ac:dyDescent="0.3">
      <c r="B39" s="78">
        <v>1743</v>
      </c>
      <c r="C39" s="80" t="s">
        <v>277</v>
      </c>
      <c r="D39" s="80" t="s">
        <v>273</v>
      </c>
      <c r="E39" s="79">
        <v>44197</v>
      </c>
      <c r="F39" s="78">
        <v>6345</v>
      </c>
    </row>
    <row r="40" spans="2:6" x14ac:dyDescent="0.3">
      <c r="B40" s="78">
        <v>1782</v>
      </c>
      <c r="C40" s="80" t="s">
        <v>277</v>
      </c>
      <c r="D40" s="80" t="s">
        <v>273</v>
      </c>
      <c r="E40" s="79">
        <v>44256</v>
      </c>
      <c r="F40" s="78">
        <v>30219</v>
      </c>
    </row>
    <row r="41" spans="2:6" x14ac:dyDescent="0.3">
      <c r="B41" s="78">
        <v>1048</v>
      </c>
      <c r="C41" s="80" t="s">
        <v>277</v>
      </c>
      <c r="D41" s="80" t="s">
        <v>273</v>
      </c>
      <c r="E41" s="79">
        <v>44197</v>
      </c>
      <c r="F41" s="78">
        <v>41318</v>
      </c>
    </row>
    <row r="42" spans="2:6" x14ac:dyDescent="0.3">
      <c r="B42" s="78">
        <v>3122</v>
      </c>
      <c r="C42" s="80" t="s">
        <v>277</v>
      </c>
      <c r="D42" s="80" t="s">
        <v>273</v>
      </c>
      <c r="E42" s="79">
        <v>44378</v>
      </c>
      <c r="F42" s="78">
        <v>59920</v>
      </c>
    </row>
    <row r="43" spans="2:6" x14ac:dyDescent="0.3">
      <c r="B43" s="78">
        <v>3379</v>
      </c>
      <c r="C43" s="80" t="s">
        <v>277</v>
      </c>
      <c r="D43" s="80" t="s">
        <v>273</v>
      </c>
      <c r="E43" s="79">
        <v>44440</v>
      </c>
      <c r="F43" s="78">
        <v>74093</v>
      </c>
    </row>
    <row r="44" spans="2:6" x14ac:dyDescent="0.3">
      <c r="B44" s="78">
        <v>1024</v>
      </c>
      <c r="C44" s="80" t="s">
        <v>277</v>
      </c>
      <c r="D44" s="80" t="s">
        <v>273</v>
      </c>
      <c r="E44" s="79">
        <v>44409</v>
      </c>
      <c r="F44" s="78">
        <v>124717</v>
      </c>
    </row>
    <row r="45" spans="2:6" x14ac:dyDescent="0.3">
      <c r="B45" s="78">
        <v>568</v>
      </c>
      <c r="C45" s="80" t="s">
        <v>277</v>
      </c>
      <c r="D45" s="80" t="s">
        <v>273</v>
      </c>
      <c r="E45" s="79">
        <v>44531</v>
      </c>
      <c r="F45" s="80">
        <v>142874</v>
      </c>
    </row>
    <row r="46" spans="2:6" x14ac:dyDescent="0.3">
      <c r="B46" s="78">
        <v>1022</v>
      </c>
      <c r="C46" s="80" t="s">
        <v>277</v>
      </c>
      <c r="D46" s="80" t="s">
        <v>273</v>
      </c>
      <c r="E46" s="79">
        <v>44378</v>
      </c>
      <c r="F46" s="78">
        <v>152936</v>
      </c>
    </row>
    <row r="47" spans="2:6" x14ac:dyDescent="0.3">
      <c r="B47" s="78">
        <v>2100</v>
      </c>
      <c r="C47" s="80" t="s">
        <v>277</v>
      </c>
      <c r="D47" s="80" t="s">
        <v>273</v>
      </c>
      <c r="E47" s="79">
        <v>44287</v>
      </c>
      <c r="F47" s="78">
        <v>189847</v>
      </c>
    </row>
    <row r="48" spans="2:6" x14ac:dyDescent="0.3">
      <c r="B48" s="78">
        <v>3265</v>
      </c>
      <c r="C48" s="80" t="s">
        <v>277</v>
      </c>
      <c r="D48" s="80" t="s">
        <v>273</v>
      </c>
      <c r="E48" s="79">
        <v>44228</v>
      </c>
      <c r="F48" s="78">
        <v>192728</v>
      </c>
    </row>
    <row r="49" spans="2:6" x14ac:dyDescent="0.3">
      <c r="B49" s="78">
        <v>1722</v>
      </c>
      <c r="C49" s="80" t="s">
        <v>277</v>
      </c>
      <c r="D49" s="80" t="s">
        <v>273</v>
      </c>
      <c r="E49" s="79">
        <v>44287</v>
      </c>
      <c r="F49" s="78">
        <v>201120</v>
      </c>
    </row>
    <row r="50" spans="2:6" x14ac:dyDescent="0.3">
      <c r="B50" s="78">
        <v>3469</v>
      </c>
      <c r="C50" s="80" t="s">
        <v>277</v>
      </c>
      <c r="D50" s="80" t="s">
        <v>273</v>
      </c>
      <c r="E50" s="79">
        <v>44378</v>
      </c>
      <c r="F50" s="78">
        <v>252080</v>
      </c>
    </row>
    <row r="51" spans="2:6" x14ac:dyDescent="0.3">
      <c r="B51" s="78">
        <v>1809</v>
      </c>
      <c r="C51" s="80" t="s">
        <v>272</v>
      </c>
      <c r="D51" s="80" t="s">
        <v>279</v>
      </c>
      <c r="E51" s="79">
        <v>44378</v>
      </c>
      <c r="F51" s="78">
        <v>23560</v>
      </c>
    </row>
    <row r="52" spans="2:6" x14ac:dyDescent="0.3">
      <c r="B52" s="78">
        <v>3423</v>
      </c>
      <c r="C52" s="80" t="s">
        <v>272</v>
      </c>
      <c r="D52" s="80" t="s">
        <v>279</v>
      </c>
      <c r="E52" s="79">
        <v>44348</v>
      </c>
      <c r="F52" s="78">
        <v>34080</v>
      </c>
    </row>
    <row r="53" spans="2:6" x14ac:dyDescent="0.3">
      <c r="B53" s="78">
        <v>3145</v>
      </c>
      <c r="C53" s="80" t="s">
        <v>272</v>
      </c>
      <c r="D53" s="80" t="s">
        <v>279</v>
      </c>
      <c r="E53" s="79">
        <v>44197</v>
      </c>
      <c r="F53" s="78">
        <v>40778</v>
      </c>
    </row>
    <row r="54" spans="2:6" x14ac:dyDescent="0.3">
      <c r="B54" s="78">
        <v>1045</v>
      </c>
      <c r="C54" s="80" t="s">
        <v>272</v>
      </c>
      <c r="D54" s="80" t="s">
        <v>279</v>
      </c>
      <c r="E54" s="79">
        <v>44409</v>
      </c>
      <c r="F54" s="78">
        <v>99343</v>
      </c>
    </row>
    <row r="55" spans="2:6" x14ac:dyDescent="0.3">
      <c r="B55" s="78">
        <v>3108</v>
      </c>
      <c r="C55" s="80" t="s">
        <v>272</v>
      </c>
      <c r="D55" s="80" t="s">
        <v>279</v>
      </c>
      <c r="E55" s="79">
        <v>44378</v>
      </c>
      <c r="F55" s="78">
        <v>104422</v>
      </c>
    </row>
    <row r="56" spans="2:6" x14ac:dyDescent="0.3">
      <c r="B56" s="78">
        <v>3295</v>
      </c>
      <c r="C56" s="80" t="s">
        <v>272</v>
      </c>
      <c r="D56" s="80" t="s">
        <v>279</v>
      </c>
      <c r="E56" s="79">
        <v>44501</v>
      </c>
      <c r="F56" s="78">
        <v>161110</v>
      </c>
    </row>
    <row r="57" spans="2:6" x14ac:dyDescent="0.3">
      <c r="B57" s="78">
        <v>2670</v>
      </c>
      <c r="C57" s="80" t="s">
        <v>272</v>
      </c>
      <c r="D57" s="80" t="s">
        <v>275</v>
      </c>
      <c r="E57" s="79">
        <v>44531</v>
      </c>
      <c r="F57" s="78">
        <v>12709</v>
      </c>
    </row>
    <row r="58" spans="2:6" x14ac:dyDescent="0.3">
      <c r="B58" s="78">
        <v>1332</v>
      </c>
      <c r="C58" s="80" t="s">
        <v>272</v>
      </c>
      <c r="D58" s="80" t="s">
        <v>275</v>
      </c>
      <c r="E58" s="79">
        <v>44378</v>
      </c>
      <c r="F58" s="78">
        <v>26819</v>
      </c>
    </row>
    <row r="59" spans="2:6" x14ac:dyDescent="0.3">
      <c r="B59" s="78">
        <v>2580</v>
      </c>
      <c r="C59" s="80" t="s">
        <v>272</v>
      </c>
      <c r="D59" s="80" t="s">
        <v>275</v>
      </c>
      <c r="E59" s="79">
        <v>44287</v>
      </c>
      <c r="F59" s="78">
        <v>42319</v>
      </c>
    </row>
    <row r="60" spans="2:6" x14ac:dyDescent="0.3">
      <c r="B60" s="78">
        <v>1377</v>
      </c>
      <c r="C60" s="80" t="s">
        <v>272</v>
      </c>
      <c r="D60" s="80" t="s">
        <v>275</v>
      </c>
      <c r="E60" s="79">
        <v>44317</v>
      </c>
      <c r="F60" s="78">
        <v>57755</v>
      </c>
    </row>
    <row r="61" spans="2:6" x14ac:dyDescent="0.3">
      <c r="B61" s="78">
        <v>2439</v>
      </c>
      <c r="C61" s="80" t="s">
        <v>272</v>
      </c>
      <c r="D61" s="80" t="s">
        <v>275</v>
      </c>
      <c r="E61" s="79">
        <v>44531</v>
      </c>
      <c r="F61" s="78">
        <v>71529</v>
      </c>
    </row>
    <row r="62" spans="2:6" x14ac:dyDescent="0.3">
      <c r="B62" s="78">
        <v>1210</v>
      </c>
      <c r="C62" s="80" t="s">
        <v>272</v>
      </c>
      <c r="D62" s="80" t="s">
        <v>275</v>
      </c>
      <c r="E62" s="79">
        <v>44409</v>
      </c>
      <c r="F62" s="78">
        <v>109849</v>
      </c>
    </row>
    <row r="63" spans="2:6" x14ac:dyDescent="0.3">
      <c r="B63" s="78">
        <v>2044</v>
      </c>
      <c r="C63" s="80" t="s">
        <v>272</v>
      </c>
      <c r="D63" s="80" t="s">
        <v>275</v>
      </c>
      <c r="E63" s="79">
        <v>44317</v>
      </c>
      <c r="F63" s="78">
        <v>164464</v>
      </c>
    </row>
    <row r="64" spans="2:6" x14ac:dyDescent="0.3">
      <c r="B64" s="78">
        <v>342</v>
      </c>
      <c r="C64" s="80" t="s">
        <v>272</v>
      </c>
      <c r="D64" s="80" t="s">
        <v>275</v>
      </c>
      <c r="E64" s="79">
        <v>44197</v>
      </c>
      <c r="F64" s="80">
        <v>180969</v>
      </c>
    </row>
    <row r="65" spans="2:6" x14ac:dyDescent="0.3">
      <c r="B65" s="78">
        <v>2744</v>
      </c>
      <c r="C65" s="80" t="s">
        <v>272</v>
      </c>
      <c r="D65" s="80" t="s">
        <v>275</v>
      </c>
      <c r="E65" s="79">
        <v>44531</v>
      </c>
      <c r="F65" s="78">
        <v>210352</v>
      </c>
    </row>
    <row r="66" spans="2:6" x14ac:dyDescent="0.3">
      <c r="B66" s="78">
        <v>2739</v>
      </c>
      <c r="C66" s="80" t="s">
        <v>272</v>
      </c>
      <c r="D66" s="80" t="s">
        <v>275</v>
      </c>
      <c r="E66" s="79">
        <v>44470</v>
      </c>
      <c r="F66" s="78">
        <v>236531</v>
      </c>
    </row>
    <row r="67" spans="2:6" x14ac:dyDescent="0.3">
      <c r="B67" s="78">
        <v>3498</v>
      </c>
      <c r="C67" s="80" t="s">
        <v>272</v>
      </c>
      <c r="D67" s="80" t="s">
        <v>271</v>
      </c>
      <c r="E67" s="79">
        <v>44409</v>
      </c>
      <c r="F67" s="78">
        <v>7269</v>
      </c>
    </row>
    <row r="68" spans="2:6" x14ac:dyDescent="0.3">
      <c r="B68" s="78">
        <v>1398</v>
      </c>
      <c r="C68" s="80" t="s">
        <v>272</v>
      </c>
      <c r="D68" s="80" t="s">
        <v>271</v>
      </c>
      <c r="E68" s="79">
        <v>44409</v>
      </c>
      <c r="F68" s="78">
        <v>19002</v>
      </c>
    </row>
    <row r="69" spans="2:6" x14ac:dyDescent="0.3">
      <c r="B69" s="78">
        <v>2423</v>
      </c>
      <c r="C69" s="80" t="s">
        <v>272</v>
      </c>
      <c r="D69" s="80" t="s">
        <v>271</v>
      </c>
      <c r="E69" s="79">
        <v>44409</v>
      </c>
      <c r="F69" s="78">
        <v>23010</v>
      </c>
    </row>
    <row r="70" spans="2:6" x14ac:dyDescent="0.3">
      <c r="B70" s="78">
        <v>1329</v>
      </c>
      <c r="C70" s="80" t="s">
        <v>272</v>
      </c>
      <c r="D70" s="80" t="s">
        <v>271</v>
      </c>
      <c r="E70" s="79">
        <v>44378</v>
      </c>
      <c r="F70" s="78">
        <v>36547</v>
      </c>
    </row>
    <row r="71" spans="2:6" x14ac:dyDescent="0.3">
      <c r="B71" s="78">
        <v>2009</v>
      </c>
      <c r="C71" s="80" t="s">
        <v>272</v>
      </c>
      <c r="D71" s="80" t="s">
        <v>271</v>
      </c>
      <c r="E71" s="79">
        <v>44317</v>
      </c>
      <c r="F71" s="78">
        <v>124153</v>
      </c>
    </row>
    <row r="72" spans="2:6" x14ac:dyDescent="0.3">
      <c r="B72" s="78">
        <v>1107</v>
      </c>
      <c r="C72" s="80" t="s">
        <v>272</v>
      </c>
      <c r="D72" s="80" t="s">
        <v>271</v>
      </c>
      <c r="E72" s="79">
        <v>44256</v>
      </c>
      <c r="F72" s="78">
        <v>126174</v>
      </c>
    </row>
    <row r="73" spans="2:6" x14ac:dyDescent="0.3">
      <c r="B73" s="78">
        <v>1353</v>
      </c>
      <c r="C73" s="80" t="s">
        <v>272</v>
      </c>
      <c r="D73" s="80" t="s">
        <v>271</v>
      </c>
      <c r="E73" s="79">
        <v>44440</v>
      </c>
      <c r="F73" s="78">
        <v>220591</v>
      </c>
    </row>
    <row r="74" spans="2:6" x14ac:dyDescent="0.3">
      <c r="B74" s="78">
        <v>2621</v>
      </c>
      <c r="C74" s="80" t="s">
        <v>272</v>
      </c>
      <c r="D74" s="80" t="s">
        <v>278</v>
      </c>
      <c r="E74" s="79">
        <v>44317</v>
      </c>
      <c r="F74" s="78">
        <v>1696</v>
      </c>
    </row>
    <row r="75" spans="2:6" x14ac:dyDescent="0.3">
      <c r="B75" s="78">
        <v>1307</v>
      </c>
      <c r="C75" s="80" t="s">
        <v>272</v>
      </c>
      <c r="D75" s="80" t="s">
        <v>278</v>
      </c>
      <c r="E75" s="79">
        <v>44228</v>
      </c>
      <c r="F75" s="78">
        <v>13845</v>
      </c>
    </row>
    <row r="76" spans="2:6" x14ac:dyDescent="0.3">
      <c r="B76" s="78">
        <v>2654</v>
      </c>
      <c r="C76" s="80" t="s">
        <v>272</v>
      </c>
      <c r="D76" s="80" t="s">
        <v>278</v>
      </c>
      <c r="E76" s="79">
        <v>44228</v>
      </c>
      <c r="F76" s="78">
        <v>27849</v>
      </c>
    </row>
    <row r="77" spans="2:6" x14ac:dyDescent="0.3">
      <c r="B77" s="78">
        <v>3399</v>
      </c>
      <c r="C77" s="80" t="s">
        <v>272</v>
      </c>
      <c r="D77" s="80" t="s">
        <v>278</v>
      </c>
      <c r="E77" s="79">
        <v>44409</v>
      </c>
      <c r="F77" s="78">
        <v>75634</v>
      </c>
    </row>
    <row r="78" spans="2:6" x14ac:dyDescent="0.3">
      <c r="B78" s="78">
        <v>636</v>
      </c>
      <c r="C78" s="80" t="s">
        <v>272</v>
      </c>
      <c r="D78" s="80" t="s">
        <v>278</v>
      </c>
      <c r="E78" s="79">
        <v>44409</v>
      </c>
      <c r="F78" s="80">
        <v>86220</v>
      </c>
    </row>
    <row r="79" spans="2:6" x14ac:dyDescent="0.3">
      <c r="B79" s="78">
        <v>1256</v>
      </c>
      <c r="C79" s="80" t="s">
        <v>272</v>
      </c>
      <c r="D79" s="80" t="s">
        <v>278</v>
      </c>
      <c r="E79" s="79">
        <v>44348</v>
      </c>
      <c r="F79" s="78">
        <v>91931</v>
      </c>
    </row>
    <row r="80" spans="2:6" x14ac:dyDescent="0.3">
      <c r="B80" s="78">
        <v>2455</v>
      </c>
      <c r="C80" s="80" t="s">
        <v>272</v>
      </c>
      <c r="D80" s="80" t="s">
        <v>278</v>
      </c>
      <c r="E80" s="79">
        <v>44228</v>
      </c>
      <c r="F80" s="78">
        <v>157993</v>
      </c>
    </row>
    <row r="81" spans="2:6" x14ac:dyDescent="0.3">
      <c r="B81" s="78">
        <v>659</v>
      </c>
      <c r="C81" s="80" t="s">
        <v>272</v>
      </c>
      <c r="D81" s="80" t="s">
        <v>278</v>
      </c>
      <c r="E81" s="79">
        <v>44287</v>
      </c>
      <c r="F81" s="80">
        <v>173199</v>
      </c>
    </row>
    <row r="82" spans="2:6" x14ac:dyDescent="0.3">
      <c r="B82" s="78">
        <v>3138</v>
      </c>
      <c r="C82" s="80" t="s">
        <v>272</v>
      </c>
      <c r="D82" s="80" t="s">
        <v>273</v>
      </c>
      <c r="E82" s="79">
        <v>44501</v>
      </c>
      <c r="F82" s="78">
        <v>28110</v>
      </c>
    </row>
    <row r="83" spans="2:6" x14ac:dyDescent="0.3">
      <c r="B83" s="78">
        <v>3443</v>
      </c>
      <c r="C83" s="80" t="s">
        <v>272</v>
      </c>
      <c r="D83" s="80" t="s">
        <v>273</v>
      </c>
      <c r="E83" s="79">
        <v>44256</v>
      </c>
      <c r="F83" s="78">
        <v>75969</v>
      </c>
    </row>
    <row r="84" spans="2:6" x14ac:dyDescent="0.3">
      <c r="B84" s="78">
        <v>1037</v>
      </c>
      <c r="C84" s="80" t="s">
        <v>272</v>
      </c>
      <c r="D84" s="80" t="s">
        <v>273</v>
      </c>
      <c r="E84" s="79">
        <v>44531</v>
      </c>
      <c r="F84" s="78">
        <v>198140</v>
      </c>
    </row>
    <row r="85" spans="2:6" x14ac:dyDescent="0.3">
      <c r="B85" s="78">
        <v>952</v>
      </c>
      <c r="C85" s="80" t="s">
        <v>280</v>
      </c>
      <c r="D85" s="80" t="s">
        <v>279</v>
      </c>
      <c r="E85" s="79">
        <v>44378</v>
      </c>
      <c r="F85" s="78">
        <v>7819</v>
      </c>
    </row>
    <row r="86" spans="2:6" x14ac:dyDescent="0.3">
      <c r="B86" s="78">
        <v>949</v>
      </c>
      <c r="C86" s="80" t="s">
        <v>280</v>
      </c>
      <c r="D86" s="80" t="s">
        <v>279</v>
      </c>
      <c r="E86" s="79">
        <v>44531</v>
      </c>
      <c r="F86" s="78">
        <v>8406</v>
      </c>
    </row>
    <row r="87" spans="2:6" x14ac:dyDescent="0.3">
      <c r="B87" s="78">
        <v>2352</v>
      </c>
      <c r="C87" s="80" t="s">
        <v>280</v>
      </c>
      <c r="D87" s="80" t="s">
        <v>279</v>
      </c>
      <c r="E87" s="79">
        <v>44348</v>
      </c>
      <c r="F87" s="78">
        <v>17150</v>
      </c>
    </row>
    <row r="88" spans="2:6" x14ac:dyDescent="0.3">
      <c r="B88" s="78">
        <v>1505</v>
      </c>
      <c r="C88" s="80" t="s">
        <v>280</v>
      </c>
      <c r="D88" s="80" t="s">
        <v>279</v>
      </c>
      <c r="E88" s="79">
        <v>44470</v>
      </c>
      <c r="F88" s="78">
        <v>24838</v>
      </c>
    </row>
    <row r="89" spans="2:6" x14ac:dyDescent="0.3">
      <c r="B89" s="78">
        <v>950</v>
      </c>
      <c r="C89" s="80" t="s">
        <v>280</v>
      </c>
      <c r="D89" s="80" t="s">
        <v>279</v>
      </c>
      <c r="E89" s="79">
        <v>44348</v>
      </c>
      <c r="F89" s="78">
        <v>27137</v>
      </c>
    </row>
    <row r="90" spans="2:6" x14ac:dyDescent="0.3">
      <c r="B90" s="78">
        <v>825</v>
      </c>
      <c r="C90" s="80" t="s">
        <v>280</v>
      </c>
      <c r="D90" s="80" t="s">
        <v>279</v>
      </c>
      <c r="E90" s="79">
        <v>44348</v>
      </c>
      <c r="F90" s="78">
        <v>32352</v>
      </c>
    </row>
    <row r="91" spans="2:6" x14ac:dyDescent="0.3">
      <c r="B91" s="78">
        <v>88</v>
      </c>
      <c r="C91" s="80" t="s">
        <v>280</v>
      </c>
      <c r="D91" s="80" t="s">
        <v>279</v>
      </c>
      <c r="E91" s="79">
        <v>44197</v>
      </c>
      <c r="F91" s="80">
        <v>36125</v>
      </c>
    </row>
    <row r="92" spans="2:6" x14ac:dyDescent="0.3">
      <c r="B92" s="78">
        <v>3050</v>
      </c>
      <c r="C92" s="80" t="s">
        <v>280</v>
      </c>
      <c r="D92" s="80" t="s">
        <v>279</v>
      </c>
      <c r="E92" s="79">
        <v>44256</v>
      </c>
      <c r="F92" s="78">
        <v>51626</v>
      </c>
    </row>
    <row r="93" spans="2:6" x14ac:dyDescent="0.3">
      <c r="B93" s="78">
        <v>3080</v>
      </c>
      <c r="C93" s="80" t="s">
        <v>280</v>
      </c>
      <c r="D93" s="80" t="s">
        <v>279</v>
      </c>
      <c r="E93" s="79">
        <v>44440</v>
      </c>
      <c r="F93" s="78">
        <v>55991</v>
      </c>
    </row>
    <row r="94" spans="2:6" x14ac:dyDescent="0.3">
      <c r="B94" s="78">
        <v>819</v>
      </c>
      <c r="C94" s="80" t="s">
        <v>280</v>
      </c>
      <c r="D94" s="80" t="s">
        <v>279</v>
      </c>
      <c r="E94" s="79">
        <v>44317</v>
      </c>
      <c r="F94" s="78">
        <v>59423</v>
      </c>
    </row>
    <row r="95" spans="2:6" x14ac:dyDescent="0.3">
      <c r="B95" s="78">
        <v>2839</v>
      </c>
      <c r="C95" s="80" t="s">
        <v>280</v>
      </c>
      <c r="D95" s="80" t="s">
        <v>279</v>
      </c>
      <c r="E95" s="79">
        <v>44501</v>
      </c>
      <c r="F95" s="78">
        <v>63494</v>
      </c>
    </row>
    <row r="96" spans="2:6" x14ac:dyDescent="0.3">
      <c r="B96" s="78">
        <v>1653</v>
      </c>
      <c r="C96" s="80" t="s">
        <v>280</v>
      </c>
      <c r="D96" s="80" t="s">
        <v>279</v>
      </c>
      <c r="E96" s="79">
        <v>44378</v>
      </c>
      <c r="F96" s="78">
        <v>64755</v>
      </c>
    </row>
    <row r="97" spans="2:6" x14ac:dyDescent="0.3">
      <c r="B97" s="78">
        <v>739</v>
      </c>
      <c r="C97" s="80" t="s">
        <v>280</v>
      </c>
      <c r="D97" s="80" t="s">
        <v>279</v>
      </c>
      <c r="E97" s="79">
        <v>44501</v>
      </c>
      <c r="F97" s="78">
        <v>86186</v>
      </c>
    </row>
    <row r="98" spans="2:6" x14ac:dyDescent="0.3">
      <c r="B98" s="78">
        <v>1525</v>
      </c>
      <c r="C98" s="80" t="s">
        <v>280</v>
      </c>
      <c r="D98" s="80" t="s">
        <v>279</v>
      </c>
      <c r="E98" s="79">
        <v>44228</v>
      </c>
      <c r="F98" s="78">
        <v>105602</v>
      </c>
    </row>
    <row r="99" spans="2:6" x14ac:dyDescent="0.3">
      <c r="B99" s="78">
        <v>805</v>
      </c>
      <c r="C99" s="80" t="s">
        <v>280</v>
      </c>
      <c r="D99" s="80" t="s">
        <v>279</v>
      </c>
      <c r="E99" s="79">
        <v>44228</v>
      </c>
      <c r="F99" s="78">
        <v>134977</v>
      </c>
    </row>
    <row r="100" spans="2:6" x14ac:dyDescent="0.3">
      <c r="B100" s="78">
        <v>1415</v>
      </c>
      <c r="C100" s="80" t="s">
        <v>280</v>
      </c>
      <c r="D100" s="80" t="s">
        <v>279</v>
      </c>
      <c r="E100" s="79">
        <v>44531</v>
      </c>
      <c r="F100" s="78">
        <v>135311</v>
      </c>
    </row>
    <row r="101" spans="2:6" x14ac:dyDescent="0.3">
      <c r="B101" s="78">
        <v>1675</v>
      </c>
      <c r="C101" s="80" t="s">
        <v>280</v>
      </c>
      <c r="D101" s="80" t="s">
        <v>279</v>
      </c>
      <c r="E101" s="79">
        <v>44287</v>
      </c>
      <c r="F101" s="78">
        <v>137705</v>
      </c>
    </row>
    <row r="102" spans="2:6" x14ac:dyDescent="0.3">
      <c r="B102" s="78">
        <v>1488</v>
      </c>
      <c r="C102" s="80" t="s">
        <v>280</v>
      </c>
      <c r="D102" s="80" t="s">
        <v>279</v>
      </c>
      <c r="E102" s="79">
        <v>44228</v>
      </c>
      <c r="F102" s="78">
        <v>155266</v>
      </c>
    </row>
    <row r="103" spans="2:6" x14ac:dyDescent="0.3">
      <c r="B103" s="78">
        <v>2925</v>
      </c>
      <c r="C103" s="80" t="s">
        <v>280</v>
      </c>
      <c r="D103" s="80" t="s">
        <v>279</v>
      </c>
      <c r="E103" s="79">
        <v>44378</v>
      </c>
      <c r="F103" s="78">
        <v>159745</v>
      </c>
    </row>
    <row r="104" spans="2:6" x14ac:dyDescent="0.3">
      <c r="B104" s="78">
        <v>1624</v>
      </c>
      <c r="C104" s="80" t="s">
        <v>280</v>
      </c>
      <c r="D104" s="80" t="s">
        <v>279</v>
      </c>
      <c r="E104" s="79">
        <v>44317</v>
      </c>
      <c r="F104" s="78">
        <v>166824</v>
      </c>
    </row>
    <row r="105" spans="2:6" x14ac:dyDescent="0.3">
      <c r="B105" s="78">
        <v>280</v>
      </c>
      <c r="C105" s="80" t="s">
        <v>280</v>
      </c>
      <c r="D105" s="80" t="s">
        <v>279</v>
      </c>
      <c r="E105" s="79">
        <v>44228</v>
      </c>
      <c r="F105" s="80">
        <v>180474</v>
      </c>
    </row>
    <row r="106" spans="2:6" x14ac:dyDescent="0.3">
      <c r="B106" s="78">
        <v>3027</v>
      </c>
      <c r="C106" s="80" t="s">
        <v>280</v>
      </c>
      <c r="D106" s="80" t="s">
        <v>279</v>
      </c>
      <c r="E106" s="79">
        <v>44348</v>
      </c>
      <c r="F106" s="78">
        <v>213069</v>
      </c>
    </row>
    <row r="107" spans="2:6" x14ac:dyDescent="0.3">
      <c r="B107" s="78">
        <v>1615</v>
      </c>
      <c r="C107" s="80" t="s">
        <v>280</v>
      </c>
      <c r="D107" s="80" t="s">
        <v>279</v>
      </c>
      <c r="E107" s="79">
        <v>44409</v>
      </c>
      <c r="F107" s="78">
        <v>217962</v>
      </c>
    </row>
    <row r="108" spans="2:6" x14ac:dyDescent="0.3">
      <c r="B108" s="78">
        <v>870</v>
      </c>
      <c r="C108" s="80" t="s">
        <v>280</v>
      </c>
      <c r="D108" s="80" t="s">
        <v>279</v>
      </c>
      <c r="E108" s="79">
        <v>44501</v>
      </c>
      <c r="F108" s="78">
        <v>222162</v>
      </c>
    </row>
    <row r="109" spans="2:6" x14ac:dyDescent="0.3">
      <c r="B109" s="78">
        <v>2136</v>
      </c>
      <c r="C109" s="80" t="s">
        <v>280</v>
      </c>
      <c r="D109" s="80" t="s">
        <v>279</v>
      </c>
      <c r="E109" s="79">
        <v>44317</v>
      </c>
      <c r="F109" s="78">
        <v>240648</v>
      </c>
    </row>
    <row r="110" spans="2:6" x14ac:dyDescent="0.3">
      <c r="B110" s="78">
        <v>2916</v>
      </c>
      <c r="C110" s="80" t="s">
        <v>280</v>
      </c>
      <c r="D110" s="80" t="s">
        <v>279</v>
      </c>
      <c r="E110" s="79">
        <v>44287</v>
      </c>
      <c r="F110" s="78">
        <v>244904</v>
      </c>
    </row>
    <row r="111" spans="2:6" x14ac:dyDescent="0.3">
      <c r="B111" s="78">
        <v>864</v>
      </c>
      <c r="C111" s="80" t="s">
        <v>280</v>
      </c>
      <c r="D111" s="80" t="s">
        <v>275</v>
      </c>
      <c r="E111" s="79">
        <v>44348</v>
      </c>
      <c r="F111" s="78">
        <v>7110</v>
      </c>
    </row>
    <row r="112" spans="2:6" x14ac:dyDescent="0.3">
      <c r="B112" s="78">
        <v>3036</v>
      </c>
      <c r="C112" s="80" t="s">
        <v>280</v>
      </c>
      <c r="D112" s="80" t="s">
        <v>275</v>
      </c>
      <c r="E112" s="79">
        <v>44348</v>
      </c>
      <c r="F112" s="78">
        <v>7190</v>
      </c>
    </row>
    <row r="113" spans="2:6" x14ac:dyDescent="0.3">
      <c r="B113" s="78">
        <v>2972</v>
      </c>
      <c r="C113" s="80" t="s">
        <v>280</v>
      </c>
      <c r="D113" s="80" t="s">
        <v>275</v>
      </c>
      <c r="E113" s="79">
        <v>44409</v>
      </c>
      <c r="F113" s="78">
        <v>7382</v>
      </c>
    </row>
    <row r="114" spans="2:6" x14ac:dyDescent="0.3">
      <c r="B114" s="78">
        <v>1446</v>
      </c>
      <c r="C114" s="80" t="s">
        <v>280</v>
      </c>
      <c r="D114" s="80" t="s">
        <v>275</v>
      </c>
      <c r="E114" s="79">
        <v>44531</v>
      </c>
      <c r="F114" s="78">
        <v>9682</v>
      </c>
    </row>
    <row r="115" spans="2:6" x14ac:dyDescent="0.3">
      <c r="B115" s="78">
        <v>2897</v>
      </c>
      <c r="C115" s="80" t="s">
        <v>280</v>
      </c>
      <c r="D115" s="80" t="s">
        <v>275</v>
      </c>
      <c r="E115" s="79">
        <v>44409</v>
      </c>
      <c r="F115" s="78">
        <v>23250</v>
      </c>
    </row>
    <row r="116" spans="2:6" x14ac:dyDescent="0.3">
      <c r="B116" s="78">
        <v>33</v>
      </c>
      <c r="C116" s="80" t="s">
        <v>280</v>
      </c>
      <c r="D116" s="80" t="s">
        <v>275</v>
      </c>
      <c r="E116" s="79">
        <v>44256</v>
      </c>
      <c r="F116" s="80">
        <v>25467</v>
      </c>
    </row>
    <row r="117" spans="2:6" x14ac:dyDescent="0.3">
      <c r="B117" s="78">
        <v>3094</v>
      </c>
      <c r="C117" s="80" t="s">
        <v>280</v>
      </c>
      <c r="D117" s="80" t="s">
        <v>275</v>
      </c>
      <c r="E117" s="79">
        <v>44197</v>
      </c>
      <c r="F117" s="78">
        <v>28289</v>
      </c>
    </row>
    <row r="118" spans="2:6" x14ac:dyDescent="0.3">
      <c r="B118" s="78">
        <v>1636</v>
      </c>
      <c r="C118" s="80" t="s">
        <v>280</v>
      </c>
      <c r="D118" s="80" t="s">
        <v>275</v>
      </c>
      <c r="E118" s="79">
        <v>44287</v>
      </c>
      <c r="F118" s="78">
        <v>35096</v>
      </c>
    </row>
    <row r="119" spans="2:6" x14ac:dyDescent="0.3">
      <c r="B119" s="78">
        <v>1572</v>
      </c>
      <c r="C119" s="80" t="s">
        <v>280</v>
      </c>
      <c r="D119" s="80" t="s">
        <v>275</v>
      </c>
      <c r="E119" s="79">
        <v>44378</v>
      </c>
      <c r="F119" s="78">
        <v>44394</v>
      </c>
    </row>
    <row r="120" spans="2:6" x14ac:dyDescent="0.3">
      <c r="B120" s="78">
        <v>706</v>
      </c>
      <c r="C120" s="80" t="s">
        <v>280</v>
      </c>
      <c r="D120" s="80" t="s">
        <v>275</v>
      </c>
      <c r="E120" s="79">
        <v>44197</v>
      </c>
      <c r="F120" s="78">
        <v>48442</v>
      </c>
    </row>
    <row r="121" spans="2:6" x14ac:dyDescent="0.3">
      <c r="B121" s="78">
        <v>2214</v>
      </c>
      <c r="C121" s="80" t="s">
        <v>280</v>
      </c>
      <c r="D121" s="80" t="s">
        <v>275</v>
      </c>
      <c r="E121" s="79">
        <v>44228</v>
      </c>
      <c r="F121" s="78">
        <v>86142</v>
      </c>
    </row>
    <row r="122" spans="2:6" x14ac:dyDescent="0.3">
      <c r="B122" s="78">
        <v>2896</v>
      </c>
      <c r="C122" s="80" t="s">
        <v>280</v>
      </c>
      <c r="D122" s="80" t="s">
        <v>275</v>
      </c>
      <c r="E122" s="79">
        <v>44378</v>
      </c>
      <c r="F122" s="78">
        <v>89802</v>
      </c>
    </row>
    <row r="123" spans="2:6" x14ac:dyDescent="0.3">
      <c r="B123" s="78">
        <v>803</v>
      </c>
      <c r="C123" s="80" t="s">
        <v>280</v>
      </c>
      <c r="D123" s="80" t="s">
        <v>275</v>
      </c>
      <c r="E123" s="79">
        <v>44378</v>
      </c>
      <c r="F123" s="78">
        <v>96209</v>
      </c>
    </row>
    <row r="124" spans="2:6" x14ac:dyDescent="0.3">
      <c r="B124" s="78">
        <v>1429</v>
      </c>
      <c r="C124" s="80" t="s">
        <v>280</v>
      </c>
      <c r="D124" s="80" t="s">
        <v>275</v>
      </c>
      <c r="E124" s="79">
        <v>44348</v>
      </c>
      <c r="F124" s="78">
        <v>115261</v>
      </c>
    </row>
    <row r="125" spans="2:6" x14ac:dyDescent="0.3">
      <c r="B125" s="78">
        <v>3085</v>
      </c>
      <c r="C125" s="80" t="s">
        <v>280</v>
      </c>
      <c r="D125" s="80" t="s">
        <v>275</v>
      </c>
      <c r="E125" s="79">
        <v>44228</v>
      </c>
      <c r="F125" s="78">
        <v>134107</v>
      </c>
    </row>
    <row r="126" spans="2:6" x14ac:dyDescent="0.3">
      <c r="B126" s="78">
        <v>46</v>
      </c>
      <c r="C126" s="80" t="s">
        <v>280</v>
      </c>
      <c r="D126" s="80" t="s">
        <v>275</v>
      </c>
      <c r="E126" s="79">
        <v>44440</v>
      </c>
      <c r="F126" s="80">
        <v>135801</v>
      </c>
    </row>
    <row r="127" spans="2:6" x14ac:dyDescent="0.3">
      <c r="B127" s="78">
        <v>796</v>
      </c>
      <c r="C127" s="80" t="s">
        <v>280</v>
      </c>
      <c r="D127" s="80" t="s">
        <v>275</v>
      </c>
      <c r="E127" s="79">
        <v>44348</v>
      </c>
      <c r="F127" s="78">
        <v>137843</v>
      </c>
    </row>
    <row r="128" spans="2:6" x14ac:dyDescent="0.3">
      <c r="B128" s="78">
        <v>1537</v>
      </c>
      <c r="C128" s="80" t="s">
        <v>280</v>
      </c>
      <c r="D128" s="80" t="s">
        <v>275</v>
      </c>
      <c r="E128" s="79">
        <v>44197</v>
      </c>
      <c r="F128" s="78">
        <v>142596</v>
      </c>
    </row>
    <row r="129" spans="2:6" x14ac:dyDescent="0.3">
      <c r="B129" s="78">
        <v>733</v>
      </c>
      <c r="C129" s="80" t="s">
        <v>280</v>
      </c>
      <c r="D129" s="80" t="s">
        <v>275</v>
      </c>
      <c r="E129" s="79">
        <v>44501</v>
      </c>
      <c r="F129" s="78">
        <v>146394</v>
      </c>
    </row>
    <row r="130" spans="2:6" x14ac:dyDescent="0.3">
      <c r="B130" s="78">
        <v>2811</v>
      </c>
      <c r="C130" s="80" t="s">
        <v>280</v>
      </c>
      <c r="D130" s="80" t="s">
        <v>275</v>
      </c>
      <c r="E130" s="79">
        <v>44197</v>
      </c>
      <c r="F130" s="78">
        <v>151301</v>
      </c>
    </row>
    <row r="131" spans="2:6" x14ac:dyDescent="0.3">
      <c r="B131" s="78">
        <v>27</v>
      </c>
      <c r="C131" s="80" t="s">
        <v>280</v>
      </c>
      <c r="D131" s="80" t="s">
        <v>275</v>
      </c>
      <c r="E131" s="79">
        <v>44470</v>
      </c>
      <c r="F131" s="80">
        <v>165656</v>
      </c>
    </row>
    <row r="132" spans="2:6" x14ac:dyDescent="0.3">
      <c r="B132" s="78">
        <v>1540</v>
      </c>
      <c r="C132" s="80" t="s">
        <v>280</v>
      </c>
      <c r="D132" s="80" t="s">
        <v>275</v>
      </c>
      <c r="E132" s="79">
        <v>44348</v>
      </c>
      <c r="F132" s="78">
        <v>165992</v>
      </c>
    </row>
    <row r="133" spans="2:6" x14ac:dyDescent="0.3">
      <c r="B133" s="78">
        <v>1686</v>
      </c>
      <c r="C133" s="80" t="s">
        <v>280</v>
      </c>
      <c r="D133" s="80" t="s">
        <v>275</v>
      </c>
      <c r="E133" s="79">
        <v>44378</v>
      </c>
      <c r="F133" s="78">
        <v>173616</v>
      </c>
    </row>
    <row r="134" spans="2:6" x14ac:dyDescent="0.3">
      <c r="B134" s="78">
        <v>128</v>
      </c>
      <c r="C134" s="80" t="s">
        <v>280</v>
      </c>
      <c r="D134" s="80" t="s">
        <v>275</v>
      </c>
      <c r="E134" s="79">
        <v>44531</v>
      </c>
      <c r="F134" s="80">
        <v>201069</v>
      </c>
    </row>
    <row r="135" spans="2:6" x14ac:dyDescent="0.3">
      <c r="B135" s="78">
        <v>2207</v>
      </c>
      <c r="C135" s="80" t="s">
        <v>280</v>
      </c>
      <c r="D135" s="80" t="s">
        <v>275</v>
      </c>
      <c r="E135" s="79">
        <v>44228</v>
      </c>
      <c r="F135" s="78">
        <v>210276</v>
      </c>
    </row>
    <row r="136" spans="2:6" x14ac:dyDescent="0.3">
      <c r="B136" s="78">
        <v>979</v>
      </c>
      <c r="C136" s="80" t="s">
        <v>280</v>
      </c>
      <c r="D136" s="80" t="s">
        <v>275</v>
      </c>
      <c r="E136" s="79">
        <v>44348</v>
      </c>
      <c r="F136" s="78">
        <v>234786</v>
      </c>
    </row>
    <row r="137" spans="2:6" x14ac:dyDescent="0.3">
      <c r="B137" s="78">
        <v>2259</v>
      </c>
      <c r="C137" s="80" t="s">
        <v>280</v>
      </c>
      <c r="D137" s="80" t="s">
        <v>271</v>
      </c>
      <c r="E137" s="79">
        <v>44531</v>
      </c>
      <c r="F137" s="78">
        <v>-21877</v>
      </c>
    </row>
    <row r="138" spans="2:6" x14ac:dyDescent="0.3">
      <c r="B138" s="78">
        <v>926</v>
      </c>
      <c r="C138" s="80" t="s">
        <v>280</v>
      </c>
      <c r="D138" s="80" t="s">
        <v>271</v>
      </c>
      <c r="E138" s="79">
        <v>44348</v>
      </c>
      <c r="F138" s="78">
        <v>6105</v>
      </c>
    </row>
    <row r="139" spans="2:6" x14ac:dyDescent="0.3">
      <c r="B139" s="78">
        <v>1667</v>
      </c>
      <c r="C139" s="80" t="s">
        <v>280</v>
      </c>
      <c r="D139" s="80" t="s">
        <v>271</v>
      </c>
      <c r="E139" s="79">
        <v>44317</v>
      </c>
      <c r="F139" s="78">
        <v>8950</v>
      </c>
    </row>
    <row r="140" spans="2:6" x14ac:dyDescent="0.3">
      <c r="B140" s="78">
        <v>38</v>
      </c>
      <c r="C140" s="80" t="s">
        <v>280</v>
      </c>
      <c r="D140" s="80" t="s">
        <v>271</v>
      </c>
      <c r="E140" s="79">
        <v>44256</v>
      </c>
      <c r="F140" s="80">
        <v>16452</v>
      </c>
    </row>
    <row r="141" spans="2:6" x14ac:dyDescent="0.3">
      <c r="B141" s="78">
        <v>1489</v>
      </c>
      <c r="C141" s="80" t="s">
        <v>280</v>
      </c>
      <c r="D141" s="80" t="s">
        <v>271</v>
      </c>
      <c r="E141" s="79">
        <v>44317</v>
      </c>
      <c r="F141" s="78">
        <v>24879</v>
      </c>
    </row>
    <row r="142" spans="2:6" x14ac:dyDescent="0.3">
      <c r="B142" s="78">
        <v>1583</v>
      </c>
      <c r="C142" s="80" t="s">
        <v>280</v>
      </c>
      <c r="D142" s="80" t="s">
        <v>271</v>
      </c>
      <c r="E142" s="79">
        <v>44228</v>
      </c>
      <c r="F142" s="78">
        <v>56810</v>
      </c>
    </row>
    <row r="143" spans="2:6" x14ac:dyDescent="0.3">
      <c r="B143" s="78">
        <v>115</v>
      </c>
      <c r="C143" s="80" t="s">
        <v>280</v>
      </c>
      <c r="D143" s="80" t="s">
        <v>271</v>
      </c>
      <c r="E143" s="79">
        <v>44317</v>
      </c>
      <c r="F143" s="80">
        <v>72086</v>
      </c>
    </row>
    <row r="144" spans="2:6" x14ac:dyDescent="0.3">
      <c r="B144" s="78">
        <v>2816</v>
      </c>
      <c r="C144" s="80" t="s">
        <v>280</v>
      </c>
      <c r="D144" s="80" t="s">
        <v>271</v>
      </c>
      <c r="E144" s="79">
        <v>44501</v>
      </c>
      <c r="F144" s="78">
        <v>74813</v>
      </c>
    </row>
    <row r="145" spans="2:6" x14ac:dyDescent="0.3">
      <c r="B145" s="78">
        <v>1471</v>
      </c>
      <c r="C145" s="80" t="s">
        <v>280</v>
      </c>
      <c r="D145" s="80" t="s">
        <v>271</v>
      </c>
      <c r="E145" s="79">
        <v>44531</v>
      </c>
      <c r="F145" s="78">
        <v>81048</v>
      </c>
    </row>
    <row r="146" spans="2:6" x14ac:dyDescent="0.3">
      <c r="B146" s="78">
        <v>2245</v>
      </c>
      <c r="C146" s="80" t="s">
        <v>280</v>
      </c>
      <c r="D146" s="80" t="s">
        <v>271</v>
      </c>
      <c r="E146" s="79">
        <v>44378</v>
      </c>
      <c r="F146" s="78">
        <v>86843</v>
      </c>
    </row>
    <row r="147" spans="2:6" x14ac:dyDescent="0.3">
      <c r="B147" s="78">
        <v>2301</v>
      </c>
      <c r="C147" s="80" t="s">
        <v>280</v>
      </c>
      <c r="D147" s="80" t="s">
        <v>271</v>
      </c>
      <c r="E147" s="79">
        <v>44197</v>
      </c>
      <c r="F147" s="78">
        <v>95623</v>
      </c>
    </row>
    <row r="148" spans="2:6" x14ac:dyDescent="0.3">
      <c r="B148" s="78">
        <v>3088</v>
      </c>
      <c r="C148" s="80" t="s">
        <v>280</v>
      </c>
      <c r="D148" s="80" t="s">
        <v>271</v>
      </c>
      <c r="E148" s="79">
        <v>44470</v>
      </c>
      <c r="F148" s="78">
        <v>104379</v>
      </c>
    </row>
    <row r="149" spans="2:6" x14ac:dyDescent="0.3">
      <c r="B149" s="78">
        <v>1691</v>
      </c>
      <c r="C149" s="80" t="s">
        <v>280</v>
      </c>
      <c r="D149" s="80" t="s">
        <v>271</v>
      </c>
      <c r="E149" s="79">
        <v>44531</v>
      </c>
      <c r="F149" s="78">
        <v>151084</v>
      </c>
    </row>
    <row r="150" spans="2:6" x14ac:dyDescent="0.3">
      <c r="B150" s="78">
        <v>165</v>
      </c>
      <c r="C150" s="80" t="s">
        <v>280</v>
      </c>
      <c r="D150" s="80" t="s">
        <v>271</v>
      </c>
      <c r="E150" s="79">
        <v>44348</v>
      </c>
      <c r="F150" s="80">
        <v>155904</v>
      </c>
    </row>
    <row r="151" spans="2:6" x14ac:dyDescent="0.3">
      <c r="B151" s="78">
        <v>738</v>
      </c>
      <c r="C151" s="80" t="s">
        <v>280</v>
      </c>
      <c r="D151" s="80" t="s">
        <v>271</v>
      </c>
      <c r="E151" s="79">
        <v>44531</v>
      </c>
      <c r="F151" s="78">
        <v>158679</v>
      </c>
    </row>
    <row r="152" spans="2:6" x14ac:dyDescent="0.3">
      <c r="B152" s="78">
        <v>2821</v>
      </c>
      <c r="C152" s="80" t="s">
        <v>280</v>
      </c>
      <c r="D152" s="80" t="s">
        <v>271</v>
      </c>
      <c r="E152" s="79">
        <v>44197</v>
      </c>
      <c r="F152" s="78">
        <v>161532</v>
      </c>
    </row>
    <row r="153" spans="2:6" x14ac:dyDescent="0.3">
      <c r="B153" s="78">
        <v>1688</v>
      </c>
      <c r="C153" s="80" t="s">
        <v>280</v>
      </c>
      <c r="D153" s="80" t="s">
        <v>271</v>
      </c>
      <c r="E153" s="79">
        <v>44228</v>
      </c>
      <c r="F153" s="78">
        <v>168122</v>
      </c>
    </row>
    <row r="154" spans="2:6" x14ac:dyDescent="0.3">
      <c r="B154" s="78">
        <v>184</v>
      </c>
      <c r="C154" s="80" t="s">
        <v>280</v>
      </c>
      <c r="D154" s="80" t="s">
        <v>271</v>
      </c>
      <c r="E154" s="79">
        <v>44531</v>
      </c>
      <c r="F154" s="80">
        <v>169991</v>
      </c>
    </row>
    <row r="155" spans="2:6" x14ac:dyDescent="0.3">
      <c r="B155" s="78">
        <v>3051</v>
      </c>
      <c r="C155" s="80" t="s">
        <v>280</v>
      </c>
      <c r="D155" s="80" t="s">
        <v>271</v>
      </c>
      <c r="E155" s="79">
        <v>44440</v>
      </c>
      <c r="F155" s="78">
        <v>200584</v>
      </c>
    </row>
    <row r="156" spans="2:6" x14ac:dyDescent="0.3">
      <c r="B156" s="78">
        <v>1668</v>
      </c>
      <c r="C156" s="80" t="s">
        <v>280</v>
      </c>
      <c r="D156" s="80" t="s">
        <v>271</v>
      </c>
      <c r="E156" s="79">
        <v>44197</v>
      </c>
      <c r="F156" s="78">
        <v>210209</v>
      </c>
    </row>
    <row r="157" spans="2:6" x14ac:dyDescent="0.3">
      <c r="B157" s="78">
        <v>72</v>
      </c>
      <c r="C157" s="80" t="s">
        <v>280</v>
      </c>
      <c r="D157" s="80" t="s">
        <v>271</v>
      </c>
      <c r="E157" s="79">
        <v>44348</v>
      </c>
      <c r="F157" s="80">
        <v>247286</v>
      </c>
    </row>
    <row r="158" spans="2:6" x14ac:dyDescent="0.3">
      <c r="B158" s="78">
        <v>174</v>
      </c>
      <c r="C158" s="80" t="s">
        <v>280</v>
      </c>
      <c r="D158" s="80" t="s">
        <v>278</v>
      </c>
      <c r="E158" s="79">
        <v>44470</v>
      </c>
      <c r="F158" s="80">
        <v>-37886</v>
      </c>
    </row>
    <row r="159" spans="2:6" x14ac:dyDescent="0.3">
      <c r="B159" s="78">
        <v>874</v>
      </c>
      <c r="C159" s="80" t="s">
        <v>280</v>
      </c>
      <c r="D159" s="80" t="s">
        <v>278</v>
      </c>
      <c r="E159" s="79">
        <v>44470</v>
      </c>
      <c r="F159" s="78">
        <v>5652</v>
      </c>
    </row>
    <row r="160" spans="2:6" x14ac:dyDescent="0.3">
      <c r="B160" s="78">
        <v>2847</v>
      </c>
      <c r="C160" s="80" t="s">
        <v>280</v>
      </c>
      <c r="D160" s="80" t="s">
        <v>278</v>
      </c>
      <c r="E160" s="79">
        <v>44501</v>
      </c>
      <c r="F160" s="78">
        <v>8463</v>
      </c>
    </row>
    <row r="161" spans="2:6" x14ac:dyDescent="0.3">
      <c r="B161" s="78">
        <v>2852</v>
      </c>
      <c r="C161" s="80" t="s">
        <v>280</v>
      </c>
      <c r="D161" s="80" t="s">
        <v>278</v>
      </c>
      <c r="E161" s="79">
        <v>44531</v>
      </c>
      <c r="F161" s="78">
        <v>9630</v>
      </c>
    </row>
    <row r="162" spans="2:6" x14ac:dyDescent="0.3">
      <c r="B162" s="78">
        <v>842</v>
      </c>
      <c r="C162" s="80" t="s">
        <v>280</v>
      </c>
      <c r="D162" s="80" t="s">
        <v>278</v>
      </c>
      <c r="E162" s="79">
        <v>44409</v>
      </c>
      <c r="F162" s="78">
        <v>19225</v>
      </c>
    </row>
    <row r="163" spans="2:6" x14ac:dyDescent="0.3">
      <c r="B163" s="78">
        <v>1567</v>
      </c>
      <c r="C163" s="80" t="s">
        <v>280</v>
      </c>
      <c r="D163" s="80" t="s">
        <v>278</v>
      </c>
      <c r="E163" s="79">
        <v>44228</v>
      </c>
      <c r="F163" s="78">
        <v>22003</v>
      </c>
    </row>
    <row r="164" spans="2:6" x14ac:dyDescent="0.3">
      <c r="B164" s="78">
        <v>3093</v>
      </c>
      <c r="C164" s="80" t="s">
        <v>280</v>
      </c>
      <c r="D164" s="80" t="s">
        <v>278</v>
      </c>
      <c r="E164" s="79">
        <v>44470</v>
      </c>
      <c r="F164" s="78">
        <v>22810</v>
      </c>
    </row>
    <row r="165" spans="2:6" x14ac:dyDescent="0.3">
      <c r="B165" s="78">
        <v>930</v>
      </c>
      <c r="C165" s="80" t="s">
        <v>280</v>
      </c>
      <c r="D165" s="80" t="s">
        <v>278</v>
      </c>
      <c r="E165" s="79">
        <v>44256</v>
      </c>
      <c r="F165" s="78">
        <v>34334</v>
      </c>
    </row>
    <row r="166" spans="2:6" x14ac:dyDescent="0.3">
      <c r="B166" s="78">
        <v>221</v>
      </c>
      <c r="C166" s="80" t="s">
        <v>280</v>
      </c>
      <c r="D166" s="80" t="s">
        <v>278</v>
      </c>
      <c r="E166" s="79">
        <v>44501</v>
      </c>
      <c r="F166" s="80">
        <v>39668</v>
      </c>
    </row>
    <row r="167" spans="2:6" x14ac:dyDescent="0.3">
      <c r="B167" s="78">
        <v>3099</v>
      </c>
      <c r="C167" s="80" t="s">
        <v>280</v>
      </c>
      <c r="D167" s="80" t="s">
        <v>278</v>
      </c>
      <c r="E167" s="79">
        <v>44348</v>
      </c>
      <c r="F167" s="78">
        <v>65162</v>
      </c>
    </row>
    <row r="168" spans="2:6" x14ac:dyDescent="0.3">
      <c r="B168" s="78">
        <v>2176</v>
      </c>
      <c r="C168" s="80" t="s">
        <v>280</v>
      </c>
      <c r="D168" s="80" t="s">
        <v>278</v>
      </c>
      <c r="E168" s="79">
        <v>44287</v>
      </c>
      <c r="F168" s="78">
        <v>73163</v>
      </c>
    </row>
    <row r="169" spans="2:6" x14ac:dyDescent="0.3">
      <c r="B169" s="78">
        <v>977</v>
      </c>
      <c r="C169" s="80" t="s">
        <v>280</v>
      </c>
      <c r="D169" s="80" t="s">
        <v>278</v>
      </c>
      <c r="E169" s="79">
        <v>44317</v>
      </c>
      <c r="F169" s="78">
        <v>82968</v>
      </c>
    </row>
    <row r="170" spans="2:6" x14ac:dyDescent="0.3">
      <c r="B170" s="78">
        <v>1553</v>
      </c>
      <c r="C170" s="80" t="s">
        <v>280</v>
      </c>
      <c r="D170" s="80" t="s">
        <v>278</v>
      </c>
      <c r="E170" s="79">
        <v>44470</v>
      </c>
      <c r="F170" s="78">
        <v>86460</v>
      </c>
    </row>
    <row r="171" spans="2:6" x14ac:dyDescent="0.3">
      <c r="B171" s="78">
        <v>8</v>
      </c>
      <c r="C171" s="80" t="s">
        <v>280</v>
      </c>
      <c r="D171" s="80" t="s">
        <v>278</v>
      </c>
      <c r="E171" s="79">
        <v>44348</v>
      </c>
      <c r="F171" s="80">
        <v>108879</v>
      </c>
    </row>
    <row r="172" spans="2:6" x14ac:dyDescent="0.3">
      <c r="B172" s="78">
        <v>780</v>
      </c>
      <c r="C172" s="80" t="s">
        <v>280</v>
      </c>
      <c r="D172" s="80" t="s">
        <v>278</v>
      </c>
      <c r="E172" s="79">
        <v>44409</v>
      </c>
      <c r="F172" s="78">
        <v>131983</v>
      </c>
    </row>
    <row r="173" spans="2:6" x14ac:dyDescent="0.3">
      <c r="B173" s="78">
        <v>2369</v>
      </c>
      <c r="C173" s="80" t="s">
        <v>280</v>
      </c>
      <c r="D173" s="80" t="s">
        <v>278</v>
      </c>
      <c r="E173" s="79">
        <v>44378</v>
      </c>
      <c r="F173" s="78">
        <v>138473</v>
      </c>
    </row>
    <row r="174" spans="2:6" x14ac:dyDescent="0.3">
      <c r="B174" s="78">
        <v>858</v>
      </c>
      <c r="C174" s="80" t="s">
        <v>280</v>
      </c>
      <c r="D174" s="80" t="s">
        <v>278</v>
      </c>
      <c r="E174" s="79">
        <v>44256</v>
      </c>
      <c r="F174" s="78">
        <v>150851</v>
      </c>
    </row>
    <row r="175" spans="2:6" x14ac:dyDescent="0.3">
      <c r="B175" s="78">
        <v>1590</v>
      </c>
      <c r="C175" s="80" t="s">
        <v>280</v>
      </c>
      <c r="D175" s="80" t="s">
        <v>278</v>
      </c>
      <c r="E175" s="79">
        <v>44470</v>
      </c>
      <c r="F175" s="78">
        <v>169915</v>
      </c>
    </row>
    <row r="176" spans="2:6" x14ac:dyDescent="0.3">
      <c r="B176" s="78">
        <v>777</v>
      </c>
      <c r="C176" s="80" t="s">
        <v>280</v>
      </c>
      <c r="D176" s="80" t="s">
        <v>278</v>
      </c>
      <c r="E176" s="79">
        <v>44348</v>
      </c>
      <c r="F176" s="78">
        <v>190517</v>
      </c>
    </row>
    <row r="177" spans="2:6" x14ac:dyDescent="0.3">
      <c r="B177" s="78">
        <v>1674</v>
      </c>
      <c r="C177" s="80" t="s">
        <v>280</v>
      </c>
      <c r="D177" s="80" t="s">
        <v>278</v>
      </c>
      <c r="E177" s="79">
        <v>44409</v>
      </c>
      <c r="F177" s="78">
        <v>191733</v>
      </c>
    </row>
    <row r="178" spans="2:6" x14ac:dyDescent="0.3">
      <c r="B178" s="78">
        <v>2958</v>
      </c>
      <c r="C178" s="80" t="s">
        <v>280</v>
      </c>
      <c r="D178" s="80" t="s">
        <v>278</v>
      </c>
      <c r="E178" s="79">
        <v>44228</v>
      </c>
      <c r="F178" s="78">
        <v>194150</v>
      </c>
    </row>
    <row r="179" spans="2:6" x14ac:dyDescent="0.3">
      <c r="B179" s="78">
        <v>2239</v>
      </c>
      <c r="C179" s="80" t="s">
        <v>280</v>
      </c>
      <c r="D179" s="80" t="s">
        <v>278</v>
      </c>
      <c r="E179" s="79">
        <v>44287</v>
      </c>
      <c r="F179" s="78">
        <v>203878</v>
      </c>
    </row>
    <row r="180" spans="2:6" x14ac:dyDescent="0.3">
      <c r="B180" s="78">
        <v>1413</v>
      </c>
      <c r="C180" s="80" t="s">
        <v>280</v>
      </c>
      <c r="D180" s="80" t="s">
        <v>278</v>
      </c>
      <c r="E180" s="79">
        <v>44440</v>
      </c>
      <c r="F180" s="78">
        <v>209590</v>
      </c>
    </row>
    <row r="181" spans="2:6" x14ac:dyDescent="0.3">
      <c r="B181" s="78">
        <v>1574</v>
      </c>
      <c r="C181" s="80" t="s">
        <v>280</v>
      </c>
      <c r="D181" s="80" t="s">
        <v>278</v>
      </c>
      <c r="E181" s="79">
        <v>44440</v>
      </c>
      <c r="F181" s="78">
        <v>217075</v>
      </c>
    </row>
    <row r="182" spans="2:6" x14ac:dyDescent="0.3">
      <c r="B182" s="78">
        <v>1434</v>
      </c>
      <c r="C182" s="80" t="s">
        <v>280</v>
      </c>
      <c r="D182" s="80" t="s">
        <v>278</v>
      </c>
      <c r="E182" s="79">
        <v>44287</v>
      </c>
      <c r="F182" s="78">
        <v>220171</v>
      </c>
    </row>
    <row r="183" spans="2:6" x14ac:dyDescent="0.3">
      <c r="B183" s="78">
        <v>893</v>
      </c>
      <c r="C183" s="80" t="s">
        <v>280</v>
      </c>
      <c r="D183" s="80" t="s">
        <v>278</v>
      </c>
      <c r="E183" s="79">
        <v>44228</v>
      </c>
      <c r="F183" s="78">
        <v>230726</v>
      </c>
    </row>
    <row r="184" spans="2:6" x14ac:dyDescent="0.3">
      <c r="B184" s="78">
        <v>3059</v>
      </c>
      <c r="C184" s="80" t="s">
        <v>280</v>
      </c>
      <c r="D184" s="80" t="s">
        <v>278</v>
      </c>
      <c r="E184" s="79">
        <v>44378</v>
      </c>
      <c r="F184" s="78">
        <v>235104</v>
      </c>
    </row>
    <row r="185" spans="2:6" x14ac:dyDescent="0.3">
      <c r="B185" s="78">
        <v>867</v>
      </c>
      <c r="C185" s="80" t="s">
        <v>280</v>
      </c>
      <c r="D185" s="80" t="s">
        <v>278</v>
      </c>
      <c r="E185" s="79">
        <v>44348</v>
      </c>
      <c r="F185" s="78">
        <v>259896</v>
      </c>
    </row>
    <row r="186" spans="2:6" x14ac:dyDescent="0.3">
      <c r="B186" s="78">
        <v>113</v>
      </c>
      <c r="C186" s="80" t="s">
        <v>280</v>
      </c>
      <c r="D186" s="80" t="s">
        <v>273</v>
      </c>
      <c r="E186" s="79">
        <v>44378</v>
      </c>
      <c r="F186" s="80">
        <v>-34980</v>
      </c>
    </row>
    <row r="187" spans="2:6" x14ac:dyDescent="0.3">
      <c r="B187" s="78">
        <v>762</v>
      </c>
      <c r="C187" s="80" t="s">
        <v>280</v>
      </c>
      <c r="D187" s="80" t="s">
        <v>273</v>
      </c>
      <c r="E187" s="79">
        <v>44348</v>
      </c>
      <c r="F187" s="78">
        <v>-15140</v>
      </c>
    </row>
    <row r="188" spans="2:6" x14ac:dyDescent="0.3">
      <c r="B188" s="78">
        <v>282</v>
      </c>
      <c r="C188" s="80" t="s">
        <v>280</v>
      </c>
      <c r="D188" s="80" t="s">
        <v>273</v>
      </c>
      <c r="E188" s="79">
        <v>44197</v>
      </c>
      <c r="F188" s="80">
        <v>-7921</v>
      </c>
    </row>
    <row r="189" spans="2:6" x14ac:dyDescent="0.3">
      <c r="B189" s="78">
        <v>748</v>
      </c>
      <c r="C189" s="80" t="s">
        <v>280</v>
      </c>
      <c r="D189" s="80" t="s">
        <v>273</v>
      </c>
      <c r="E189" s="79">
        <v>44378</v>
      </c>
      <c r="F189" s="78">
        <v>5850</v>
      </c>
    </row>
    <row r="190" spans="2:6" x14ac:dyDescent="0.3">
      <c r="B190" s="78">
        <v>2933</v>
      </c>
      <c r="C190" s="80" t="s">
        <v>280</v>
      </c>
      <c r="D190" s="80" t="s">
        <v>273</v>
      </c>
      <c r="E190" s="79">
        <v>44197</v>
      </c>
      <c r="F190" s="78">
        <v>6256</v>
      </c>
    </row>
    <row r="191" spans="2:6" x14ac:dyDescent="0.3">
      <c r="B191" s="78">
        <v>2390</v>
      </c>
      <c r="C191" s="80" t="s">
        <v>280</v>
      </c>
      <c r="D191" s="80" t="s">
        <v>273</v>
      </c>
      <c r="E191" s="79">
        <v>44409</v>
      </c>
      <c r="F191" s="78">
        <v>10877</v>
      </c>
    </row>
    <row r="192" spans="2:6" x14ac:dyDescent="0.3">
      <c r="B192" s="78">
        <v>2187</v>
      </c>
      <c r="C192" s="80" t="s">
        <v>280</v>
      </c>
      <c r="D192" s="80" t="s">
        <v>273</v>
      </c>
      <c r="E192" s="79">
        <v>44440</v>
      </c>
      <c r="F192" s="78">
        <v>13179</v>
      </c>
    </row>
    <row r="193" spans="2:6" x14ac:dyDescent="0.3">
      <c r="B193" s="78">
        <v>2913</v>
      </c>
      <c r="C193" s="80" t="s">
        <v>280</v>
      </c>
      <c r="D193" s="80" t="s">
        <v>273</v>
      </c>
      <c r="E193" s="79">
        <v>44197</v>
      </c>
      <c r="F193" s="78">
        <v>25860</v>
      </c>
    </row>
    <row r="194" spans="2:6" x14ac:dyDescent="0.3">
      <c r="B194" s="78">
        <v>3013</v>
      </c>
      <c r="C194" s="80" t="s">
        <v>280</v>
      </c>
      <c r="D194" s="80" t="s">
        <v>273</v>
      </c>
      <c r="E194" s="79">
        <v>44317</v>
      </c>
      <c r="F194" s="78">
        <v>26172</v>
      </c>
    </row>
    <row r="195" spans="2:6" x14ac:dyDescent="0.3">
      <c r="B195" s="78">
        <v>1531</v>
      </c>
      <c r="C195" s="80" t="s">
        <v>280</v>
      </c>
      <c r="D195" s="80" t="s">
        <v>273</v>
      </c>
      <c r="E195" s="79">
        <v>44440</v>
      </c>
      <c r="F195" s="78">
        <v>27327</v>
      </c>
    </row>
    <row r="196" spans="2:6" x14ac:dyDescent="0.3">
      <c r="B196" s="78">
        <v>2910</v>
      </c>
      <c r="C196" s="80" t="s">
        <v>280</v>
      </c>
      <c r="D196" s="80" t="s">
        <v>273</v>
      </c>
      <c r="E196" s="79">
        <v>44378</v>
      </c>
      <c r="F196" s="78">
        <v>52513</v>
      </c>
    </row>
    <row r="197" spans="2:6" x14ac:dyDescent="0.3">
      <c r="B197" s="78">
        <v>2184</v>
      </c>
      <c r="C197" s="80" t="s">
        <v>280</v>
      </c>
      <c r="D197" s="80" t="s">
        <v>273</v>
      </c>
      <c r="E197" s="79">
        <v>44409</v>
      </c>
      <c r="F197" s="78">
        <v>67090</v>
      </c>
    </row>
    <row r="198" spans="2:6" x14ac:dyDescent="0.3">
      <c r="B198" s="78">
        <v>131</v>
      </c>
      <c r="C198" s="80" t="s">
        <v>280</v>
      </c>
      <c r="D198" s="80" t="s">
        <v>273</v>
      </c>
      <c r="E198" s="79">
        <v>44531</v>
      </c>
      <c r="F198" s="80">
        <v>74221</v>
      </c>
    </row>
    <row r="199" spans="2:6" x14ac:dyDescent="0.3">
      <c r="B199" s="78">
        <v>2376</v>
      </c>
      <c r="C199" s="80" t="s">
        <v>280</v>
      </c>
      <c r="D199" s="80" t="s">
        <v>273</v>
      </c>
      <c r="E199" s="79">
        <v>44287</v>
      </c>
      <c r="F199" s="78">
        <v>81846</v>
      </c>
    </row>
    <row r="200" spans="2:6" x14ac:dyDescent="0.3">
      <c r="B200" s="78">
        <v>127</v>
      </c>
      <c r="C200" s="80" t="s">
        <v>280</v>
      </c>
      <c r="D200" s="80" t="s">
        <v>273</v>
      </c>
      <c r="E200" s="79">
        <v>44470</v>
      </c>
      <c r="F200" s="80">
        <v>84660</v>
      </c>
    </row>
    <row r="201" spans="2:6" x14ac:dyDescent="0.3">
      <c r="B201" s="78">
        <v>2333</v>
      </c>
      <c r="C201" s="80" t="s">
        <v>280</v>
      </c>
      <c r="D201" s="80" t="s">
        <v>273</v>
      </c>
      <c r="E201" s="79">
        <v>44378</v>
      </c>
      <c r="F201" s="78">
        <v>103592</v>
      </c>
    </row>
    <row r="202" spans="2:6" x14ac:dyDescent="0.3">
      <c r="B202" s="78">
        <v>111</v>
      </c>
      <c r="C202" s="80" t="s">
        <v>280</v>
      </c>
      <c r="D202" s="80" t="s">
        <v>273</v>
      </c>
      <c r="E202" s="79">
        <v>44197</v>
      </c>
      <c r="F202" s="80">
        <v>123287</v>
      </c>
    </row>
    <row r="203" spans="2:6" x14ac:dyDescent="0.3">
      <c r="B203" s="78">
        <v>1547</v>
      </c>
      <c r="C203" s="80" t="s">
        <v>280</v>
      </c>
      <c r="D203" s="80" t="s">
        <v>273</v>
      </c>
      <c r="E203" s="79">
        <v>44531</v>
      </c>
      <c r="F203" s="78">
        <v>129328</v>
      </c>
    </row>
    <row r="204" spans="2:6" x14ac:dyDescent="0.3">
      <c r="B204" s="78">
        <v>2862</v>
      </c>
      <c r="C204" s="80" t="s">
        <v>280</v>
      </c>
      <c r="D204" s="80" t="s">
        <v>273</v>
      </c>
      <c r="E204" s="79">
        <v>44470</v>
      </c>
      <c r="F204" s="78">
        <v>139432</v>
      </c>
    </row>
    <row r="205" spans="2:6" x14ac:dyDescent="0.3">
      <c r="B205" s="78">
        <v>894</v>
      </c>
      <c r="C205" s="80" t="s">
        <v>280</v>
      </c>
      <c r="D205" s="80" t="s">
        <v>273</v>
      </c>
      <c r="E205" s="79">
        <v>44470</v>
      </c>
      <c r="F205" s="78">
        <v>154630</v>
      </c>
    </row>
    <row r="206" spans="2:6" x14ac:dyDescent="0.3">
      <c r="B206" s="78">
        <v>2899</v>
      </c>
      <c r="C206" s="80" t="s">
        <v>280</v>
      </c>
      <c r="D206" s="80" t="s">
        <v>273</v>
      </c>
      <c r="E206" s="79">
        <v>44501</v>
      </c>
      <c r="F206" s="78">
        <v>156072</v>
      </c>
    </row>
    <row r="207" spans="2:6" x14ac:dyDescent="0.3">
      <c r="B207" s="78">
        <v>911</v>
      </c>
      <c r="C207" s="80" t="s">
        <v>280</v>
      </c>
      <c r="D207" s="80" t="s">
        <v>273</v>
      </c>
      <c r="E207" s="79">
        <v>44348</v>
      </c>
      <c r="F207" s="78">
        <v>161165</v>
      </c>
    </row>
    <row r="208" spans="2:6" x14ac:dyDescent="0.3">
      <c r="B208" s="78">
        <v>891</v>
      </c>
      <c r="C208" s="80" t="s">
        <v>280</v>
      </c>
      <c r="D208" s="80" t="s">
        <v>273</v>
      </c>
      <c r="E208" s="79">
        <v>44228</v>
      </c>
      <c r="F208" s="78">
        <v>173392</v>
      </c>
    </row>
    <row r="209" spans="2:6" x14ac:dyDescent="0.3">
      <c r="B209" s="78">
        <v>728</v>
      </c>
      <c r="C209" s="80" t="s">
        <v>280</v>
      </c>
      <c r="D209" s="80" t="s">
        <v>273</v>
      </c>
      <c r="E209" s="79">
        <v>44287</v>
      </c>
      <c r="F209" s="78">
        <v>175220</v>
      </c>
    </row>
    <row r="210" spans="2:6" x14ac:dyDescent="0.3">
      <c r="B210" s="78">
        <v>84</v>
      </c>
      <c r="C210" s="80" t="s">
        <v>280</v>
      </c>
      <c r="D210" s="80" t="s">
        <v>273</v>
      </c>
      <c r="E210" s="79">
        <v>44287</v>
      </c>
      <c r="F210" s="80">
        <v>191293</v>
      </c>
    </row>
    <row r="211" spans="2:6" x14ac:dyDescent="0.3">
      <c r="B211" s="78">
        <v>963</v>
      </c>
      <c r="C211" s="80" t="s">
        <v>280</v>
      </c>
      <c r="D211" s="80" t="s">
        <v>273</v>
      </c>
      <c r="E211" s="79">
        <v>44440</v>
      </c>
      <c r="F211" s="78">
        <v>193691</v>
      </c>
    </row>
    <row r="212" spans="2:6" x14ac:dyDescent="0.3">
      <c r="B212" s="78">
        <v>211</v>
      </c>
      <c r="C212" s="80" t="s">
        <v>280</v>
      </c>
      <c r="D212" s="80" t="s">
        <v>273</v>
      </c>
      <c r="E212" s="79">
        <v>44501</v>
      </c>
      <c r="F212" s="80">
        <v>207031</v>
      </c>
    </row>
    <row r="213" spans="2:6" x14ac:dyDescent="0.3">
      <c r="B213" s="78">
        <v>1526</v>
      </c>
      <c r="C213" s="80" t="s">
        <v>280</v>
      </c>
      <c r="D213" s="80" t="s">
        <v>273</v>
      </c>
      <c r="E213" s="79">
        <v>44287</v>
      </c>
      <c r="F213" s="78">
        <v>214102</v>
      </c>
    </row>
    <row r="214" spans="2:6" x14ac:dyDescent="0.3">
      <c r="B214" s="78">
        <v>3018</v>
      </c>
      <c r="C214" s="80" t="s">
        <v>280</v>
      </c>
      <c r="D214" s="80" t="s">
        <v>273</v>
      </c>
      <c r="E214" s="79">
        <v>44501</v>
      </c>
      <c r="F214" s="78">
        <v>223295</v>
      </c>
    </row>
    <row r="215" spans="2:6" x14ac:dyDescent="0.3">
      <c r="B215" s="78">
        <v>973</v>
      </c>
      <c r="C215" s="80" t="s">
        <v>280</v>
      </c>
      <c r="D215" s="80" t="s">
        <v>273</v>
      </c>
      <c r="E215" s="79">
        <v>44378</v>
      </c>
      <c r="F215" s="78">
        <v>229218</v>
      </c>
    </row>
    <row r="216" spans="2:6" x14ac:dyDescent="0.3">
      <c r="B216" s="78">
        <v>1683</v>
      </c>
      <c r="C216" s="80" t="s">
        <v>280</v>
      </c>
      <c r="D216" s="80" t="s">
        <v>273</v>
      </c>
      <c r="E216" s="79">
        <v>44440</v>
      </c>
      <c r="F216" s="78">
        <v>242971</v>
      </c>
    </row>
    <row r="217" spans="2:6" x14ac:dyDescent="0.3">
      <c r="B217" s="78">
        <v>2318</v>
      </c>
      <c r="C217" s="80" t="s">
        <v>280</v>
      </c>
      <c r="D217" s="80" t="s">
        <v>273</v>
      </c>
      <c r="E217" s="79">
        <v>44531</v>
      </c>
      <c r="F217" s="78">
        <v>244284</v>
      </c>
    </row>
    <row r="218" spans="2:6" x14ac:dyDescent="0.3">
      <c r="B218" s="78">
        <v>983</v>
      </c>
      <c r="C218" s="80" t="s">
        <v>280</v>
      </c>
      <c r="D218" s="80" t="s">
        <v>273</v>
      </c>
      <c r="E218" s="79">
        <v>44470</v>
      </c>
      <c r="F218" s="78">
        <v>249705</v>
      </c>
    </row>
    <row r="219" spans="2:6" x14ac:dyDescent="0.3">
      <c r="B219" s="78">
        <v>2881</v>
      </c>
      <c r="C219" s="80" t="s">
        <v>280</v>
      </c>
      <c r="D219" s="80" t="s">
        <v>273</v>
      </c>
      <c r="E219" s="79">
        <v>44440</v>
      </c>
      <c r="F219" s="78">
        <v>261354</v>
      </c>
    </row>
    <row r="220" spans="2:6" x14ac:dyDescent="0.3">
      <c r="B220" s="78">
        <v>2478</v>
      </c>
      <c r="C220" s="80" t="s">
        <v>276</v>
      </c>
      <c r="D220" s="80" t="s">
        <v>279</v>
      </c>
      <c r="E220" s="79">
        <v>44228</v>
      </c>
      <c r="F220" s="78">
        <v>8721</v>
      </c>
    </row>
    <row r="221" spans="2:6" x14ac:dyDescent="0.3">
      <c r="B221" s="78">
        <v>403</v>
      </c>
      <c r="C221" s="80" t="s">
        <v>276</v>
      </c>
      <c r="D221" s="80" t="s">
        <v>279</v>
      </c>
      <c r="E221" s="79">
        <v>44378</v>
      </c>
      <c r="F221" s="80">
        <v>12909</v>
      </c>
    </row>
    <row r="222" spans="2:6" x14ac:dyDescent="0.3">
      <c r="B222" s="78">
        <v>1903</v>
      </c>
      <c r="C222" s="80" t="s">
        <v>276</v>
      </c>
      <c r="D222" s="80" t="s">
        <v>279</v>
      </c>
      <c r="E222" s="79">
        <v>44531</v>
      </c>
      <c r="F222" s="78">
        <v>22305</v>
      </c>
    </row>
    <row r="223" spans="2:6" x14ac:dyDescent="0.3">
      <c r="B223" s="78">
        <v>413</v>
      </c>
      <c r="C223" s="80" t="s">
        <v>276</v>
      </c>
      <c r="D223" s="80" t="s">
        <v>279</v>
      </c>
      <c r="E223" s="79">
        <v>44378</v>
      </c>
      <c r="F223" s="80">
        <v>36046</v>
      </c>
    </row>
    <row r="224" spans="2:6" x14ac:dyDescent="0.3">
      <c r="B224" s="78">
        <v>3394</v>
      </c>
      <c r="C224" s="80" t="s">
        <v>276</v>
      </c>
      <c r="D224" s="80" t="s">
        <v>279</v>
      </c>
      <c r="E224" s="79">
        <v>44501</v>
      </c>
      <c r="F224" s="78">
        <v>40179</v>
      </c>
    </row>
    <row r="225" spans="2:6" x14ac:dyDescent="0.3">
      <c r="B225" s="78">
        <v>594</v>
      </c>
      <c r="C225" s="80" t="s">
        <v>276</v>
      </c>
      <c r="D225" s="80" t="s">
        <v>279</v>
      </c>
      <c r="E225" s="79">
        <v>44531</v>
      </c>
      <c r="F225" s="80">
        <v>47888</v>
      </c>
    </row>
    <row r="226" spans="2:6" x14ac:dyDescent="0.3">
      <c r="B226" s="78">
        <v>2655</v>
      </c>
      <c r="C226" s="80" t="s">
        <v>276</v>
      </c>
      <c r="D226" s="80" t="s">
        <v>279</v>
      </c>
      <c r="E226" s="79">
        <v>44287</v>
      </c>
      <c r="F226" s="78">
        <v>173334</v>
      </c>
    </row>
    <row r="227" spans="2:6" x14ac:dyDescent="0.3">
      <c r="B227" s="78">
        <v>1253</v>
      </c>
      <c r="C227" s="80" t="s">
        <v>276</v>
      </c>
      <c r="D227" s="80" t="s">
        <v>279</v>
      </c>
      <c r="E227" s="79">
        <v>44228</v>
      </c>
      <c r="F227" s="78">
        <v>187979</v>
      </c>
    </row>
    <row r="228" spans="2:6" x14ac:dyDescent="0.3">
      <c r="B228" s="78">
        <v>2033</v>
      </c>
      <c r="C228" s="80" t="s">
        <v>276</v>
      </c>
      <c r="D228" s="80" t="s">
        <v>279</v>
      </c>
      <c r="E228" s="79">
        <v>44470</v>
      </c>
      <c r="F228" s="78">
        <v>225220</v>
      </c>
    </row>
    <row r="229" spans="2:6" x14ac:dyDescent="0.3">
      <c r="B229" s="78">
        <v>1396</v>
      </c>
      <c r="C229" s="80" t="s">
        <v>276</v>
      </c>
      <c r="D229" s="80" t="s">
        <v>279</v>
      </c>
      <c r="E229" s="79">
        <v>44409</v>
      </c>
      <c r="F229" s="78">
        <v>229197</v>
      </c>
    </row>
    <row r="230" spans="2:6" x14ac:dyDescent="0.3">
      <c r="B230" s="78">
        <v>2642</v>
      </c>
      <c r="C230" s="80" t="s">
        <v>276</v>
      </c>
      <c r="D230" s="80" t="s">
        <v>279</v>
      </c>
      <c r="E230" s="79">
        <v>44228</v>
      </c>
      <c r="F230" s="78">
        <v>252387</v>
      </c>
    </row>
    <row r="231" spans="2:6" x14ac:dyDescent="0.3">
      <c r="B231" s="78">
        <v>1975</v>
      </c>
      <c r="C231" s="80" t="s">
        <v>276</v>
      </c>
      <c r="D231" s="80" t="s">
        <v>275</v>
      </c>
      <c r="E231" s="79">
        <v>44287</v>
      </c>
      <c r="F231" s="78">
        <v>259</v>
      </c>
    </row>
    <row r="232" spans="2:6" x14ac:dyDescent="0.3">
      <c r="B232" s="78">
        <v>3294</v>
      </c>
      <c r="C232" s="80" t="s">
        <v>276</v>
      </c>
      <c r="D232" s="80" t="s">
        <v>275</v>
      </c>
      <c r="E232" s="79">
        <v>44228</v>
      </c>
      <c r="F232" s="78">
        <v>11682</v>
      </c>
    </row>
    <row r="233" spans="2:6" x14ac:dyDescent="0.3">
      <c r="B233" s="78">
        <v>1019</v>
      </c>
      <c r="C233" s="80" t="s">
        <v>276</v>
      </c>
      <c r="D233" s="80" t="s">
        <v>275</v>
      </c>
      <c r="E233" s="79">
        <v>44501</v>
      </c>
      <c r="F233" s="78">
        <v>25301</v>
      </c>
    </row>
    <row r="234" spans="2:6" x14ac:dyDescent="0.3">
      <c r="B234" s="78">
        <v>3454</v>
      </c>
      <c r="C234" s="80" t="s">
        <v>276</v>
      </c>
      <c r="D234" s="80" t="s">
        <v>275</v>
      </c>
      <c r="E234" s="79">
        <v>44287</v>
      </c>
      <c r="F234" s="78">
        <v>51383</v>
      </c>
    </row>
    <row r="235" spans="2:6" x14ac:dyDescent="0.3">
      <c r="B235" s="78">
        <v>482</v>
      </c>
      <c r="C235" s="80" t="s">
        <v>276</v>
      </c>
      <c r="D235" s="80" t="s">
        <v>275</v>
      </c>
      <c r="E235" s="79">
        <v>44378</v>
      </c>
      <c r="F235" s="80">
        <v>57399</v>
      </c>
    </row>
    <row r="236" spans="2:6" x14ac:dyDescent="0.3">
      <c r="B236" s="78">
        <v>3442</v>
      </c>
      <c r="C236" s="80" t="s">
        <v>276</v>
      </c>
      <c r="D236" s="80" t="s">
        <v>275</v>
      </c>
      <c r="E236" s="79">
        <v>44470</v>
      </c>
      <c r="F236" s="78">
        <v>86076</v>
      </c>
    </row>
    <row r="237" spans="2:6" x14ac:dyDescent="0.3">
      <c r="B237" s="78">
        <v>1719</v>
      </c>
      <c r="C237" s="80" t="s">
        <v>276</v>
      </c>
      <c r="D237" s="80" t="s">
        <v>275</v>
      </c>
      <c r="E237" s="79">
        <v>44348</v>
      </c>
      <c r="F237" s="78">
        <v>95791</v>
      </c>
    </row>
    <row r="238" spans="2:6" x14ac:dyDescent="0.3">
      <c r="B238" s="78">
        <v>3119</v>
      </c>
      <c r="C238" s="80" t="s">
        <v>276</v>
      </c>
      <c r="D238" s="80" t="s">
        <v>275</v>
      </c>
      <c r="E238" s="79">
        <v>44531</v>
      </c>
      <c r="F238" s="78">
        <v>100956</v>
      </c>
    </row>
    <row r="239" spans="2:6" x14ac:dyDescent="0.3">
      <c r="B239" s="78">
        <v>2754</v>
      </c>
      <c r="C239" s="80" t="s">
        <v>276</v>
      </c>
      <c r="D239" s="80" t="s">
        <v>275</v>
      </c>
      <c r="E239" s="79">
        <v>44256</v>
      </c>
      <c r="F239" s="78">
        <v>117440</v>
      </c>
    </row>
    <row r="240" spans="2:6" x14ac:dyDescent="0.3">
      <c r="B240" s="78">
        <v>2742</v>
      </c>
      <c r="C240" s="80" t="s">
        <v>276</v>
      </c>
      <c r="D240" s="80" t="s">
        <v>275</v>
      </c>
      <c r="E240" s="79">
        <v>44470</v>
      </c>
      <c r="F240" s="78">
        <v>128249</v>
      </c>
    </row>
    <row r="241" spans="2:6" x14ac:dyDescent="0.3">
      <c r="B241" s="78">
        <v>1342</v>
      </c>
      <c r="C241" s="80" t="s">
        <v>276</v>
      </c>
      <c r="D241" s="80" t="s">
        <v>275</v>
      </c>
      <c r="E241" s="79">
        <v>44348</v>
      </c>
      <c r="F241" s="78">
        <v>139728</v>
      </c>
    </row>
    <row r="242" spans="2:6" x14ac:dyDescent="0.3">
      <c r="B242" s="78">
        <v>1200</v>
      </c>
      <c r="C242" s="80" t="s">
        <v>276</v>
      </c>
      <c r="D242" s="80" t="s">
        <v>275</v>
      </c>
      <c r="E242" s="79">
        <v>44440</v>
      </c>
      <c r="F242" s="78">
        <v>147727</v>
      </c>
    </row>
    <row r="243" spans="2:6" x14ac:dyDescent="0.3">
      <c r="B243" s="78">
        <v>2539</v>
      </c>
      <c r="C243" s="80" t="s">
        <v>276</v>
      </c>
      <c r="D243" s="80" t="s">
        <v>275</v>
      </c>
      <c r="E243" s="79">
        <v>44348</v>
      </c>
      <c r="F243" s="78">
        <v>159478</v>
      </c>
    </row>
    <row r="244" spans="2:6" x14ac:dyDescent="0.3">
      <c r="B244" s="78">
        <v>3471</v>
      </c>
      <c r="C244" s="80" t="s">
        <v>276</v>
      </c>
      <c r="D244" s="80" t="s">
        <v>275</v>
      </c>
      <c r="E244" s="79">
        <v>44378</v>
      </c>
      <c r="F244" s="78">
        <v>176652</v>
      </c>
    </row>
    <row r="245" spans="2:6" x14ac:dyDescent="0.3">
      <c r="B245" s="78">
        <v>1227</v>
      </c>
      <c r="C245" s="80" t="s">
        <v>276</v>
      </c>
      <c r="D245" s="80" t="s">
        <v>275</v>
      </c>
      <c r="E245" s="79">
        <v>44470</v>
      </c>
      <c r="F245" s="78">
        <v>231047</v>
      </c>
    </row>
    <row r="246" spans="2:6" x14ac:dyDescent="0.3">
      <c r="B246" s="78">
        <v>1839</v>
      </c>
      <c r="C246" s="80" t="s">
        <v>276</v>
      </c>
      <c r="D246" s="80" t="s">
        <v>275</v>
      </c>
      <c r="E246" s="79">
        <v>44348</v>
      </c>
      <c r="F246" s="78">
        <v>254580</v>
      </c>
    </row>
    <row r="247" spans="2:6" x14ac:dyDescent="0.3">
      <c r="B247" s="78">
        <v>2474</v>
      </c>
      <c r="C247" s="80" t="s">
        <v>276</v>
      </c>
      <c r="D247" s="80" t="s">
        <v>271</v>
      </c>
      <c r="E247" s="79">
        <v>44197</v>
      </c>
      <c r="F247" s="78">
        <v>6460</v>
      </c>
    </row>
    <row r="248" spans="2:6" x14ac:dyDescent="0.3">
      <c r="B248" s="78">
        <v>3250</v>
      </c>
      <c r="C248" s="80" t="s">
        <v>276</v>
      </c>
      <c r="D248" s="80" t="s">
        <v>271</v>
      </c>
      <c r="E248" s="79">
        <v>44501</v>
      </c>
      <c r="F248" s="78">
        <v>20238</v>
      </c>
    </row>
    <row r="249" spans="2:6" x14ac:dyDescent="0.3">
      <c r="B249" s="78">
        <v>1004</v>
      </c>
      <c r="C249" s="80" t="s">
        <v>276</v>
      </c>
      <c r="D249" s="80" t="s">
        <v>271</v>
      </c>
      <c r="E249" s="79">
        <v>44409</v>
      </c>
      <c r="F249" s="78">
        <v>22746</v>
      </c>
    </row>
    <row r="250" spans="2:6" x14ac:dyDescent="0.3">
      <c r="B250" s="78">
        <v>2000</v>
      </c>
      <c r="C250" s="80" t="s">
        <v>276</v>
      </c>
      <c r="D250" s="80" t="s">
        <v>271</v>
      </c>
      <c r="E250" s="79">
        <v>44256</v>
      </c>
      <c r="F250" s="78">
        <v>29435</v>
      </c>
    </row>
    <row r="251" spans="2:6" x14ac:dyDescent="0.3">
      <c r="B251" s="78">
        <v>2511</v>
      </c>
      <c r="C251" s="80" t="s">
        <v>276</v>
      </c>
      <c r="D251" s="80" t="s">
        <v>271</v>
      </c>
      <c r="E251" s="79">
        <v>44317</v>
      </c>
      <c r="F251" s="78">
        <v>53266</v>
      </c>
    </row>
    <row r="252" spans="2:6" x14ac:dyDescent="0.3">
      <c r="B252" s="78">
        <v>2749</v>
      </c>
      <c r="C252" s="80" t="s">
        <v>276</v>
      </c>
      <c r="D252" s="80" t="s">
        <v>271</v>
      </c>
      <c r="E252" s="79">
        <v>44256</v>
      </c>
      <c r="F252" s="78">
        <v>133951</v>
      </c>
    </row>
    <row r="253" spans="2:6" x14ac:dyDescent="0.3">
      <c r="B253" s="78">
        <v>3120</v>
      </c>
      <c r="C253" s="80" t="s">
        <v>276</v>
      </c>
      <c r="D253" s="80" t="s">
        <v>271</v>
      </c>
      <c r="E253" s="79">
        <v>44287</v>
      </c>
      <c r="F253" s="78">
        <v>135272</v>
      </c>
    </row>
    <row r="254" spans="2:6" x14ac:dyDescent="0.3">
      <c r="B254" s="78">
        <v>2099</v>
      </c>
      <c r="C254" s="80" t="s">
        <v>276</v>
      </c>
      <c r="D254" s="80" t="s">
        <v>271</v>
      </c>
      <c r="E254" s="79">
        <v>44287</v>
      </c>
      <c r="F254" s="78">
        <v>145328</v>
      </c>
    </row>
    <row r="255" spans="2:6" x14ac:dyDescent="0.3">
      <c r="B255" s="78">
        <v>1324</v>
      </c>
      <c r="C255" s="80" t="s">
        <v>276</v>
      </c>
      <c r="D255" s="80" t="s">
        <v>271</v>
      </c>
      <c r="E255" s="79">
        <v>44501</v>
      </c>
      <c r="F255" s="78">
        <v>188860</v>
      </c>
    </row>
    <row r="256" spans="2:6" x14ac:dyDescent="0.3">
      <c r="B256" s="78">
        <v>302</v>
      </c>
      <c r="C256" s="80" t="s">
        <v>276</v>
      </c>
      <c r="D256" s="80" t="s">
        <v>271</v>
      </c>
      <c r="E256" s="79">
        <v>44197</v>
      </c>
      <c r="F256" s="80">
        <v>193122</v>
      </c>
    </row>
    <row r="257" spans="2:6" x14ac:dyDescent="0.3">
      <c r="B257" s="78">
        <v>1774</v>
      </c>
      <c r="C257" s="80" t="s">
        <v>276</v>
      </c>
      <c r="D257" s="80" t="s">
        <v>271</v>
      </c>
      <c r="E257" s="79">
        <v>44197</v>
      </c>
      <c r="F257" s="78">
        <v>208053</v>
      </c>
    </row>
    <row r="258" spans="2:6" x14ac:dyDescent="0.3">
      <c r="B258" s="78">
        <v>1912</v>
      </c>
      <c r="C258" s="80" t="s">
        <v>276</v>
      </c>
      <c r="D258" s="80" t="s">
        <v>278</v>
      </c>
      <c r="E258" s="79">
        <v>44228</v>
      </c>
      <c r="F258" s="78">
        <v>5187</v>
      </c>
    </row>
    <row r="259" spans="2:6" x14ac:dyDescent="0.3">
      <c r="B259" s="78">
        <v>2735</v>
      </c>
      <c r="C259" s="80" t="s">
        <v>276</v>
      </c>
      <c r="D259" s="80" t="s">
        <v>278</v>
      </c>
      <c r="E259" s="79">
        <v>44378</v>
      </c>
      <c r="F259" s="78">
        <v>12894</v>
      </c>
    </row>
    <row r="260" spans="2:6" x14ac:dyDescent="0.3">
      <c r="B260" s="78">
        <v>2561</v>
      </c>
      <c r="C260" s="80" t="s">
        <v>276</v>
      </c>
      <c r="D260" s="80" t="s">
        <v>278</v>
      </c>
      <c r="E260" s="79">
        <v>44228</v>
      </c>
      <c r="F260" s="78">
        <v>15238</v>
      </c>
    </row>
    <row r="261" spans="2:6" x14ac:dyDescent="0.3">
      <c r="B261" s="78">
        <v>3312</v>
      </c>
      <c r="C261" s="80" t="s">
        <v>276</v>
      </c>
      <c r="D261" s="80" t="s">
        <v>278</v>
      </c>
      <c r="E261" s="79">
        <v>44287</v>
      </c>
      <c r="F261" s="78">
        <v>22839</v>
      </c>
    </row>
    <row r="262" spans="2:6" x14ac:dyDescent="0.3">
      <c r="B262" s="78">
        <v>1191</v>
      </c>
      <c r="C262" s="80" t="s">
        <v>276</v>
      </c>
      <c r="D262" s="80" t="s">
        <v>278</v>
      </c>
      <c r="E262" s="79">
        <v>44228</v>
      </c>
      <c r="F262" s="78">
        <v>33850</v>
      </c>
    </row>
    <row r="263" spans="2:6" x14ac:dyDescent="0.3">
      <c r="B263" s="78">
        <v>2619</v>
      </c>
      <c r="C263" s="80" t="s">
        <v>276</v>
      </c>
      <c r="D263" s="80" t="s">
        <v>278</v>
      </c>
      <c r="E263" s="79">
        <v>44409</v>
      </c>
      <c r="F263" s="78">
        <v>78549</v>
      </c>
    </row>
    <row r="264" spans="2:6" x14ac:dyDescent="0.3">
      <c r="B264" s="78">
        <v>1084</v>
      </c>
      <c r="C264" s="80" t="s">
        <v>276</v>
      </c>
      <c r="D264" s="80" t="s">
        <v>278</v>
      </c>
      <c r="E264" s="79">
        <v>44531</v>
      </c>
      <c r="F264" s="78">
        <v>130275</v>
      </c>
    </row>
    <row r="265" spans="2:6" x14ac:dyDescent="0.3">
      <c r="B265" s="78">
        <v>2407</v>
      </c>
      <c r="C265" s="80" t="s">
        <v>276</v>
      </c>
      <c r="D265" s="80" t="s">
        <v>278</v>
      </c>
      <c r="E265" s="79">
        <v>44409</v>
      </c>
      <c r="F265" s="78">
        <v>155980</v>
      </c>
    </row>
    <row r="266" spans="2:6" x14ac:dyDescent="0.3">
      <c r="B266" s="78">
        <v>3103</v>
      </c>
      <c r="C266" s="80" t="s">
        <v>276</v>
      </c>
      <c r="D266" s="80" t="s">
        <v>278</v>
      </c>
      <c r="E266" s="79">
        <v>44256</v>
      </c>
      <c r="F266" s="78">
        <v>201340</v>
      </c>
    </row>
    <row r="267" spans="2:6" x14ac:dyDescent="0.3">
      <c r="B267" s="78">
        <v>1269</v>
      </c>
      <c r="C267" s="80" t="s">
        <v>276</v>
      </c>
      <c r="D267" s="80" t="s">
        <v>278</v>
      </c>
      <c r="E267" s="79">
        <v>44440</v>
      </c>
      <c r="F267" s="78">
        <v>213879</v>
      </c>
    </row>
    <row r="268" spans="2:6" x14ac:dyDescent="0.3">
      <c r="B268" s="78">
        <v>1776</v>
      </c>
      <c r="C268" s="80" t="s">
        <v>276</v>
      </c>
      <c r="D268" s="80" t="s">
        <v>278</v>
      </c>
      <c r="E268" s="79">
        <v>44287</v>
      </c>
      <c r="F268" s="78">
        <v>216555</v>
      </c>
    </row>
    <row r="269" spans="2:6" x14ac:dyDescent="0.3">
      <c r="B269" s="78">
        <v>3450</v>
      </c>
      <c r="C269" s="80" t="s">
        <v>276</v>
      </c>
      <c r="D269" s="80" t="s">
        <v>273</v>
      </c>
      <c r="E269" s="79">
        <v>44378</v>
      </c>
      <c r="F269" s="78">
        <v>-39689</v>
      </c>
    </row>
    <row r="270" spans="2:6" x14ac:dyDescent="0.3">
      <c r="B270" s="78">
        <v>1296</v>
      </c>
      <c r="C270" s="80" t="s">
        <v>276</v>
      </c>
      <c r="D270" s="80" t="s">
        <v>273</v>
      </c>
      <c r="E270" s="79">
        <v>44197</v>
      </c>
      <c r="F270" s="78">
        <v>1661</v>
      </c>
    </row>
    <row r="271" spans="2:6" x14ac:dyDescent="0.3">
      <c r="B271" s="78">
        <v>2486</v>
      </c>
      <c r="C271" s="80" t="s">
        <v>276</v>
      </c>
      <c r="D271" s="80" t="s">
        <v>273</v>
      </c>
      <c r="E271" s="79">
        <v>44531</v>
      </c>
      <c r="F271" s="78">
        <v>54633</v>
      </c>
    </row>
    <row r="272" spans="2:6" x14ac:dyDescent="0.3">
      <c r="B272" s="78">
        <v>1011</v>
      </c>
      <c r="C272" s="80" t="s">
        <v>276</v>
      </c>
      <c r="D272" s="80" t="s">
        <v>273</v>
      </c>
      <c r="E272" s="79">
        <v>44409</v>
      </c>
      <c r="F272" s="78">
        <v>85536</v>
      </c>
    </row>
    <row r="273" spans="2:6" x14ac:dyDescent="0.3">
      <c r="B273" s="78">
        <v>325</v>
      </c>
      <c r="C273" s="80" t="s">
        <v>276</v>
      </c>
      <c r="D273" s="80" t="s">
        <v>273</v>
      </c>
      <c r="E273" s="79">
        <v>44470</v>
      </c>
      <c r="F273" s="80">
        <v>93656</v>
      </c>
    </row>
    <row r="274" spans="2:6" x14ac:dyDescent="0.3">
      <c r="B274" s="78">
        <v>3333</v>
      </c>
      <c r="C274" s="80" t="s">
        <v>276</v>
      </c>
      <c r="D274" s="80" t="s">
        <v>273</v>
      </c>
      <c r="E274" s="79">
        <v>44440</v>
      </c>
      <c r="F274" s="78">
        <v>98246</v>
      </c>
    </row>
    <row r="275" spans="2:6" x14ac:dyDescent="0.3">
      <c r="B275" s="78">
        <v>3125</v>
      </c>
      <c r="C275" s="80" t="s">
        <v>276</v>
      </c>
      <c r="D275" s="80" t="s">
        <v>273</v>
      </c>
      <c r="E275" s="79">
        <v>44470</v>
      </c>
      <c r="F275" s="78">
        <v>163127</v>
      </c>
    </row>
    <row r="276" spans="2:6" x14ac:dyDescent="0.3">
      <c r="B276" s="78">
        <v>1355</v>
      </c>
      <c r="C276" s="80" t="s">
        <v>276</v>
      </c>
      <c r="D276" s="80" t="s">
        <v>273</v>
      </c>
      <c r="E276" s="79">
        <v>44348</v>
      </c>
      <c r="F276" s="78">
        <v>216695</v>
      </c>
    </row>
    <row r="277" spans="2:6" x14ac:dyDescent="0.3">
      <c r="B277" s="78">
        <v>3412</v>
      </c>
      <c r="C277" s="80" t="s">
        <v>274</v>
      </c>
      <c r="D277" s="80" t="s">
        <v>279</v>
      </c>
      <c r="E277" s="79">
        <v>44228</v>
      </c>
      <c r="F277" s="78">
        <v>-11610</v>
      </c>
    </row>
    <row r="278" spans="2:6" x14ac:dyDescent="0.3">
      <c r="B278" s="78">
        <v>1115</v>
      </c>
      <c r="C278" s="80" t="s">
        <v>274</v>
      </c>
      <c r="D278" s="80" t="s">
        <v>279</v>
      </c>
      <c r="E278" s="79">
        <v>44256</v>
      </c>
      <c r="F278" s="78">
        <v>48808</v>
      </c>
    </row>
    <row r="279" spans="2:6" x14ac:dyDescent="0.3">
      <c r="B279" s="78">
        <v>1964</v>
      </c>
      <c r="C279" s="80" t="s">
        <v>274</v>
      </c>
      <c r="D279" s="80" t="s">
        <v>279</v>
      </c>
      <c r="E279" s="79">
        <v>44197</v>
      </c>
      <c r="F279" s="78">
        <v>100486</v>
      </c>
    </row>
    <row r="280" spans="2:6" x14ac:dyDescent="0.3">
      <c r="B280" s="78">
        <v>3361</v>
      </c>
      <c r="C280" s="80" t="s">
        <v>274</v>
      </c>
      <c r="D280" s="80" t="s">
        <v>279</v>
      </c>
      <c r="E280" s="79">
        <v>44317</v>
      </c>
      <c r="F280" s="78">
        <v>111998</v>
      </c>
    </row>
    <row r="281" spans="2:6" x14ac:dyDescent="0.3">
      <c r="B281" s="78">
        <v>3173</v>
      </c>
      <c r="C281" s="80" t="s">
        <v>274</v>
      </c>
      <c r="D281" s="80" t="s">
        <v>279</v>
      </c>
      <c r="E281" s="79">
        <v>44409</v>
      </c>
      <c r="F281" s="78">
        <v>216458</v>
      </c>
    </row>
    <row r="282" spans="2:6" x14ac:dyDescent="0.3">
      <c r="B282" s="78">
        <v>2778</v>
      </c>
      <c r="C282" s="80" t="s">
        <v>274</v>
      </c>
      <c r="D282" s="80" t="s">
        <v>279</v>
      </c>
      <c r="E282" s="79">
        <v>44440</v>
      </c>
      <c r="F282" s="78">
        <v>256402</v>
      </c>
    </row>
    <row r="283" spans="2:6" x14ac:dyDescent="0.3">
      <c r="B283" s="78">
        <v>2601</v>
      </c>
      <c r="C283" s="80" t="s">
        <v>274</v>
      </c>
      <c r="D283" s="80" t="s">
        <v>275</v>
      </c>
      <c r="E283" s="79">
        <v>44317</v>
      </c>
      <c r="F283" s="78">
        <v>1519</v>
      </c>
    </row>
    <row r="284" spans="2:6" x14ac:dyDescent="0.3">
      <c r="B284" s="78">
        <v>1112</v>
      </c>
      <c r="C284" s="80" t="s">
        <v>274</v>
      </c>
      <c r="D284" s="80" t="s">
        <v>275</v>
      </c>
      <c r="E284" s="79">
        <v>44470</v>
      </c>
      <c r="F284" s="78">
        <v>13328</v>
      </c>
    </row>
    <row r="285" spans="2:6" x14ac:dyDescent="0.3">
      <c r="B285" s="78">
        <v>1833</v>
      </c>
      <c r="C285" s="80" t="s">
        <v>274</v>
      </c>
      <c r="D285" s="80" t="s">
        <v>275</v>
      </c>
      <c r="E285" s="79">
        <v>44287</v>
      </c>
      <c r="F285" s="78">
        <v>73394</v>
      </c>
    </row>
    <row r="286" spans="2:6" x14ac:dyDescent="0.3">
      <c r="B286" s="78">
        <v>441</v>
      </c>
      <c r="C286" s="80" t="s">
        <v>274</v>
      </c>
      <c r="D286" s="80" t="s">
        <v>275</v>
      </c>
      <c r="E286" s="79">
        <v>44531</v>
      </c>
      <c r="F286" s="80">
        <v>82089</v>
      </c>
    </row>
    <row r="287" spans="2:6" x14ac:dyDescent="0.3">
      <c r="B287" s="78">
        <v>1829</v>
      </c>
      <c r="C287" s="80" t="s">
        <v>274</v>
      </c>
      <c r="D287" s="80" t="s">
        <v>275</v>
      </c>
      <c r="E287" s="79">
        <v>44378</v>
      </c>
      <c r="F287" s="78">
        <v>185869</v>
      </c>
    </row>
    <row r="288" spans="2:6" x14ac:dyDescent="0.3">
      <c r="B288" s="78">
        <v>2480</v>
      </c>
      <c r="C288" s="80" t="s">
        <v>274</v>
      </c>
      <c r="D288" s="80" t="s">
        <v>271</v>
      </c>
      <c r="E288" s="79">
        <v>44531</v>
      </c>
      <c r="F288" s="78">
        <v>1365</v>
      </c>
    </row>
    <row r="289" spans="2:6" x14ac:dyDescent="0.3">
      <c r="B289" s="78">
        <v>2705</v>
      </c>
      <c r="C289" s="80" t="s">
        <v>274</v>
      </c>
      <c r="D289" s="80" t="s">
        <v>271</v>
      </c>
      <c r="E289" s="79">
        <v>44256</v>
      </c>
      <c r="F289" s="78">
        <v>6845</v>
      </c>
    </row>
    <row r="290" spans="2:6" x14ac:dyDescent="0.3">
      <c r="B290" s="78">
        <v>681</v>
      </c>
      <c r="C290" s="80" t="s">
        <v>274</v>
      </c>
      <c r="D290" s="80" t="s">
        <v>271</v>
      </c>
      <c r="E290" s="79">
        <v>44409</v>
      </c>
      <c r="F290" s="80">
        <v>17711</v>
      </c>
    </row>
    <row r="291" spans="2:6" x14ac:dyDescent="0.3">
      <c r="B291" s="78">
        <v>3179</v>
      </c>
      <c r="C291" s="80" t="s">
        <v>274</v>
      </c>
      <c r="D291" s="80" t="s">
        <v>271</v>
      </c>
      <c r="E291" s="79">
        <v>44256</v>
      </c>
      <c r="F291" s="78">
        <v>39973</v>
      </c>
    </row>
    <row r="292" spans="2:6" x14ac:dyDescent="0.3">
      <c r="B292" s="78">
        <v>1381</v>
      </c>
      <c r="C292" s="80" t="s">
        <v>274</v>
      </c>
      <c r="D292" s="80" t="s">
        <v>271</v>
      </c>
      <c r="E292" s="79">
        <v>44409</v>
      </c>
      <c r="F292" s="78">
        <v>102572</v>
      </c>
    </row>
    <row r="293" spans="2:6" x14ac:dyDescent="0.3">
      <c r="B293" s="78">
        <v>2458</v>
      </c>
      <c r="C293" s="80" t="s">
        <v>274</v>
      </c>
      <c r="D293" s="80" t="s">
        <v>271</v>
      </c>
      <c r="E293" s="79">
        <v>44378</v>
      </c>
      <c r="F293" s="78">
        <v>121986</v>
      </c>
    </row>
    <row r="294" spans="2:6" x14ac:dyDescent="0.3">
      <c r="B294" s="78">
        <v>1079</v>
      </c>
      <c r="C294" s="80" t="s">
        <v>274</v>
      </c>
      <c r="D294" s="80" t="s">
        <v>271</v>
      </c>
      <c r="E294" s="79">
        <v>44256</v>
      </c>
      <c r="F294" s="78">
        <v>132363</v>
      </c>
    </row>
    <row r="295" spans="2:6" x14ac:dyDescent="0.3">
      <c r="B295" s="78">
        <v>2479</v>
      </c>
      <c r="C295" s="80" t="s">
        <v>274</v>
      </c>
      <c r="D295" s="80" t="s">
        <v>271</v>
      </c>
      <c r="E295" s="79">
        <v>44440</v>
      </c>
      <c r="F295" s="78">
        <v>160752</v>
      </c>
    </row>
    <row r="296" spans="2:6" x14ac:dyDescent="0.3">
      <c r="B296" s="78">
        <v>1285</v>
      </c>
      <c r="C296" s="80" t="s">
        <v>274</v>
      </c>
      <c r="D296" s="80" t="s">
        <v>278</v>
      </c>
      <c r="E296" s="79">
        <v>44228</v>
      </c>
      <c r="F296" s="78">
        <v>7298</v>
      </c>
    </row>
    <row r="297" spans="2:6" x14ac:dyDescent="0.3">
      <c r="B297" s="78">
        <v>3249</v>
      </c>
      <c r="C297" s="80" t="s">
        <v>274</v>
      </c>
      <c r="D297" s="80" t="s">
        <v>278</v>
      </c>
      <c r="E297" s="79">
        <v>44348</v>
      </c>
      <c r="F297" s="78">
        <v>11238</v>
      </c>
    </row>
    <row r="298" spans="2:6" x14ac:dyDescent="0.3">
      <c r="B298" s="78">
        <v>640</v>
      </c>
      <c r="C298" s="80" t="s">
        <v>274</v>
      </c>
      <c r="D298" s="80" t="s">
        <v>278</v>
      </c>
      <c r="E298" s="79">
        <v>44287</v>
      </c>
      <c r="F298" s="80">
        <v>27542</v>
      </c>
    </row>
    <row r="299" spans="2:6" x14ac:dyDescent="0.3">
      <c r="B299" s="78">
        <v>1709</v>
      </c>
      <c r="C299" s="80" t="s">
        <v>274</v>
      </c>
      <c r="D299" s="80" t="s">
        <v>278</v>
      </c>
      <c r="E299" s="79">
        <v>44228</v>
      </c>
      <c r="F299" s="78">
        <v>33876</v>
      </c>
    </row>
    <row r="300" spans="2:6" x14ac:dyDescent="0.3">
      <c r="B300" s="78">
        <v>2441</v>
      </c>
      <c r="C300" s="80" t="s">
        <v>274</v>
      </c>
      <c r="D300" s="80" t="s">
        <v>278</v>
      </c>
      <c r="E300" s="79">
        <v>44470</v>
      </c>
      <c r="F300" s="78">
        <v>39494</v>
      </c>
    </row>
    <row r="301" spans="2:6" x14ac:dyDescent="0.3">
      <c r="B301" s="78">
        <v>2549</v>
      </c>
      <c r="C301" s="80" t="s">
        <v>274</v>
      </c>
      <c r="D301" s="80" t="s">
        <v>278</v>
      </c>
      <c r="E301" s="79">
        <v>44348</v>
      </c>
      <c r="F301" s="78">
        <v>96983</v>
      </c>
    </row>
    <row r="302" spans="2:6" x14ac:dyDescent="0.3">
      <c r="B302" s="78">
        <v>2495</v>
      </c>
      <c r="C302" s="80" t="s">
        <v>274</v>
      </c>
      <c r="D302" s="80" t="s">
        <v>278</v>
      </c>
      <c r="E302" s="79">
        <v>44348</v>
      </c>
      <c r="F302" s="78">
        <v>130437</v>
      </c>
    </row>
    <row r="303" spans="2:6" x14ac:dyDescent="0.3">
      <c r="B303" s="78">
        <v>309</v>
      </c>
      <c r="C303" s="80" t="s">
        <v>274</v>
      </c>
      <c r="D303" s="80" t="s">
        <v>278</v>
      </c>
      <c r="E303" s="79">
        <v>44409</v>
      </c>
      <c r="F303" s="80">
        <v>149617</v>
      </c>
    </row>
    <row r="304" spans="2:6" x14ac:dyDescent="0.3">
      <c r="B304" s="78">
        <v>591</v>
      </c>
      <c r="C304" s="80" t="s">
        <v>274</v>
      </c>
      <c r="D304" s="80" t="s">
        <v>278</v>
      </c>
      <c r="E304" s="79">
        <v>44531</v>
      </c>
      <c r="F304" s="80">
        <v>166353</v>
      </c>
    </row>
    <row r="305" spans="2:6" x14ac:dyDescent="0.3">
      <c r="B305" s="78">
        <v>3159</v>
      </c>
      <c r="C305" s="80" t="s">
        <v>274</v>
      </c>
      <c r="D305" s="80" t="s">
        <v>278</v>
      </c>
      <c r="E305" s="79">
        <v>44197</v>
      </c>
      <c r="F305" s="78">
        <v>219774</v>
      </c>
    </row>
    <row r="306" spans="2:6" x14ac:dyDescent="0.3">
      <c r="B306" s="78">
        <v>3252</v>
      </c>
      <c r="C306" s="80" t="s">
        <v>274</v>
      </c>
      <c r="D306" s="80" t="s">
        <v>278</v>
      </c>
      <c r="E306" s="79">
        <v>44378</v>
      </c>
      <c r="F306" s="78">
        <v>226327</v>
      </c>
    </row>
    <row r="307" spans="2:6" x14ac:dyDescent="0.3">
      <c r="B307" s="78">
        <v>3440</v>
      </c>
      <c r="C307" s="80" t="s">
        <v>274</v>
      </c>
      <c r="D307" s="80" t="s">
        <v>278</v>
      </c>
      <c r="E307" s="79">
        <v>44317</v>
      </c>
      <c r="F307" s="78">
        <v>239368</v>
      </c>
    </row>
    <row r="308" spans="2:6" x14ac:dyDescent="0.3">
      <c r="B308" s="78">
        <v>492</v>
      </c>
      <c r="C308" s="80" t="s">
        <v>274</v>
      </c>
      <c r="D308" s="80" t="s">
        <v>278</v>
      </c>
      <c r="E308" s="79">
        <v>44197</v>
      </c>
      <c r="F308" s="80">
        <v>244677</v>
      </c>
    </row>
    <row r="309" spans="2:6" x14ac:dyDescent="0.3">
      <c r="B309" s="78">
        <v>1070</v>
      </c>
      <c r="C309" s="80" t="s">
        <v>274</v>
      </c>
      <c r="D309" s="80" t="s">
        <v>273</v>
      </c>
      <c r="E309" s="79">
        <v>44197</v>
      </c>
      <c r="F309" s="78">
        <v>8675</v>
      </c>
    </row>
    <row r="310" spans="2:6" x14ac:dyDescent="0.3">
      <c r="B310" s="78">
        <v>3287</v>
      </c>
      <c r="C310" s="80" t="s">
        <v>274</v>
      </c>
      <c r="D310" s="80" t="s">
        <v>273</v>
      </c>
      <c r="E310" s="79">
        <v>44440</v>
      </c>
      <c r="F310" s="78">
        <v>12156</v>
      </c>
    </row>
    <row r="311" spans="2:6" x14ac:dyDescent="0.3">
      <c r="B311" s="78">
        <v>1331</v>
      </c>
      <c r="C311" s="80" t="s">
        <v>274</v>
      </c>
      <c r="D311" s="80" t="s">
        <v>273</v>
      </c>
      <c r="E311" s="79">
        <v>44531</v>
      </c>
      <c r="F311" s="78">
        <v>60882</v>
      </c>
    </row>
    <row r="312" spans="2:6" x14ac:dyDescent="0.3">
      <c r="B312" s="78">
        <v>2537</v>
      </c>
      <c r="C312" s="80" t="s">
        <v>274</v>
      </c>
      <c r="D312" s="80" t="s">
        <v>273</v>
      </c>
      <c r="E312" s="79">
        <v>44409</v>
      </c>
      <c r="F312" s="78">
        <v>110965</v>
      </c>
    </row>
    <row r="313" spans="2:6" x14ac:dyDescent="0.3">
      <c r="B313" s="78">
        <v>3479</v>
      </c>
      <c r="C313" s="80" t="s">
        <v>274</v>
      </c>
      <c r="D313" s="80" t="s">
        <v>273</v>
      </c>
      <c r="E313" s="79">
        <v>44317</v>
      </c>
      <c r="F313" s="78">
        <v>125616</v>
      </c>
    </row>
    <row r="314" spans="2:6" x14ac:dyDescent="0.3">
      <c r="B314" s="78">
        <v>1260</v>
      </c>
      <c r="C314" s="80" t="s">
        <v>274</v>
      </c>
      <c r="D314" s="80" t="s">
        <v>273</v>
      </c>
      <c r="E314" s="79">
        <v>44531</v>
      </c>
      <c r="F314" s="78">
        <v>152076</v>
      </c>
    </row>
    <row r="315" spans="2:6" x14ac:dyDescent="0.3">
      <c r="B315" s="78">
        <v>1091</v>
      </c>
      <c r="C315" s="80" t="s">
        <v>274</v>
      </c>
      <c r="D315" s="80" t="s">
        <v>273</v>
      </c>
      <c r="E315" s="79">
        <v>44470</v>
      </c>
      <c r="F315" s="78">
        <v>174302</v>
      </c>
    </row>
    <row r="316" spans="2:6" x14ac:dyDescent="0.3">
      <c r="B316" s="78">
        <v>1848</v>
      </c>
      <c r="C316" s="80" t="s">
        <v>274</v>
      </c>
      <c r="D316" s="80" t="s">
        <v>273</v>
      </c>
      <c r="E316" s="79">
        <v>44470</v>
      </c>
      <c r="F316" s="78">
        <v>175018</v>
      </c>
    </row>
    <row r="317" spans="2:6" x14ac:dyDescent="0.3">
      <c r="B317" s="78">
        <v>2657</v>
      </c>
      <c r="C317" s="80" t="s">
        <v>274</v>
      </c>
      <c r="D317" s="80" t="s">
        <v>273</v>
      </c>
      <c r="E317" s="79">
        <v>44287</v>
      </c>
      <c r="F317" s="78">
        <v>221658</v>
      </c>
    </row>
    <row r="318" spans="2:6" x14ac:dyDescent="0.3">
      <c r="B318" s="78">
        <v>3268</v>
      </c>
      <c r="C318" s="80" t="s">
        <v>274</v>
      </c>
      <c r="D318" s="80" t="s">
        <v>273</v>
      </c>
      <c r="E318" s="79">
        <v>44470</v>
      </c>
      <c r="F318" s="78">
        <v>245470</v>
      </c>
    </row>
    <row r="319" spans="2:6" x14ac:dyDescent="0.3">
      <c r="B319" s="78">
        <v>1868</v>
      </c>
      <c r="C319" s="80" t="s">
        <v>274</v>
      </c>
      <c r="D319" s="80" t="s">
        <v>273</v>
      </c>
      <c r="E319" s="79">
        <v>44197</v>
      </c>
      <c r="F319" s="78">
        <v>248756</v>
      </c>
    </row>
  </sheetData>
  <mergeCells count="2">
    <mergeCell ref="B2:J2"/>
    <mergeCell ref="B3:J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859D9-6781-42C1-A78C-69708DF9DA31}">
  <dimension ref="B2:J318"/>
  <sheetViews>
    <sheetView workbookViewId="0">
      <selection activeCell="H11" sqref="H11"/>
    </sheetView>
  </sheetViews>
  <sheetFormatPr defaultRowHeight="14.4" x14ac:dyDescent="0.3"/>
  <cols>
    <col min="2" max="2" width="5" bestFit="1" customWidth="1"/>
    <col min="3" max="3" width="14.88671875" bestFit="1" customWidth="1"/>
    <col min="4" max="4" width="21.5546875" bestFit="1" customWidth="1"/>
    <col min="5" max="5" width="10.33203125" bestFit="1" customWidth="1"/>
    <col min="6" max="6" width="7" bestFit="1" customWidth="1"/>
    <col min="10" max="10" width="14.109375" bestFit="1" customWidth="1"/>
  </cols>
  <sheetData>
    <row r="2" spans="2:10" ht="18" x14ac:dyDescent="0.35">
      <c r="B2" s="68" t="s">
        <v>350</v>
      </c>
    </row>
    <row r="5" spans="2:10" ht="18" x14ac:dyDescent="0.35">
      <c r="B5" s="78" t="s">
        <v>286</v>
      </c>
      <c r="C5" s="80" t="s">
        <v>285</v>
      </c>
      <c r="D5" s="80" t="s">
        <v>284</v>
      </c>
      <c r="E5" s="80" t="s">
        <v>283</v>
      </c>
      <c r="F5" s="80" t="s">
        <v>282</v>
      </c>
      <c r="J5" s="119" t="s">
        <v>352</v>
      </c>
    </row>
    <row r="6" spans="2:10" x14ac:dyDescent="0.3">
      <c r="B6" s="78">
        <v>3331</v>
      </c>
      <c r="C6" s="80" t="s">
        <v>277</v>
      </c>
      <c r="D6" s="80" t="s">
        <v>279</v>
      </c>
      <c r="E6" s="79">
        <v>44348</v>
      </c>
      <c r="F6" s="78">
        <v>-14202</v>
      </c>
    </row>
    <row r="7" spans="2:10" x14ac:dyDescent="0.3">
      <c r="B7" s="78">
        <v>695</v>
      </c>
      <c r="C7" s="80" t="s">
        <v>277</v>
      </c>
      <c r="D7" s="80" t="s">
        <v>279</v>
      </c>
      <c r="E7" s="79">
        <v>44348</v>
      </c>
      <c r="F7" s="80">
        <v>17043</v>
      </c>
    </row>
    <row r="8" spans="2:10" x14ac:dyDescent="0.3">
      <c r="B8" s="78">
        <v>526</v>
      </c>
      <c r="C8" s="80" t="s">
        <v>277</v>
      </c>
      <c r="D8" s="80" t="s">
        <v>279</v>
      </c>
      <c r="E8" s="79">
        <v>44409</v>
      </c>
      <c r="F8" s="80">
        <v>55010</v>
      </c>
    </row>
    <row r="9" spans="2:10" x14ac:dyDescent="0.3">
      <c r="B9" s="78">
        <v>1746</v>
      </c>
      <c r="C9" s="80" t="s">
        <v>277</v>
      </c>
      <c r="D9" s="80" t="s">
        <v>279</v>
      </c>
      <c r="E9" s="79">
        <v>44197</v>
      </c>
      <c r="F9" s="78">
        <v>60394</v>
      </c>
    </row>
    <row r="10" spans="2:10" x14ac:dyDescent="0.3">
      <c r="B10" s="78">
        <v>346</v>
      </c>
      <c r="C10" s="80" t="s">
        <v>277</v>
      </c>
      <c r="D10" s="80" t="s">
        <v>279</v>
      </c>
      <c r="E10" s="79">
        <v>44317</v>
      </c>
      <c r="F10" s="80">
        <v>166490</v>
      </c>
    </row>
    <row r="11" spans="2:10" x14ac:dyDescent="0.3">
      <c r="B11" s="78">
        <v>1727</v>
      </c>
      <c r="C11" s="80" t="s">
        <v>277</v>
      </c>
      <c r="D11" s="80" t="s">
        <v>279</v>
      </c>
      <c r="E11" s="79">
        <v>44287</v>
      </c>
      <c r="F11" s="78">
        <v>196137</v>
      </c>
    </row>
    <row r="12" spans="2:10" x14ac:dyDescent="0.3">
      <c r="B12" s="78">
        <v>405</v>
      </c>
      <c r="C12" s="80" t="s">
        <v>277</v>
      </c>
      <c r="D12" s="80" t="s">
        <v>279</v>
      </c>
      <c r="E12" s="79">
        <v>44531</v>
      </c>
      <c r="F12" s="80">
        <v>219249</v>
      </c>
    </row>
    <row r="13" spans="2:10" x14ac:dyDescent="0.3">
      <c r="B13" s="78">
        <v>3127</v>
      </c>
      <c r="C13" s="80" t="s">
        <v>277</v>
      </c>
      <c r="D13" s="80" t="s">
        <v>279</v>
      </c>
      <c r="E13" s="79">
        <v>44531</v>
      </c>
      <c r="F13" s="78">
        <v>232472</v>
      </c>
    </row>
    <row r="14" spans="2:10" x14ac:dyDescent="0.3">
      <c r="B14" s="78">
        <v>2715</v>
      </c>
      <c r="C14" s="80" t="s">
        <v>277</v>
      </c>
      <c r="D14" s="80" t="s">
        <v>275</v>
      </c>
      <c r="E14" s="79">
        <v>44501</v>
      </c>
      <c r="F14" s="78">
        <v>39271</v>
      </c>
    </row>
    <row r="15" spans="2:10" x14ac:dyDescent="0.3">
      <c r="B15" s="78">
        <v>329</v>
      </c>
      <c r="C15" s="80" t="s">
        <v>277</v>
      </c>
      <c r="D15" s="80" t="s">
        <v>275</v>
      </c>
      <c r="E15" s="79">
        <v>44440</v>
      </c>
      <c r="F15" s="80">
        <v>60921</v>
      </c>
    </row>
    <row r="16" spans="2:10" x14ac:dyDescent="0.3">
      <c r="B16" s="78">
        <v>423</v>
      </c>
      <c r="C16" s="80" t="s">
        <v>277</v>
      </c>
      <c r="D16" s="80" t="s">
        <v>275</v>
      </c>
      <c r="E16" s="79">
        <v>44409</v>
      </c>
      <c r="F16" s="80">
        <v>87532</v>
      </c>
    </row>
    <row r="17" spans="2:6" x14ac:dyDescent="0.3">
      <c r="B17" s="78">
        <v>2577</v>
      </c>
      <c r="C17" s="80" t="s">
        <v>277</v>
      </c>
      <c r="D17" s="80" t="s">
        <v>275</v>
      </c>
      <c r="E17" s="79">
        <v>44287</v>
      </c>
      <c r="F17" s="78">
        <v>89649</v>
      </c>
    </row>
    <row r="18" spans="2:6" x14ac:dyDescent="0.3">
      <c r="B18" s="78">
        <v>1783</v>
      </c>
      <c r="C18" s="80" t="s">
        <v>277</v>
      </c>
      <c r="D18" s="80" t="s">
        <v>275</v>
      </c>
      <c r="E18" s="79">
        <v>44531</v>
      </c>
      <c r="F18" s="78">
        <v>112636</v>
      </c>
    </row>
    <row r="19" spans="2:6" x14ac:dyDescent="0.3">
      <c r="B19" s="78">
        <v>3189</v>
      </c>
      <c r="C19" s="80" t="s">
        <v>277</v>
      </c>
      <c r="D19" s="80" t="s">
        <v>275</v>
      </c>
      <c r="E19" s="79">
        <v>44501</v>
      </c>
      <c r="F19" s="78">
        <v>195638</v>
      </c>
    </row>
    <row r="20" spans="2:6" x14ac:dyDescent="0.3">
      <c r="B20" s="78">
        <v>1053</v>
      </c>
      <c r="C20" s="80" t="s">
        <v>277</v>
      </c>
      <c r="D20" s="80" t="s">
        <v>275</v>
      </c>
      <c r="E20" s="79">
        <v>44501</v>
      </c>
      <c r="F20" s="78">
        <v>211082</v>
      </c>
    </row>
    <row r="21" spans="2:6" x14ac:dyDescent="0.3">
      <c r="B21" s="78">
        <v>1823</v>
      </c>
      <c r="C21" s="80" t="s">
        <v>277</v>
      </c>
      <c r="D21" s="80" t="s">
        <v>275</v>
      </c>
      <c r="E21" s="79">
        <v>44317</v>
      </c>
      <c r="F21" s="78">
        <v>223042</v>
      </c>
    </row>
    <row r="22" spans="2:6" x14ac:dyDescent="0.3">
      <c r="B22" s="78">
        <v>2466</v>
      </c>
      <c r="C22" s="80" t="s">
        <v>277</v>
      </c>
      <c r="D22" s="80" t="s">
        <v>275</v>
      </c>
      <c r="E22" s="79">
        <v>44440</v>
      </c>
      <c r="F22" s="78">
        <v>258051</v>
      </c>
    </row>
    <row r="23" spans="2:6" x14ac:dyDescent="0.3">
      <c r="B23" s="78">
        <v>1121</v>
      </c>
      <c r="C23" s="80" t="s">
        <v>277</v>
      </c>
      <c r="D23" s="80" t="s">
        <v>275</v>
      </c>
      <c r="E23" s="79">
        <v>44317</v>
      </c>
      <c r="F23" s="78">
        <v>258583</v>
      </c>
    </row>
    <row r="24" spans="2:6" x14ac:dyDescent="0.3">
      <c r="B24" s="78">
        <v>3106</v>
      </c>
      <c r="C24" s="80" t="s">
        <v>277</v>
      </c>
      <c r="D24" s="80" t="s">
        <v>271</v>
      </c>
      <c r="E24" s="79">
        <v>44501</v>
      </c>
      <c r="F24" s="78">
        <v>55433</v>
      </c>
    </row>
    <row r="25" spans="2:6" x14ac:dyDescent="0.3">
      <c r="B25" s="78">
        <v>1989</v>
      </c>
      <c r="C25" s="80" t="s">
        <v>277</v>
      </c>
      <c r="D25" s="80" t="s">
        <v>271</v>
      </c>
      <c r="E25" s="79">
        <v>44287</v>
      </c>
      <c r="F25" s="78">
        <v>61230</v>
      </c>
    </row>
    <row r="26" spans="2:6" x14ac:dyDescent="0.3">
      <c r="B26" s="78">
        <v>2001</v>
      </c>
      <c r="C26" s="80" t="s">
        <v>277</v>
      </c>
      <c r="D26" s="80" t="s">
        <v>271</v>
      </c>
      <c r="E26" s="79">
        <v>44228</v>
      </c>
      <c r="F26" s="78">
        <v>74022</v>
      </c>
    </row>
    <row r="27" spans="2:6" x14ac:dyDescent="0.3">
      <c r="B27" s="78">
        <v>688</v>
      </c>
      <c r="C27" s="80" t="s">
        <v>277</v>
      </c>
      <c r="D27" s="80" t="s">
        <v>271</v>
      </c>
      <c r="E27" s="79">
        <v>44256</v>
      </c>
      <c r="F27" s="80">
        <v>87460</v>
      </c>
    </row>
    <row r="28" spans="2:6" x14ac:dyDescent="0.3">
      <c r="B28" s="78">
        <v>2475</v>
      </c>
      <c r="C28" s="80" t="s">
        <v>277</v>
      </c>
      <c r="D28" s="80" t="s">
        <v>271</v>
      </c>
      <c r="E28" s="79">
        <v>44256</v>
      </c>
      <c r="F28" s="78">
        <v>114470</v>
      </c>
    </row>
    <row r="29" spans="2:6" x14ac:dyDescent="0.3">
      <c r="B29" s="78">
        <v>3307</v>
      </c>
      <c r="C29" s="80" t="s">
        <v>277</v>
      </c>
      <c r="D29" s="80" t="s">
        <v>271</v>
      </c>
      <c r="E29" s="79">
        <v>44348</v>
      </c>
      <c r="F29" s="78">
        <v>223894</v>
      </c>
    </row>
    <row r="30" spans="2:6" x14ac:dyDescent="0.3">
      <c r="B30" s="78">
        <v>1706</v>
      </c>
      <c r="C30" s="80" t="s">
        <v>277</v>
      </c>
      <c r="D30" s="80" t="s">
        <v>271</v>
      </c>
      <c r="E30" s="79">
        <v>44287</v>
      </c>
      <c r="F30" s="78">
        <v>247904</v>
      </c>
    </row>
    <row r="31" spans="2:6" x14ac:dyDescent="0.3">
      <c r="B31" s="78">
        <v>3224</v>
      </c>
      <c r="C31" s="80" t="s">
        <v>277</v>
      </c>
      <c r="D31" s="80" t="s">
        <v>271</v>
      </c>
      <c r="E31" s="79">
        <v>44197</v>
      </c>
      <c r="F31" s="78">
        <v>256329</v>
      </c>
    </row>
    <row r="32" spans="2:6" x14ac:dyDescent="0.3">
      <c r="B32" s="78">
        <v>686</v>
      </c>
      <c r="C32" s="80" t="s">
        <v>277</v>
      </c>
      <c r="D32" s="80" t="s">
        <v>278</v>
      </c>
      <c r="E32" s="79">
        <v>44470</v>
      </c>
      <c r="F32" s="80">
        <v>18670</v>
      </c>
    </row>
    <row r="33" spans="2:6" x14ac:dyDescent="0.3">
      <c r="B33" s="78">
        <v>3305</v>
      </c>
      <c r="C33" s="80" t="s">
        <v>277</v>
      </c>
      <c r="D33" s="80" t="s">
        <v>278</v>
      </c>
      <c r="E33" s="79">
        <v>44256</v>
      </c>
      <c r="F33" s="78">
        <v>155535</v>
      </c>
    </row>
    <row r="34" spans="2:6" x14ac:dyDescent="0.3">
      <c r="B34" s="78">
        <v>2716</v>
      </c>
      <c r="C34" s="80" t="s">
        <v>277</v>
      </c>
      <c r="D34" s="80" t="s">
        <v>278</v>
      </c>
      <c r="E34" s="79">
        <v>44440</v>
      </c>
      <c r="F34" s="78">
        <v>208038</v>
      </c>
    </row>
    <row r="35" spans="2:6" x14ac:dyDescent="0.3">
      <c r="B35" s="78">
        <v>1244</v>
      </c>
      <c r="C35" s="80" t="s">
        <v>277</v>
      </c>
      <c r="D35" s="80" t="s">
        <v>278</v>
      </c>
      <c r="E35" s="79">
        <v>44378</v>
      </c>
      <c r="F35" s="78">
        <v>219148</v>
      </c>
    </row>
    <row r="36" spans="2:6" x14ac:dyDescent="0.3">
      <c r="B36" s="78">
        <v>1788</v>
      </c>
      <c r="C36" s="80" t="s">
        <v>277</v>
      </c>
      <c r="D36" s="80" t="s">
        <v>278</v>
      </c>
      <c r="E36" s="79">
        <v>44317</v>
      </c>
      <c r="F36" s="78">
        <v>232025</v>
      </c>
    </row>
    <row r="37" spans="2:6" x14ac:dyDescent="0.3">
      <c r="B37" s="78">
        <v>451</v>
      </c>
      <c r="C37" s="80" t="s">
        <v>277</v>
      </c>
      <c r="D37" s="80" t="s">
        <v>278</v>
      </c>
      <c r="E37" s="79">
        <v>44440</v>
      </c>
      <c r="F37" s="80">
        <v>242254</v>
      </c>
    </row>
    <row r="38" spans="2:6" x14ac:dyDescent="0.3">
      <c r="B38" s="78">
        <v>1743</v>
      </c>
      <c r="C38" s="80" t="s">
        <v>277</v>
      </c>
      <c r="D38" s="80" t="s">
        <v>273</v>
      </c>
      <c r="E38" s="79">
        <v>44197</v>
      </c>
      <c r="F38" s="78">
        <v>6345</v>
      </c>
    </row>
    <row r="39" spans="2:6" x14ac:dyDescent="0.3">
      <c r="B39" s="78">
        <v>1782</v>
      </c>
      <c r="C39" s="80" t="s">
        <v>277</v>
      </c>
      <c r="D39" s="80" t="s">
        <v>273</v>
      </c>
      <c r="E39" s="79">
        <v>44256</v>
      </c>
      <c r="F39" s="78">
        <v>30219</v>
      </c>
    </row>
    <row r="40" spans="2:6" x14ac:dyDescent="0.3">
      <c r="B40" s="78">
        <v>1048</v>
      </c>
      <c r="C40" s="80" t="s">
        <v>277</v>
      </c>
      <c r="D40" s="80" t="s">
        <v>273</v>
      </c>
      <c r="E40" s="79">
        <v>44197</v>
      </c>
      <c r="F40" s="78">
        <v>41318</v>
      </c>
    </row>
    <row r="41" spans="2:6" x14ac:dyDescent="0.3">
      <c r="B41" s="78">
        <v>3122</v>
      </c>
      <c r="C41" s="80" t="s">
        <v>277</v>
      </c>
      <c r="D41" s="80" t="s">
        <v>273</v>
      </c>
      <c r="E41" s="79">
        <v>44378</v>
      </c>
      <c r="F41" s="78">
        <v>59920</v>
      </c>
    </row>
    <row r="42" spans="2:6" x14ac:dyDescent="0.3">
      <c r="B42" s="78">
        <v>3379</v>
      </c>
      <c r="C42" s="80" t="s">
        <v>277</v>
      </c>
      <c r="D42" s="80" t="s">
        <v>273</v>
      </c>
      <c r="E42" s="79">
        <v>44440</v>
      </c>
      <c r="F42" s="78">
        <v>74093</v>
      </c>
    </row>
    <row r="43" spans="2:6" x14ac:dyDescent="0.3">
      <c r="B43" s="78">
        <v>1024</v>
      </c>
      <c r="C43" s="80" t="s">
        <v>277</v>
      </c>
      <c r="D43" s="80" t="s">
        <v>273</v>
      </c>
      <c r="E43" s="79">
        <v>44409</v>
      </c>
      <c r="F43" s="78">
        <v>124717</v>
      </c>
    </row>
    <row r="44" spans="2:6" x14ac:dyDescent="0.3">
      <c r="B44" s="78">
        <v>568</v>
      </c>
      <c r="C44" s="80" t="s">
        <v>277</v>
      </c>
      <c r="D44" s="80" t="s">
        <v>273</v>
      </c>
      <c r="E44" s="79">
        <v>44531</v>
      </c>
      <c r="F44" s="80">
        <v>142874</v>
      </c>
    </row>
    <row r="45" spans="2:6" x14ac:dyDescent="0.3">
      <c r="B45" s="78">
        <v>1022</v>
      </c>
      <c r="C45" s="80" t="s">
        <v>277</v>
      </c>
      <c r="D45" s="80" t="s">
        <v>273</v>
      </c>
      <c r="E45" s="79">
        <v>44378</v>
      </c>
      <c r="F45" s="78">
        <v>152936</v>
      </c>
    </row>
    <row r="46" spans="2:6" x14ac:dyDescent="0.3">
      <c r="B46" s="78">
        <v>2100</v>
      </c>
      <c r="C46" s="80" t="s">
        <v>277</v>
      </c>
      <c r="D46" s="80" t="s">
        <v>273</v>
      </c>
      <c r="E46" s="79">
        <v>44287</v>
      </c>
      <c r="F46" s="78">
        <v>189847</v>
      </c>
    </row>
    <row r="47" spans="2:6" x14ac:dyDescent="0.3">
      <c r="B47" s="78">
        <v>3265</v>
      </c>
      <c r="C47" s="80" t="s">
        <v>277</v>
      </c>
      <c r="D47" s="80" t="s">
        <v>273</v>
      </c>
      <c r="E47" s="79">
        <v>44228</v>
      </c>
      <c r="F47" s="78">
        <v>192728</v>
      </c>
    </row>
    <row r="48" spans="2:6" x14ac:dyDescent="0.3">
      <c r="B48" s="78">
        <v>1722</v>
      </c>
      <c r="C48" s="80" t="s">
        <v>277</v>
      </c>
      <c r="D48" s="80" t="s">
        <v>273</v>
      </c>
      <c r="E48" s="79">
        <v>44287</v>
      </c>
      <c r="F48" s="78">
        <v>201120</v>
      </c>
    </row>
    <row r="49" spans="2:6" x14ac:dyDescent="0.3">
      <c r="B49" s="78">
        <v>3469</v>
      </c>
      <c r="C49" s="80" t="s">
        <v>277</v>
      </c>
      <c r="D49" s="80" t="s">
        <v>273</v>
      </c>
      <c r="E49" s="79">
        <v>44378</v>
      </c>
      <c r="F49" s="78">
        <v>252080</v>
      </c>
    </row>
    <row r="50" spans="2:6" x14ac:dyDescent="0.3">
      <c r="B50" s="78">
        <v>1809</v>
      </c>
      <c r="C50" s="80" t="s">
        <v>272</v>
      </c>
      <c r="D50" s="80" t="s">
        <v>279</v>
      </c>
      <c r="E50" s="79">
        <v>44378</v>
      </c>
      <c r="F50" s="78">
        <v>23560</v>
      </c>
    </row>
    <row r="51" spans="2:6" x14ac:dyDescent="0.3">
      <c r="B51" s="78">
        <v>3423</v>
      </c>
      <c r="C51" s="80" t="s">
        <v>272</v>
      </c>
      <c r="D51" s="80" t="s">
        <v>279</v>
      </c>
      <c r="E51" s="79">
        <v>44348</v>
      </c>
      <c r="F51" s="78">
        <v>34080</v>
      </c>
    </row>
    <row r="52" spans="2:6" x14ac:dyDescent="0.3">
      <c r="B52" s="78">
        <v>3145</v>
      </c>
      <c r="C52" s="80" t="s">
        <v>272</v>
      </c>
      <c r="D52" s="80" t="s">
        <v>279</v>
      </c>
      <c r="E52" s="79">
        <v>44197</v>
      </c>
      <c r="F52" s="78">
        <v>40778</v>
      </c>
    </row>
    <row r="53" spans="2:6" x14ac:dyDescent="0.3">
      <c r="B53" s="78">
        <v>1045</v>
      </c>
      <c r="C53" s="80" t="s">
        <v>272</v>
      </c>
      <c r="D53" s="80" t="s">
        <v>279</v>
      </c>
      <c r="E53" s="79">
        <v>44409</v>
      </c>
      <c r="F53" s="78">
        <v>99343</v>
      </c>
    </row>
    <row r="54" spans="2:6" x14ac:dyDescent="0.3">
      <c r="B54" s="78">
        <v>3108</v>
      </c>
      <c r="C54" s="80" t="s">
        <v>272</v>
      </c>
      <c r="D54" s="80" t="s">
        <v>279</v>
      </c>
      <c r="E54" s="79">
        <v>44378</v>
      </c>
      <c r="F54" s="78">
        <v>104422</v>
      </c>
    </row>
    <row r="55" spans="2:6" x14ac:dyDescent="0.3">
      <c r="B55" s="78">
        <v>3295</v>
      </c>
      <c r="C55" s="80" t="s">
        <v>272</v>
      </c>
      <c r="D55" s="80" t="s">
        <v>279</v>
      </c>
      <c r="E55" s="79">
        <v>44501</v>
      </c>
      <c r="F55" s="78">
        <v>161110</v>
      </c>
    </row>
    <row r="56" spans="2:6" x14ac:dyDescent="0.3">
      <c r="B56" s="78">
        <v>2670</v>
      </c>
      <c r="C56" s="80" t="s">
        <v>272</v>
      </c>
      <c r="D56" s="80" t="s">
        <v>275</v>
      </c>
      <c r="E56" s="79">
        <v>44531</v>
      </c>
      <c r="F56" s="78">
        <v>12709</v>
      </c>
    </row>
    <row r="57" spans="2:6" x14ac:dyDescent="0.3">
      <c r="B57" s="78">
        <v>1332</v>
      </c>
      <c r="C57" s="80" t="s">
        <v>272</v>
      </c>
      <c r="D57" s="80" t="s">
        <v>275</v>
      </c>
      <c r="E57" s="79">
        <v>44378</v>
      </c>
      <c r="F57" s="78">
        <v>26819</v>
      </c>
    </row>
    <row r="58" spans="2:6" x14ac:dyDescent="0.3">
      <c r="B58" s="78">
        <v>2580</v>
      </c>
      <c r="C58" s="80" t="s">
        <v>272</v>
      </c>
      <c r="D58" s="80" t="s">
        <v>275</v>
      </c>
      <c r="E58" s="79">
        <v>44287</v>
      </c>
      <c r="F58" s="78">
        <v>42319</v>
      </c>
    </row>
    <row r="59" spans="2:6" x14ac:dyDescent="0.3">
      <c r="B59" s="78">
        <v>1377</v>
      </c>
      <c r="C59" s="80" t="s">
        <v>272</v>
      </c>
      <c r="D59" s="80" t="s">
        <v>275</v>
      </c>
      <c r="E59" s="79">
        <v>44317</v>
      </c>
      <c r="F59" s="78">
        <v>57755</v>
      </c>
    </row>
    <row r="60" spans="2:6" x14ac:dyDescent="0.3">
      <c r="B60" s="78">
        <v>2439</v>
      </c>
      <c r="C60" s="80" t="s">
        <v>272</v>
      </c>
      <c r="D60" s="80" t="s">
        <v>275</v>
      </c>
      <c r="E60" s="79">
        <v>44531</v>
      </c>
      <c r="F60" s="78">
        <v>71529</v>
      </c>
    </row>
    <row r="61" spans="2:6" x14ac:dyDescent="0.3">
      <c r="B61" s="78">
        <v>1210</v>
      </c>
      <c r="C61" s="80" t="s">
        <v>272</v>
      </c>
      <c r="D61" s="80" t="s">
        <v>275</v>
      </c>
      <c r="E61" s="79">
        <v>44409</v>
      </c>
      <c r="F61" s="78">
        <v>109849</v>
      </c>
    </row>
    <row r="62" spans="2:6" x14ac:dyDescent="0.3">
      <c r="B62" s="78">
        <v>2044</v>
      </c>
      <c r="C62" s="80" t="s">
        <v>272</v>
      </c>
      <c r="D62" s="80" t="s">
        <v>275</v>
      </c>
      <c r="E62" s="79">
        <v>44317</v>
      </c>
      <c r="F62" s="78">
        <v>164464</v>
      </c>
    </row>
    <row r="63" spans="2:6" x14ac:dyDescent="0.3">
      <c r="B63" s="78">
        <v>342</v>
      </c>
      <c r="C63" s="80" t="s">
        <v>272</v>
      </c>
      <c r="D63" s="80" t="s">
        <v>275</v>
      </c>
      <c r="E63" s="79">
        <v>44197</v>
      </c>
      <c r="F63" s="80">
        <v>180969</v>
      </c>
    </row>
    <row r="64" spans="2:6" x14ac:dyDescent="0.3">
      <c r="B64" s="78">
        <v>2744</v>
      </c>
      <c r="C64" s="80" t="s">
        <v>272</v>
      </c>
      <c r="D64" s="80" t="s">
        <v>275</v>
      </c>
      <c r="E64" s="79">
        <v>44531</v>
      </c>
      <c r="F64" s="78">
        <v>210352</v>
      </c>
    </row>
    <row r="65" spans="2:6" x14ac:dyDescent="0.3">
      <c r="B65" s="78">
        <v>2739</v>
      </c>
      <c r="C65" s="80" t="s">
        <v>272</v>
      </c>
      <c r="D65" s="80" t="s">
        <v>275</v>
      </c>
      <c r="E65" s="79">
        <v>44470</v>
      </c>
      <c r="F65" s="78">
        <v>236531</v>
      </c>
    </row>
    <row r="66" spans="2:6" x14ac:dyDescent="0.3">
      <c r="B66" s="78">
        <v>3498</v>
      </c>
      <c r="C66" s="80" t="s">
        <v>272</v>
      </c>
      <c r="D66" s="80" t="s">
        <v>271</v>
      </c>
      <c r="E66" s="79">
        <v>44409</v>
      </c>
      <c r="F66" s="78">
        <v>7269</v>
      </c>
    </row>
    <row r="67" spans="2:6" x14ac:dyDescent="0.3">
      <c r="B67" s="78">
        <v>1398</v>
      </c>
      <c r="C67" s="80" t="s">
        <v>272</v>
      </c>
      <c r="D67" s="80" t="s">
        <v>271</v>
      </c>
      <c r="E67" s="79">
        <v>44409</v>
      </c>
      <c r="F67" s="78">
        <v>19002</v>
      </c>
    </row>
    <row r="68" spans="2:6" x14ac:dyDescent="0.3">
      <c r="B68" s="78">
        <v>2423</v>
      </c>
      <c r="C68" s="80" t="s">
        <v>272</v>
      </c>
      <c r="D68" s="80" t="s">
        <v>271</v>
      </c>
      <c r="E68" s="79">
        <v>44409</v>
      </c>
      <c r="F68" s="78">
        <v>23010</v>
      </c>
    </row>
    <row r="69" spans="2:6" x14ac:dyDescent="0.3">
      <c r="B69" s="78">
        <v>1329</v>
      </c>
      <c r="C69" s="80" t="s">
        <v>272</v>
      </c>
      <c r="D69" s="80" t="s">
        <v>271</v>
      </c>
      <c r="E69" s="79">
        <v>44378</v>
      </c>
      <c r="F69" s="78">
        <v>36547</v>
      </c>
    </row>
    <row r="70" spans="2:6" x14ac:dyDescent="0.3">
      <c r="B70" s="78">
        <v>2009</v>
      </c>
      <c r="C70" s="80" t="s">
        <v>272</v>
      </c>
      <c r="D70" s="80" t="s">
        <v>271</v>
      </c>
      <c r="E70" s="79">
        <v>44317</v>
      </c>
      <c r="F70" s="78">
        <v>124153</v>
      </c>
    </row>
    <row r="71" spans="2:6" x14ac:dyDescent="0.3">
      <c r="B71" s="78">
        <v>1107</v>
      </c>
      <c r="C71" s="80" t="s">
        <v>272</v>
      </c>
      <c r="D71" s="80" t="s">
        <v>271</v>
      </c>
      <c r="E71" s="79">
        <v>44256</v>
      </c>
      <c r="F71" s="78">
        <v>126174</v>
      </c>
    </row>
    <row r="72" spans="2:6" x14ac:dyDescent="0.3">
      <c r="B72" s="78">
        <v>1353</v>
      </c>
      <c r="C72" s="80" t="s">
        <v>272</v>
      </c>
      <c r="D72" s="80" t="s">
        <v>271</v>
      </c>
      <c r="E72" s="79">
        <v>44440</v>
      </c>
      <c r="F72" s="78">
        <v>220591</v>
      </c>
    </row>
    <row r="73" spans="2:6" x14ac:dyDescent="0.3">
      <c r="B73" s="78">
        <v>2621</v>
      </c>
      <c r="C73" s="80" t="s">
        <v>272</v>
      </c>
      <c r="D73" s="80" t="s">
        <v>278</v>
      </c>
      <c r="E73" s="79">
        <v>44317</v>
      </c>
      <c r="F73" s="78">
        <v>1696</v>
      </c>
    </row>
    <row r="74" spans="2:6" x14ac:dyDescent="0.3">
      <c r="B74" s="78">
        <v>1307</v>
      </c>
      <c r="C74" s="80" t="s">
        <v>272</v>
      </c>
      <c r="D74" s="80" t="s">
        <v>278</v>
      </c>
      <c r="E74" s="79">
        <v>44228</v>
      </c>
      <c r="F74" s="78">
        <v>13845</v>
      </c>
    </row>
    <row r="75" spans="2:6" x14ac:dyDescent="0.3">
      <c r="B75" s="78">
        <v>2654</v>
      </c>
      <c r="C75" s="80" t="s">
        <v>272</v>
      </c>
      <c r="D75" s="80" t="s">
        <v>278</v>
      </c>
      <c r="E75" s="79">
        <v>44228</v>
      </c>
      <c r="F75" s="78">
        <v>27849</v>
      </c>
    </row>
    <row r="76" spans="2:6" x14ac:dyDescent="0.3">
      <c r="B76" s="78">
        <v>3399</v>
      </c>
      <c r="C76" s="80" t="s">
        <v>272</v>
      </c>
      <c r="D76" s="80" t="s">
        <v>278</v>
      </c>
      <c r="E76" s="79">
        <v>44409</v>
      </c>
      <c r="F76" s="78">
        <v>75634</v>
      </c>
    </row>
    <row r="77" spans="2:6" x14ac:dyDescent="0.3">
      <c r="B77" s="78">
        <v>636</v>
      </c>
      <c r="C77" s="80" t="s">
        <v>272</v>
      </c>
      <c r="D77" s="80" t="s">
        <v>278</v>
      </c>
      <c r="E77" s="79">
        <v>44409</v>
      </c>
      <c r="F77" s="80">
        <v>86220</v>
      </c>
    </row>
    <row r="78" spans="2:6" x14ac:dyDescent="0.3">
      <c r="B78" s="78">
        <v>1256</v>
      </c>
      <c r="C78" s="80" t="s">
        <v>272</v>
      </c>
      <c r="D78" s="80" t="s">
        <v>278</v>
      </c>
      <c r="E78" s="79">
        <v>44348</v>
      </c>
      <c r="F78" s="78">
        <v>91931</v>
      </c>
    </row>
    <row r="79" spans="2:6" x14ac:dyDescent="0.3">
      <c r="B79" s="78">
        <v>2455</v>
      </c>
      <c r="C79" s="80" t="s">
        <v>272</v>
      </c>
      <c r="D79" s="80" t="s">
        <v>278</v>
      </c>
      <c r="E79" s="79">
        <v>44228</v>
      </c>
      <c r="F79" s="78">
        <v>157993</v>
      </c>
    </row>
    <row r="80" spans="2:6" x14ac:dyDescent="0.3">
      <c r="B80" s="78">
        <v>659</v>
      </c>
      <c r="C80" s="80" t="s">
        <v>272</v>
      </c>
      <c r="D80" s="80" t="s">
        <v>278</v>
      </c>
      <c r="E80" s="79">
        <v>44287</v>
      </c>
      <c r="F80" s="80">
        <v>173199</v>
      </c>
    </row>
    <row r="81" spans="2:6" x14ac:dyDescent="0.3">
      <c r="B81" s="78">
        <v>3138</v>
      </c>
      <c r="C81" s="80" t="s">
        <v>272</v>
      </c>
      <c r="D81" s="80" t="s">
        <v>273</v>
      </c>
      <c r="E81" s="79">
        <v>44501</v>
      </c>
      <c r="F81" s="78">
        <v>28110</v>
      </c>
    </row>
    <row r="82" spans="2:6" x14ac:dyDescent="0.3">
      <c r="B82" s="78">
        <v>3443</v>
      </c>
      <c r="C82" s="80" t="s">
        <v>272</v>
      </c>
      <c r="D82" s="80" t="s">
        <v>273</v>
      </c>
      <c r="E82" s="79">
        <v>44256</v>
      </c>
      <c r="F82" s="78">
        <v>75969</v>
      </c>
    </row>
    <row r="83" spans="2:6" x14ac:dyDescent="0.3">
      <c r="B83" s="78">
        <v>1037</v>
      </c>
      <c r="C83" s="80" t="s">
        <v>272</v>
      </c>
      <c r="D83" s="80" t="s">
        <v>273</v>
      </c>
      <c r="E83" s="79">
        <v>44531</v>
      </c>
      <c r="F83" s="78">
        <v>198140</v>
      </c>
    </row>
    <row r="84" spans="2:6" x14ac:dyDescent="0.3">
      <c r="B84" s="78">
        <v>952</v>
      </c>
      <c r="C84" s="80" t="s">
        <v>280</v>
      </c>
      <c r="D84" s="80" t="s">
        <v>279</v>
      </c>
      <c r="E84" s="79">
        <v>44378</v>
      </c>
      <c r="F84" s="78">
        <v>7819</v>
      </c>
    </row>
    <row r="85" spans="2:6" x14ac:dyDescent="0.3">
      <c r="B85" s="78">
        <v>949</v>
      </c>
      <c r="C85" s="80" t="s">
        <v>280</v>
      </c>
      <c r="D85" s="80" t="s">
        <v>279</v>
      </c>
      <c r="E85" s="79">
        <v>44531</v>
      </c>
      <c r="F85" s="78">
        <v>8406</v>
      </c>
    </row>
    <row r="86" spans="2:6" x14ac:dyDescent="0.3">
      <c r="B86" s="78">
        <v>2352</v>
      </c>
      <c r="C86" s="80" t="s">
        <v>280</v>
      </c>
      <c r="D86" s="80" t="s">
        <v>279</v>
      </c>
      <c r="E86" s="79">
        <v>44348</v>
      </c>
      <c r="F86" s="78">
        <v>17150</v>
      </c>
    </row>
    <row r="87" spans="2:6" x14ac:dyDescent="0.3">
      <c r="B87" s="78">
        <v>1505</v>
      </c>
      <c r="C87" s="80" t="s">
        <v>280</v>
      </c>
      <c r="D87" s="80" t="s">
        <v>279</v>
      </c>
      <c r="E87" s="79">
        <v>44470</v>
      </c>
      <c r="F87" s="78">
        <v>24838</v>
      </c>
    </row>
    <row r="88" spans="2:6" x14ac:dyDescent="0.3">
      <c r="B88" s="78">
        <v>950</v>
      </c>
      <c r="C88" s="80" t="s">
        <v>280</v>
      </c>
      <c r="D88" s="80" t="s">
        <v>279</v>
      </c>
      <c r="E88" s="79">
        <v>44348</v>
      </c>
      <c r="F88" s="78">
        <v>27137</v>
      </c>
    </row>
    <row r="89" spans="2:6" x14ac:dyDescent="0.3">
      <c r="B89" s="78">
        <v>825</v>
      </c>
      <c r="C89" s="80" t="s">
        <v>280</v>
      </c>
      <c r="D89" s="80" t="s">
        <v>279</v>
      </c>
      <c r="E89" s="79">
        <v>44348</v>
      </c>
      <c r="F89" s="78">
        <v>32352</v>
      </c>
    </row>
    <row r="90" spans="2:6" x14ac:dyDescent="0.3">
      <c r="B90" s="78">
        <v>88</v>
      </c>
      <c r="C90" s="80" t="s">
        <v>280</v>
      </c>
      <c r="D90" s="80" t="s">
        <v>279</v>
      </c>
      <c r="E90" s="79">
        <v>44197</v>
      </c>
      <c r="F90" s="80">
        <v>36125</v>
      </c>
    </row>
    <row r="91" spans="2:6" x14ac:dyDescent="0.3">
      <c r="B91" s="78">
        <v>3050</v>
      </c>
      <c r="C91" s="80" t="s">
        <v>280</v>
      </c>
      <c r="D91" s="80" t="s">
        <v>279</v>
      </c>
      <c r="E91" s="79">
        <v>44256</v>
      </c>
      <c r="F91" s="78">
        <v>51626</v>
      </c>
    </row>
    <row r="92" spans="2:6" x14ac:dyDescent="0.3">
      <c r="B92" s="78">
        <v>3080</v>
      </c>
      <c r="C92" s="80" t="s">
        <v>280</v>
      </c>
      <c r="D92" s="80" t="s">
        <v>279</v>
      </c>
      <c r="E92" s="79">
        <v>44440</v>
      </c>
      <c r="F92" s="78">
        <v>55991</v>
      </c>
    </row>
    <row r="93" spans="2:6" x14ac:dyDescent="0.3">
      <c r="B93" s="78">
        <v>819</v>
      </c>
      <c r="C93" s="80" t="s">
        <v>280</v>
      </c>
      <c r="D93" s="80" t="s">
        <v>279</v>
      </c>
      <c r="E93" s="79">
        <v>44317</v>
      </c>
      <c r="F93" s="78">
        <v>59423</v>
      </c>
    </row>
    <row r="94" spans="2:6" x14ac:dyDescent="0.3">
      <c r="B94" s="78">
        <v>2839</v>
      </c>
      <c r="C94" s="80" t="s">
        <v>280</v>
      </c>
      <c r="D94" s="80" t="s">
        <v>279</v>
      </c>
      <c r="E94" s="79">
        <v>44501</v>
      </c>
      <c r="F94" s="78">
        <v>63494</v>
      </c>
    </row>
    <row r="95" spans="2:6" x14ac:dyDescent="0.3">
      <c r="B95" s="78">
        <v>1653</v>
      </c>
      <c r="C95" s="80" t="s">
        <v>280</v>
      </c>
      <c r="D95" s="80" t="s">
        <v>279</v>
      </c>
      <c r="E95" s="79">
        <v>44378</v>
      </c>
      <c r="F95" s="78">
        <v>64755</v>
      </c>
    </row>
    <row r="96" spans="2:6" x14ac:dyDescent="0.3">
      <c r="B96" s="78">
        <v>739</v>
      </c>
      <c r="C96" s="80" t="s">
        <v>280</v>
      </c>
      <c r="D96" s="80" t="s">
        <v>279</v>
      </c>
      <c r="E96" s="79">
        <v>44501</v>
      </c>
      <c r="F96" s="78">
        <v>86186</v>
      </c>
    </row>
    <row r="97" spans="2:6" x14ac:dyDescent="0.3">
      <c r="B97" s="78">
        <v>1525</v>
      </c>
      <c r="C97" s="80" t="s">
        <v>280</v>
      </c>
      <c r="D97" s="80" t="s">
        <v>279</v>
      </c>
      <c r="E97" s="79">
        <v>44228</v>
      </c>
      <c r="F97" s="78">
        <v>105602</v>
      </c>
    </row>
    <row r="98" spans="2:6" x14ac:dyDescent="0.3">
      <c r="B98" s="78">
        <v>805</v>
      </c>
      <c r="C98" s="80" t="s">
        <v>280</v>
      </c>
      <c r="D98" s="80" t="s">
        <v>279</v>
      </c>
      <c r="E98" s="79">
        <v>44228</v>
      </c>
      <c r="F98" s="78">
        <v>134977</v>
      </c>
    </row>
    <row r="99" spans="2:6" x14ac:dyDescent="0.3">
      <c r="B99" s="78">
        <v>1415</v>
      </c>
      <c r="C99" s="80" t="s">
        <v>280</v>
      </c>
      <c r="D99" s="80" t="s">
        <v>279</v>
      </c>
      <c r="E99" s="79">
        <v>44531</v>
      </c>
      <c r="F99" s="78">
        <v>135311</v>
      </c>
    </row>
    <row r="100" spans="2:6" x14ac:dyDescent="0.3">
      <c r="B100" s="78">
        <v>1675</v>
      </c>
      <c r="C100" s="80" t="s">
        <v>280</v>
      </c>
      <c r="D100" s="80" t="s">
        <v>279</v>
      </c>
      <c r="E100" s="79">
        <v>44287</v>
      </c>
      <c r="F100" s="78">
        <v>137705</v>
      </c>
    </row>
    <row r="101" spans="2:6" x14ac:dyDescent="0.3">
      <c r="B101" s="78">
        <v>1488</v>
      </c>
      <c r="C101" s="80" t="s">
        <v>280</v>
      </c>
      <c r="D101" s="80" t="s">
        <v>279</v>
      </c>
      <c r="E101" s="79">
        <v>44228</v>
      </c>
      <c r="F101" s="78">
        <v>155266</v>
      </c>
    </row>
    <row r="102" spans="2:6" x14ac:dyDescent="0.3">
      <c r="B102" s="78">
        <v>2925</v>
      </c>
      <c r="C102" s="80" t="s">
        <v>280</v>
      </c>
      <c r="D102" s="80" t="s">
        <v>279</v>
      </c>
      <c r="E102" s="79">
        <v>44378</v>
      </c>
      <c r="F102" s="78">
        <v>159745</v>
      </c>
    </row>
    <row r="103" spans="2:6" x14ac:dyDescent="0.3">
      <c r="B103" s="78">
        <v>1624</v>
      </c>
      <c r="C103" s="80" t="s">
        <v>280</v>
      </c>
      <c r="D103" s="80" t="s">
        <v>279</v>
      </c>
      <c r="E103" s="79">
        <v>44317</v>
      </c>
      <c r="F103" s="78">
        <v>166824</v>
      </c>
    </row>
    <row r="104" spans="2:6" x14ac:dyDescent="0.3">
      <c r="B104" s="78">
        <v>280</v>
      </c>
      <c r="C104" s="80" t="s">
        <v>280</v>
      </c>
      <c r="D104" s="80" t="s">
        <v>279</v>
      </c>
      <c r="E104" s="79">
        <v>44228</v>
      </c>
      <c r="F104" s="80">
        <v>180474</v>
      </c>
    </row>
    <row r="105" spans="2:6" x14ac:dyDescent="0.3">
      <c r="B105" s="78">
        <v>3027</v>
      </c>
      <c r="C105" s="80" t="s">
        <v>280</v>
      </c>
      <c r="D105" s="80" t="s">
        <v>279</v>
      </c>
      <c r="E105" s="79">
        <v>44348</v>
      </c>
      <c r="F105" s="78">
        <v>213069</v>
      </c>
    </row>
    <row r="106" spans="2:6" x14ac:dyDescent="0.3">
      <c r="B106" s="78">
        <v>1615</v>
      </c>
      <c r="C106" s="80" t="s">
        <v>280</v>
      </c>
      <c r="D106" s="80" t="s">
        <v>279</v>
      </c>
      <c r="E106" s="79">
        <v>44409</v>
      </c>
      <c r="F106" s="78">
        <v>217962</v>
      </c>
    </row>
    <row r="107" spans="2:6" x14ac:dyDescent="0.3">
      <c r="B107" s="78">
        <v>870</v>
      </c>
      <c r="C107" s="80" t="s">
        <v>280</v>
      </c>
      <c r="D107" s="80" t="s">
        <v>279</v>
      </c>
      <c r="E107" s="79">
        <v>44501</v>
      </c>
      <c r="F107" s="78">
        <v>222162</v>
      </c>
    </row>
    <row r="108" spans="2:6" x14ac:dyDescent="0.3">
      <c r="B108" s="78">
        <v>2136</v>
      </c>
      <c r="C108" s="80" t="s">
        <v>280</v>
      </c>
      <c r="D108" s="80" t="s">
        <v>279</v>
      </c>
      <c r="E108" s="79">
        <v>44317</v>
      </c>
      <c r="F108" s="78">
        <v>240648</v>
      </c>
    </row>
    <row r="109" spans="2:6" x14ac:dyDescent="0.3">
      <c r="B109" s="78">
        <v>2916</v>
      </c>
      <c r="C109" s="80" t="s">
        <v>280</v>
      </c>
      <c r="D109" s="80" t="s">
        <v>279</v>
      </c>
      <c r="E109" s="79">
        <v>44287</v>
      </c>
      <c r="F109" s="78">
        <v>244904</v>
      </c>
    </row>
    <row r="110" spans="2:6" x14ac:dyDescent="0.3">
      <c r="B110" s="78">
        <v>864</v>
      </c>
      <c r="C110" s="80" t="s">
        <v>280</v>
      </c>
      <c r="D110" s="80" t="s">
        <v>275</v>
      </c>
      <c r="E110" s="79">
        <v>44348</v>
      </c>
      <c r="F110" s="78">
        <v>7110</v>
      </c>
    </row>
    <row r="111" spans="2:6" x14ac:dyDescent="0.3">
      <c r="B111" s="78">
        <v>3036</v>
      </c>
      <c r="C111" s="80" t="s">
        <v>280</v>
      </c>
      <c r="D111" s="80" t="s">
        <v>275</v>
      </c>
      <c r="E111" s="79">
        <v>44348</v>
      </c>
      <c r="F111" s="78">
        <v>7190</v>
      </c>
    </row>
    <row r="112" spans="2:6" x14ac:dyDescent="0.3">
      <c r="B112" s="78">
        <v>2972</v>
      </c>
      <c r="C112" s="80" t="s">
        <v>280</v>
      </c>
      <c r="D112" s="80" t="s">
        <v>275</v>
      </c>
      <c r="E112" s="79">
        <v>44409</v>
      </c>
      <c r="F112" s="78">
        <v>7382</v>
      </c>
    </row>
    <row r="113" spans="2:6" x14ac:dyDescent="0.3">
      <c r="B113" s="78">
        <v>1446</v>
      </c>
      <c r="C113" s="80" t="s">
        <v>280</v>
      </c>
      <c r="D113" s="80" t="s">
        <v>275</v>
      </c>
      <c r="E113" s="79">
        <v>44531</v>
      </c>
      <c r="F113" s="78">
        <v>9682</v>
      </c>
    </row>
    <row r="114" spans="2:6" x14ac:dyDescent="0.3">
      <c r="B114" s="78">
        <v>2897</v>
      </c>
      <c r="C114" s="80" t="s">
        <v>280</v>
      </c>
      <c r="D114" s="80" t="s">
        <v>275</v>
      </c>
      <c r="E114" s="79">
        <v>44409</v>
      </c>
      <c r="F114" s="78">
        <v>23250</v>
      </c>
    </row>
    <row r="115" spans="2:6" x14ac:dyDescent="0.3">
      <c r="B115" s="78">
        <v>33</v>
      </c>
      <c r="C115" s="80" t="s">
        <v>280</v>
      </c>
      <c r="D115" s="80" t="s">
        <v>275</v>
      </c>
      <c r="E115" s="79">
        <v>44256</v>
      </c>
      <c r="F115" s="80">
        <v>25467</v>
      </c>
    </row>
    <row r="116" spans="2:6" x14ac:dyDescent="0.3">
      <c r="B116" s="78">
        <v>3094</v>
      </c>
      <c r="C116" s="80" t="s">
        <v>280</v>
      </c>
      <c r="D116" s="80" t="s">
        <v>275</v>
      </c>
      <c r="E116" s="79">
        <v>44197</v>
      </c>
      <c r="F116" s="78">
        <v>28289</v>
      </c>
    </row>
    <row r="117" spans="2:6" x14ac:dyDescent="0.3">
      <c r="B117" s="78">
        <v>1636</v>
      </c>
      <c r="C117" s="80" t="s">
        <v>280</v>
      </c>
      <c r="D117" s="80" t="s">
        <v>275</v>
      </c>
      <c r="E117" s="79">
        <v>44287</v>
      </c>
      <c r="F117" s="78">
        <v>35096</v>
      </c>
    </row>
    <row r="118" spans="2:6" x14ac:dyDescent="0.3">
      <c r="B118" s="78">
        <v>1572</v>
      </c>
      <c r="C118" s="80" t="s">
        <v>280</v>
      </c>
      <c r="D118" s="80" t="s">
        <v>275</v>
      </c>
      <c r="E118" s="79">
        <v>44378</v>
      </c>
      <c r="F118" s="78">
        <v>44394</v>
      </c>
    </row>
    <row r="119" spans="2:6" x14ac:dyDescent="0.3">
      <c r="B119" s="78">
        <v>706</v>
      </c>
      <c r="C119" s="80" t="s">
        <v>280</v>
      </c>
      <c r="D119" s="80" t="s">
        <v>275</v>
      </c>
      <c r="E119" s="79">
        <v>44197</v>
      </c>
      <c r="F119" s="78">
        <v>48442</v>
      </c>
    </row>
    <row r="120" spans="2:6" x14ac:dyDescent="0.3">
      <c r="B120" s="78">
        <v>2214</v>
      </c>
      <c r="C120" s="80" t="s">
        <v>280</v>
      </c>
      <c r="D120" s="80" t="s">
        <v>275</v>
      </c>
      <c r="E120" s="79">
        <v>44228</v>
      </c>
      <c r="F120" s="78">
        <v>86142</v>
      </c>
    </row>
    <row r="121" spans="2:6" x14ac:dyDescent="0.3">
      <c r="B121" s="78">
        <v>2896</v>
      </c>
      <c r="C121" s="80" t="s">
        <v>280</v>
      </c>
      <c r="D121" s="80" t="s">
        <v>275</v>
      </c>
      <c r="E121" s="79">
        <v>44378</v>
      </c>
      <c r="F121" s="78">
        <v>89802</v>
      </c>
    </row>
    <row r="122" spans="2:6" x14ac:dyDescent="0.3">
      <c r="B122" s="78">
        <v>803</v>
      </c>
      <c r="C122" s="80" t="s">
        <v>280</v>
      </c>
      <c r="D122" s="80" t="s">
        <v>275</v>
      </c>
      <c r="E122" s="79">
        <v>44378</v>
      </c>
      <c r="F122" s="78">
        <v>96209</v>
      </c>
    </row>
    <row r="123" spans="2:6" x14ac:dyDescent="0.3">
      <c r="B123" s="78">
        <v>1429</v>
      </c>
      <c r="C123" s="80" t="s">
        <v>280</v>
      </c>
      <c r="D123" s="80" t="s">
        <v>275</v>
      </c>
      <c r="E123" s="79">
        <v>44348</v>
      </c>
      <c r="F123" s="78">
        <v>115261</v>
      </c>
    </row>
    <row r="124" spans="2:6" x14ac:dyDescent="0.3">
      <c r="B124" s="78">
        <v>3085</v>
      </c>
      <c r="C124" s="80" t="s">
        <v>280</v>
      </c>
      <c r="D124" s="80" t="s">
        <v>275</v>
      </c>
      <c r="E124" s="79">
        <v>44228</v>
      </c>
      <c r="F124" s="78">
        <v>134107</v>
      </c>
    </row>
    <row r="125" spans="2:6" x14ac:dyDescent="0.3">
      <c r="B125" s="78">
        <v>46</v>
      </c>
      <c r="C125" s="80" t="s">
        <v>280</v>
      </c>
      <c r="D125" s="80" t="s">
        <v>275</v>
      </c>
      <c r="E125" s="79">
        <v>44440</v>
      </c>
      <c r="F125" s="80">
        <v>135801</v>
      </c>
    </row>
    <row r="126" spans="2:6" x14ac:dyDescent="0.3">
      <c r="B126" s="78">
        <v>796</v>
      </c>
      <c r="C126" s="80" t="s">
        <v>280</v>
      </c>
      <c r="D126" s="80" t="s">
        <v>275</v>
      </c>
      <c r="E126" s="79">
        <v>44348</v>
      </c>
      <c r="F126" s="78">
        <v>137843</v>
      </c>
    </row>
    <row r="127" spans="2:6" x14ac:dyDescent="0.3">
      <c r="B127" s="78">
        <v>1537</v>
      </c>
      <c r="C127" s="80" t="s">
        <v>280</v>
      </c>
      <c r="D127" s="80" t="s">
        <v>275</v>
      </c>
      <c r="E127" s="79">
        <v>44197</v>
      </c>
      <c r="F127" s="78">
        <v>142596</v>
      </c>
    </row>
    <row r="128" spans="2:6" x14ac:dyDescent="0.3">
      <c r="B128" s="78">
        <v>733</v>
      </c>
      <c r="C128" s="80" t="s">
        <v>280</v>
      </c>
      <c r="D128" s="80" t="s">
        <v>275</v>
      </c>
      <c r="E128" s="79">
        <v>44501</v>
      </c>
      <c r="F128" s="78">
        <v>146394</v>
      </c>
    </row>
    <row r="129" spans="2:6" x14ac:dyDescent="0.3">
      <c r="B129" s="78">
        <v>2811</v>
      </c>
      <c r="C129" s="80" t="s">
        <v>280</v>
      </c>
      <c r="D129" s="80" t="s">
        <v>275</v>
      </c>
      <c r="E129" s="79">
        <v>44197</v>
      </c>
      <c r="F129" s="78">
        <v>151301</v>
      </c>
    </row>
    <row r="130" spans="2:6" x14ac:dyDescent="0.3">
      <c r="B130" s="78">
        <v>27</v>
      </c>
      <c r="C130" s="80" t="s">
        <v>280</v>
      </c>
      <c r="D130" s="80" t="s">
        <v>275</v>
      </c>
      <c r="E130" s="79">
        <v>44470</v>
      </c>
      <c r="F130" s="80">
        <v>165656</v>
      </c>
    </row>
    <row r="131" spans="2:6" x14ac:dyDescent="0.3">
      <c r="B131" s="78">
        <v>1540</v>
      </c>
      <c r="C131" s="80" t="s">
        <v>280</v>
      </c>
      <c r="D131" s="80" t="s">
        <v>275</v>
      </c>
      <c r="E131" s="79">
        <v>44348</v>
      </c>
      <c r="F131" s="78">
        <v>165992</v>
      </c>
    </row>
    <row r="132" spans="2:6" x14ac:dyDescent="0.3">
      <c r="B132" s="78">
        <v>1686</v>
      </c>
      <c r="C132" s="80" t="s">
        <v>280</v>
      </c>
      <c r="D132" s="80" t="s">
        <v>275</v>
      </c>
      <c r="E132" s="79">
        <v>44378</v>
      </c>
      <c r="F132" s="78">
        <v>173616</v>
      </c>
    </row>
    <row r="133" spans="2:6" x14ac:dyDescent="0.3">
      <c r="B133" s="78">
        <v>128</v>
      </c>
      <c r="C133" s="80" t="s">
        <v>280</v>
      </c>
      <c r="D133" s="80" t="s">
        <v>275</v>
      </c>
      <c r="E133" s="79">
        <v>44531</v>
      </c>
      <c r="F133" s="80">
        <v>201069</v>
      </c>
    </row>
    <row r="134" spans="2:6" x14ac:dyDescent="0.3">
      <c r="B134" s="78">
        <v>2207</v>
      </c>
      <c r="C134" s="80" t="s">
        <v>280</v>
      </c>
      <c r="D134" s="80" t="s">
        <v>275</v>
      </c>
      <c r="E134" s="79">
        <v>44228</v>
      </c>
      <c r="F134" s="78">
        <v>210276</v>
      </c>
    </row>
    <row r="135" spans="2:6" x14ac:dyDescent="0.3">
      <c r="B135" s="78">
        <v>979</v>
      </c>
      <c r="C135" s="80" t="s">
        <v>280</v>
      </c>
      <c r="D135" s="80" t="s">
        <v>275</v>
      </c>
      <c r="E135" s="79">
        <v>44348</v>
      </c>
      <c r="F135" s="78">
        <v>234786</v>
      </c>
    </row>
    <row r="136" spans="2:6" x14ac:dyDescent="0.3">
      <c r="B136" s="78">
        <v>2259</v>
      </c>
      <c r="C136" s="80" t="s">
        <v>280</v>
      </c>
      <c r="D136" s="80" t="s">
        <v>271</v>
      </c>
      <c r="E136" s="79">
        <v>44531</v>
      </c>
      <c r="F136" s="78">
        <v>-21877</v>
      </c>
    </row>
    <row r="137" spans="2:6" x14ac:dyDescent="0.3">
      <c r="B137" s="78">
        <v>926</v>
      </c>
      <c r="C137" s="80" t="s">
        <v>280</v>
      </c>
      <c r="D137" s="80" t="s">
        <v>271</v>
      </c>
      <c r="E137" s="79">
        <v>44348</v>
      </c>
      <c r="F137" s="78">
        <v>6105</v>
      </c>
    </row>
    <row r="138" spans="2:6" x14ac:dyDescent="0.3">
      <c r="B138" s="78">
        <v>1667</v>
      </c>
      <c r="C138" s="80" t="s">
        <v>280</v>
      </c>
      <c r="D138" s="80" t="s">
        <v>271</v>
      </c>
      <c r="E138" s="79">
        <v>44317</v>
      </c>
      <c r="F138" s="78">
        <v>8950</v>
      </c>
    </row>
    <row r="139" spans="2:6" x14ac:dyDescent="0.3">
      <c r="B139" s="78">
        <v>38</v>
      </c>
      <c r="C139" s="80" t="s">
        <v>280</v>
      </c>
      <c r="D139" s="80" t="s">
        <v>271</v>
      </c>
      <c r="E139" s="79">
        <v>44256</v>
      </c>
      <c r="F139" s="80">
        <v>16452</v>
      </c>
    </row>
    <row r="140" spans="2:6" x14ac:dyDescent="0.3">
      <c r="B140" s="78">
        <v>1489</v>
      </c>
      <c r="C140" s="80" t="s">
        <v>280</v>
      </c>
      <c r="D140" s="80" t="s">
        <v>271</v>
      </c>
      <c r="E140" s="79">
        <v>44317</v>
      </c>
      <c r="F140" s="78">
        <v>24879</v>
      </c>
    </row>
    <row r="141" spans="2:6" x14ac:dyDescent="0.3">
      <c r="B141" s="78">
        <v>1583</v>
      </c>
      <c r="C141" s="80" t="s">
        <v>280</v>
      </c>
      <c r="D141" s="80" t="s">
        <v>271</v>
      </c>
      <c r="E141" s="79">
        <v>44228</v>
      </c>
      <c r="F141" s="78">
        <v>56810</v>
      </c>
    </row>
    <row r="142" spans="2:6" x14ac:dyDescent="0.3">
      <c r="B142" s="78">
        <v>115</v>
      </c>
      <c r="C142" s="80" t="s">
        <v>280</v>
      </c>
      <c r="D142" s="80" t="s">
        <v>271</v>
      </c>
      <c r="E142" s="79">
        <v>44317</v>
      </c>
      <c r="F142" s="80">
        <v>72086</v>
      </c>
    </row>
    <row r="143" spans="2:6" x14ac:dyDescent="0.3">
      <c r="B143" s="78">
        <v>2816</v>
      </c>
      <c r="C143" s="80" t="s">
        <v>280</v>
      </c>
      <c r="D143" s="80" t="s">
        <v>271</v>
      </c>
      <c r="E143" s="79">
        <v>44501</v>
      </c>
      <c r="F143" s="78">
        <v>74813</v>
      </c>
    </row>
    <row r="144" spans="2:6" x14ac:dyDescent="0.3">
      <c r="B144" s="78">
        <v>1471</v>
      </c>
      <c r="C144" s="80" t="s">
        <v>280</v>
      </c>
      <c r="D144" s="80" t="s">
        <v>271</v>
      </c>
      <c r="E144" s="79">
        <v>44531</v>
      </c>
      <c r="F144" s="78">
        <v>81048</v>
      </c>
    </row>
    <row r="145" spans="2:6" x14ac:dyDescent="0.3">
      <c r="B145" s="78">
        <v>2245</v>
      </c>
      <c r="C145" s="80" t="s">
        <v>280</v>
      </c>
      <c r="D145" s="80" t="s">
        <v>271</v>
      </c>
      <c r="E145" s="79">
        <v>44378</v>
      </c>
      <c r="F145" s="78">
        <v>86843</v>
      </c>
    </row>
    <row r="146" spans="2:6" x14ac:dyDescent="0.3">
      <c r="B146" s="78">
        <v>2301</v>
      </c>
      <c r="C146" s="80" t="s">
        <v>280</v>
      </c>
      <c r="D146" s="80" t="s">
        <v>271</v>
      </c>
      <c r="E146" s="79">
        <v>44197</v>
      </c>
      <c r="F146" s="78">
        <v>95623</v>
      </c>
    </row>
    <row r="147" spans="2:6" x14ac:dyDescent="0.3">
      <c r="B147" s="78">
        <v>3088</v>
      </c>
      <c r="C147" s="80" t="s">
        <v>280</v>
      </c>
      <c r="D147" s="80" t="s">
        <v>271</v>
      </c>
      <c r="E147" s="79">
        <v>44470</v>
      </c>
      <c r="F147" s="78">
        <v>104379</v>
      </c>
    </row>
    <row r="148" spans="2:6" x14ac:dyDescent="0.3">
      <c r="B148" s="78">
        <v>1691</v>
      </c>
      <c r="C148" s="80" t="s">
        <v>280</v>
      </c>
      <c r="D148" s="80" t="s">
        <v>271</v>
      </c>
      <c r="E148" s="79">
        <v>44531</v>
      </c>
      <c r="F148" s="78">
        <v>151084</v>
      </c>
    </row>
    <row r="149" spans="2:6" x14ac:dyDescent="0.3">
      <c r="B149" s="78">
        <v>165</v>
      </c>
      <c r="C149" s="80" t="s">
        <v>280</v>
      </c>
      <c r="D149" s="80" t="s">
        <v>271</v>
      </c>
      <c r="E149" s="79">
        <v>44348</v>
      </c>
      <c r="F149" s="80">
        <v>155904</v>
      </c>
    </row>
    <row r="150" spans="2:6" x14ac:dyDescent="0.3">
      <c r="B150" s="78">
        <v>738</v>
      </c>
      <c r="C150" s="80" t="s">
        <v>280</v>
      </c>
      <c r="D150" s="80" t="s">
        <v>271</v>
      </c>
      <c r="E150" s="79">
        <v>44531</v>
      </c>
      <c r="F150" s="78">
        <v>158679</v>
      </c>
    </row>
    <row r="151" spans="2:6" x14ac:dyDescent="0.3">
      <c r="B151" s="78">
        <v>2821</v>
      </c>
      <c r="C151" s="80" t="s">
        <v>280</v>
      </c>
      <c r="D151" s="80" t="s">
        <v>271</v>
      </c>
      <c r="E151" s="79">
        <v>44197</v>
      </c>
      <c r="F151" s="78">
        <v>161532</v>
      </c>
    </row>
    <row r="152" spans="2:6" x14ac:dyDescent="0.3">
      <c r="B152" s="78">
        <v>1688</v>
      </c>
      <c r="C152" s="80" t="s">
        <v>280</v>
      </c>
      <c r="D152" s="80" t="s">
        <v>271</v>
      </c>
      <c r="E152" s="79">
        <v>44228</v>
      </c>
      <c r="F152" s="78">
        <v>168122</v>
      </c>
    </row>
    <row r="153" spans="2:6" x14ac:dyDescent="0.3">
      <c r="B153" s="78">
        <v>184</v>
      </c>
      <c r="C153" s="80" t="s">
        <v>280</v>
      </c>
      <c r="D153" s="80" t="s">
        <v>271</v>
      </c>
      <c r="E153" s="79">
        <v>44531</v>
      </c>
      <c r="F153" s="80">
        <v>169991</v>
      </c>
    </row>
    <row r="154" spans="2:6" x14ac:dyDescent="0.3">
      <c r="B154" s="78">
        <v>3051</v>
      </c>
      <c r="C154" s="80" t="s">
        <v>280</v>
      </c>
      <c r="D154" s="80" t="s">
        <v>271</v>
      </c>
      <c r="E154" s="79">
        <v>44440</v>
      </c>
      <c r="F154" s="78">
        <v>200584</v>
      </c>
    </row>
    <row r="155" spans="2:6" x14ac:dyDescent="0.3">
      <c r="B155" s="78">
        <v>1668</v>
      </c>
      <c r="C155" s="80" t="s">
        <v>280</v>
      </c>
      <c r="D155" s="80" t="s">
        <v>271</v>
      </c>
      <c r="E155" s="79">
        <v>44197</v>
      </c>
      <c r="F155" s="78">
        <v>210209</v>
      </c>
    </row>
    <row r="156" spans="2:6" x14ac:dyDescent="0.3">
      <c r="B156" s="78">
        <v>72</v>
      </c>
      <c r="C156" s="80" t="s">
        <v>280</v>
      </c>
      <c r="D156" s="80" t="s">
        <v>271</v>
      </c>
      <c r="E156" s="79">
        <v>44348</v>
      </c>
      <c r="F156" s="80">
        <v>247286</v>
      </c>
    </row>
    <row r="157" spans="2:6" x14ac:dyDescent="0.3">
      <c r="B157" s="78">
        <v>174</v>
      </c>
      <c r="C157" s="80" t="s">
        <v>280</v>
      </c>
      <c r="D157" s="80" t="s">
        <v>278</v>
      </c>
      <c r="E157" s="79">
        <v>44470</v>
      </c>
      <c r="F157" s="80">
        <v>-37886</v>
      </c>
    </row>
    <row r="158" spans="2:6" x14ac:dyDescent="0.3">
      <c r="B158" s="78">
        <v>874</v>
      </c>
      <c r="C158" s="80" t="s">
        <v>280</v>
      </c>
      <c r="D158" s="80" t="s">
        <v>278</v>
      </c>
      <c r="E158" s="79">
        <v>44470</v>
      </c>
      <c r="F158" s="78">
        <v>5652</v>
      </c>
    </row>
    <row r="159" spans="2:6" x14ac:dyDescent="0.3">
      <c r="B159" s="78">
        <v>2847</v>
      </c>
      <c r="C159" s="80" t="s">
        <v>280</v>
      </c>
      <c r="D159" s="80" t="s">
        <v>278</v>
      </c>
      <c r="E159" s="79">
        <v>44501</v>
      </c>
      <c r="F159" s="78">
        <v>8463</v>
      </c>
    </row>
    <row r="160" spans="2:6" x14ac:dyDescent="0.3">
      <c r="B160" s="78">
        <v>2852</v>
      </c>
      <c r="C160" s="80" t="s">
        <v>280</v>
      </c>
      <c r="D160" s="80" t="s">
        <v>278</v>
      </c>
      <c r="E160" s="79">
        <v>44531</v>
      </c>
      <c r="F160" s="78">
        <v>9630</v>
      </c>
    </row>
    <row r="161" spans="2:6" x14ac:dyDescent="0.3">
      <c r="B161" s="78">
        <v>842</v>
      </c>
      <c r="C161" s="80" t="s">
        <v>280</v>
      </c>
      <c r="D161" s="80" t="s">
        <v>278</v>
      </c>
      <c r="E161" s="79">
        <v>44409</v>
      </c>
      <c r="F161" s="78">
        <v>19225</v>
      </c>
    </row>
    <row r="162" spans="2:6" x14ac:dyDescent="0.3">
      <c r="B162" s="78">
        <v>1567</v>
      </c>
      <c r="C162" s="80" t="s">
        <v>280</v>
      </c>
      <c r="D162" s="80" t="s">
        <v>278</v>
      </c>
      <c r="E162" s="79">
        <v>44228</v>
      </c>
      <c r="F162" s="78">
        <v>22003</v>
      </c>
    </row>
    <row r="163" spans="2:6" x14ac:dyDescent="0.3">
      <c r="B163" s="78">
        <v>3093</v>
      </c>
      <c r="C163" s="80" t="s">
        <v>280</v>
      </c>
      <c r="D163" s="80" t="s">
        <v>278</v>
      </c>
      <c r="E163" s="79">
        <v>44470</v>
      </c>
      <c r="F163" s="78">
        <v>22810</v>
      </c>
    </row>
    <row r="164" spans="2:6" x14ac:dyDescent="0.3">
      <c r="B164" s="78">
        <v>930</v>
      </c>
      <c r="C164" s="80" t="s">
        <v>280</v>
      </c>
      <c r="D164" s="80" t="s">
        <v>278</v>
      </c>
      <c r="E164" s="79">
        <v>44256</v>
      </c>
      <c r="F164" s="78">
        <v>34334</v>
      </c>
    </row>
    <row r="165" spans="2:6" x14ac:dyDescent="0.3">
      <c r="B165" s="78">
        <v>221</v>
      </c>
      <c r="C165" s="80" t="s">
        <v>280</v>
      </c>
      <c r="D165" s="80" t="s">
        <v>278</v>
      </c>
      <c r="E165" s="79">
        <v>44501</v>
      </c>
      <c r="F165" s="80">
        <v>39668</v>
      </c>
    </row>
    <row r="166" spans="2:6" x14ac:dyDescent="0.3">
      <c r="B166" s="78">
        <v>3099</v>
      </c>
      <c r="C166" s="80" t="s">
        <v>280</v>
      </c>
      <c r="D166" s="80" t="s">
        <v>278</v>
      </c>
      <c r="E166" s="79">
        <v>44348</v>
      </c>
      <c r="F166" s="78">
        <v>65162</v>
      </c>
    </row>
    <row r="167" spans="2:6" x14ac:dyDescent="0.3">
      <c r="B167" s="78">
        <v>2176</v>
      </c>
      <c r="C167" s="80" t="s">
        <v>280</v>
      </c>
      <c r="D167" s="80" t="s">
        <v>278</v>
      </c>
      <c r="E167" s="79">
        <v>44287</v>
      </c>
      <c r="F167" s="78">
        <v>73163</v>
      </c>
    </row>
    <row r="168" spans="2:6" x14ac:dyDescent="0.3">
      <c r="B168" s="78">
        <v>977</v>
      </c>
      <c r="C168" s="80" t="s">
        <v>280</v>
      </c>
      <c r="D168" s="80" t="s">
        <v>278</v>
      </c>
      <c r="E168" s="79">
        <v>44317</v>
      </c>
      <c r="F168" s="78">
        <v>82968</v>
      </c>
    </row>
    <row r="169" spans="2:6" x14ac:dyDescent="0.3">
      <c r="B169" s="78">
        <v>1553</v>
      </c>
      <c r="C169" s="80" t="s">
        <v>280</v>
      </c>
      <c r="D169" s="80" t="s">
        <v>278</v>
      </c>
      <c r="E169" s="79">
        <v>44470</v>
      </c>
      <c r="F169" s="78">
        <v>86460</v>
      </c>
    </row>
    <row r="170" spans="2:6" x14ac:dyDescent="0.3">
      <c r="B170" s="78">
        <v>8</v>
      </c>
      <c r="C170" s="80" t="s">
        <v>280</v>
      </c>
      <c r="D170" s="80" t="s">
        <v>278</v>
      </c>
      <c r="E170" s="79">
        <v>44348</v>
      </c>
      <c r="F170" s="80">
        <v>108879</v>
      </c>
    </row>
    <row r="171" spans="2:6" x14ac:dyDescent="0.3">
      <c r="B171" s="78">
        <v>780</v>
      </c>
      <c r="C171" s="80" t="s">
        <v>280</v>
      </c>
      <c r="D171" s="80" t="s">
        <v>278</v>
      </c>
      <c r="E171" s="79">
        <v>44409</v>
      </c>
      <c r="F171" s="78">
        <v>131983</v>
      </c>
    </row>
    <row r="172" spans="2:6" x14ac:dyDescent="0.3">
      <c r="B172" s="78">
        <v>2369</v>
      </c>
      <c r="C172" s="80" t="s">
        <v>280</v>
      </c>
      <c r="D172" s="80" t="s">
        <v>278</v>
      </c>
      <c r="E172" s="79">
        <v>44378</v>
      </c>
      <c r="F172" s="78">
        <v>138473</v>
      </c>
    </row>
    <row r="173" spans="2:6" x14ac:dyDescent="0.3">
      <c r="B173" s="78">
        <v>858</v>
      </c>
      <c r="C173" s="80" t="s">
        <v>280</v>
      </c>
      <c r="D173" s="80" t="s">
        <v>278</v>
      </c>
      <c r="E173" s="79">
        <v>44256</v>
      </c>
      <c r="F173" s="78">
        <v>150851</v>
      </c>
    </row>
    <row r="174" spans="2:6" x14ac:dyDescent="0.3">
      <c r="B174" s="78">
        <v>1590</v>
      </c>
      <c r="C174" s="80" t="s">
        <v>280</v>
      </c>
      <c r="D174" s="80" t="s">
        <v>278</v>
      </c>
      <c r="E174" s="79">
        <v>44470</v>
      </c>
      <c r="F174" s="78">
        <v>169915</v>
      </c>
    </row>
    <row r="175" spans="2:6" x14ac:dyDescent="0.3">
      <c r="B175" s="78">
        <v>777</v>
      </c>
      <c r="C175" s="80" t="s">
        <v>280</v>
      </c>
      <c r="D175" s="80" t="s">
        <v>278</v>
      </c>
      <c r="E175" s="79">
        <v>44348</v>
      </c>
      <c r="F175" s="78">
        <v>190517</v>
      </c>
    </row>
    <row r="176" spans="2:6" x14ac:dyDescent="0.3">
      <c r="B176" s="78">
        <v>1674</v>
      </c>
      <c r="C176" s="80" t="s">
        <v>280</v>
      </c>
      <c r="D176" s="80" t="s">
        <v>278</v>
      </c>
      <c r="E176" s="79">
        <v>44409</v>
      </c>
      <c r="F176" s="78">
        <v>191733</v>
      </c>
    </row>
    <row r="177" spans="2:6" x14ac:dyDescent="0.3">
      <c r="B177" s="78">
        <v>2958</v>
      </c>
      <c r="C177" s="80" t="s">
        <v>280</v>
      </c>
      <c r="D177" s="80" t="s">
        <v>278</v>
      </c>
      <c r="E177" s="79">
        <v>44228</v>
      </c>
      <c r="F177" s="78">
        <v>194150</v>
      </c>
    </row>
    <row r="178" spans="2:6" x14ac:dyDescent="0.3">
      <c r="B178" s="78">
        <v>2239</v>
      </c>
      <c r="C178" s="80" t="s">
        <v>280</v>
      </c>
      <c r="D178" s="80" t="s">
        <v>278</v>
      </c>
      <c r="E178" s="79">
        <v>44287</v>
      </c>
      <c r="F178" s="78">
        <v>203878</v>
      </c>
    </row>
    <row r="179" spans="2:6" x14ac:dyDescent="0.3">
      <c r="B179" s="78">
        <v>1413</v>
      </c>
      <c r="C179" s="80" t="s">
        <v>280</v>
      </c>
      <c r="D179" s="80" t="s">
        <v>278</v>
      </c>
      <c r="E179" s="79">
        <v>44440</v>
      </c>
      <c r="F179" s="78">
        <v>209590</v>
      </c>
    </row>
    <row r="180" spans="2:6" x14ac:dyDescent="0.3">
      <c r="B180" s="78">
        <v>1574</v>
      </c>
      <c r="C180" s="80" t="s">
        <v>280</v>
      </c>
      <c r="D180" s="80" t="s">
        <v>278</v>
      </c>
      <c r="E180" s="79">
        <v>44440</v>
      </c>
      <c r="F180" s="78">
        <v>217075</v>
      </c>
    </row>
    <row r="181" spans="2:6" x14ac:dyDescent="0.3">
      <c r="B181" s="78">
        <v>1434</v>
      </c>
      <c r="C181" s="80" t="s">
        <v>280</v>
      </c>
      <c r="D181" s="80" t="s">
        <v>278</v>
      </c>
      <c r="E181" s="79">
        <v>44287</v>
      </c>
      <c r="F181" s="78">
        <v>220171</v>
      </c>
    </row>
    <row r="182" spans="2:6" x14ac:dyDescent="0.3">
      <c r="B182" s="78">
        <v>893</v>
      </c>
      <c r="C182" s="80" t="s">
        <v>280</v>
      </c>
      <c r="D182" s="80" t="s">
        <v>278</v>
      </c>
      <c r="E182" s="79">
        <v>44228</v>
      </c>
      <c r="F182" s="78">
        <v>230726</v>
      </c>
    </row>
    <row r="183" spans="2:6" x14ac:dyDescent="0.3">
      <c r="B183" s="78">
        <v>3059</v>
      </c>
      <c r="C183" s="80" t="s">
        <v>280</v>
      </c>
      <c r="D183" s="80" t="s">
        <v>278</v>
      </c>
      <c r="E183" s="79">
        <v>44378</v>
      </c>
      <c r="F183" s="78">
        <v>235104</v>
      </c>
    </row>
    <row r="184" spans="2:6" x14ac:dyDescent="0.3">
      <c r="B184" s="78">
        <v>867</v>
      </c>
      <c r="C184" s="80" t="s">
        <v>280</v>
      </c>
      <c r="D184" s="80" t="s">
        <v>278</v>
      </c>
      <c r="E184" s="79">
        <v>44348</v>
      </c>
      <c r="F184" s="78">
        <v>259896</v>
      </c>
    </row>
    <row r="185" spans="2:6" x14ac:dyDescent="0.3">
      <c r="B185" s="78">
        <v>113</v>
      </c>
      <c r="C185" s="80" t="s">
        <v>280</v>
      </c>
      <c r="D185" s="80" t="s">
        <v>273</v>
      </c>
      <c r="E185" s="79">
        <v>44378</v>
      </c>
      <c r="F185" s="80">
        <v>-34980</v>
      </c>
    </row>
    <row r="186" spans="2:6" x14ac:dyDescent="0.3">
      <c r="B186" s="78">
        <v>762</v>
      </c>
      <c r="C186" s="80" t="s">
        <v>280</v>
      </c>
      <c r="D186" s="80" t="s">
        <v>273</v>
      </c>
      <c r="E186" s="79">
        <v>44348</v>
      </c>
      <c r="F186" s="78">
        <v>-15140</v>
      </c>
    </row>
    <row r="187" spans="2:6" x14ac:dyDescent="0.3">
      <c r="B187" s="78">
        <v>282</v>
      </c>
      <c r="C187" s="80" t="s">
        <v>280</v>
      </c>
      <c r="D187" s="80" t="s">
        <v>273</v>
      </c>
      <c r="E187" s="79">
        <v>44197</v>
      </c>
      <c r="F187" s="80">
        <v>-7921</v>
      </c>
    </row>
    <row r="188" spans="2:6" x14ac:dyDescent="0.3">
      <c r="B188" s="78">
        <v>748</v>
      </c>
      <c r="C188" s="80" t="s">
        <v>280</v>
      </c>
      <c r="D188" s="80" t="s">
        <v>273</v>
      </c>
      <c r="E188" s="79">
        <v>44378</v>
      </c>
      <c r="F188" s="78">
        <v>5850</v>
      </c>
    </row>
    <row r="189" spans="2:6" x14ac:dyDescent="0.3">
      <c r="B189" s="78">
        <v>2933</v>
      </c>
      <c r="C189" s="80" t="s">
        <v>280</v>
      </c>
      <c r="D189" s="80" t="s">
        <v>273</v>
      </c>
      <c r="E189" s="79">
        <v>44197</v>
      </c>
      <c r="F189" s="78">
        <v>6256</v>
      </c>
    </row>
    <row r="190" spans="2:6" x14ac:dyDescent="0.3">
      <c r="B190" s="78">
        <v>2390</v>
      </c>
      <c r="C190" s="80" t="s">
        <v>280</v>
      </c>
      <c r="D190" s="80" t="s">
        <v>273</v>
      </c>
      <c r="E190" s="79">
        <v>44409</v>
      </c>
      <c r="F190" s="78">
        <v>10877</v>
      </c>
    </row>
    <row r="191" spans="2:6" x14ac:dyDescent="0.3">
      <c r="B191" s="78">
        <v>2187</v>
      </c>
      <c r="C191" s="80" t="s">
        <v>280</v>
      </c>
      <c r="D191" s="80" t="s">
        <v>273</v>
      </c>
      <c r="E191" s="79">
        <v>44440</v>
      </c>
      <c r="F191" s="78">
        <v>13179</v>
      </c>
    </row>
    <row r="192" spans="2:6" x14ac:dyDescent="0.3">
      <c r="B192" s="78">
        <v>2913</v>
      </c>
      <c r="C192" s="80" t="s">
        <v>280</v>
      </c>
      <c r="D192" s="80" t="s">
        <v>273</v>
      </c>
      <c r="E192" s="79">
        <v>44197</v>
      </c>
      <c r="F192" s="78">
        <v>25860</v>
      </c>
    </row>
    <row r="193" spans="2:6" x14ac:dyDescent="0.3">
      <c r="B193" s="78">
        <v>3013</v>
      </c>
      <c r="C193" s="80" t="s">
        <v>280</v>
      </c>
      <c r="D193" s="80" t="s">
        <v>273</v>
      </c>
      <c r="E193" s="79">
        <v>44317</v>
      </c>
      <c r="F193" s="78">
        <v>26172</v>
      </c>
    </row>
    <row r="194" spans="2:6" x14ac:dyDescent="0.3">
      <c r="B194" s="78">
        <v>1531</v>
      </c>
      <c r="C194" s="80" t="s">
        <v>280</v>
      </c>
      <c r="D194" s="80" t="s">
        <v>273</v>
      </c>
      <c r="E194" s="79">
        <v>44440</v>
      </c>
      <c r="F194" s="78">
        <v>27327</v>
      </c>
    </row>
    <row r="195" spans="2:6" x14ac:dyDescent="0.3">
      <c r="B195" s="78">
        <v>2910</v>
      </c>
      <c r="C195" s="80" t="s">
        <v>280</v>
      </c>
      <c r="D195" s="80" t="s">
        <v>273</v>
      </c>
      <c r="E195" s="79">
        <v>44378</v>
      </c>
      <c r="F195" s="78">
        <v>52513</v>
      </c>
    </row>
    <row r="196" spans="2:6" x14ac:dyDescent="0.3">
      <c r="B196" s="78">
        <v>2184</v>
      </c>
      <c r="C196" s="80" t="s">
        <v>280</v>
      </c>
      <c r="D196" s="80" t="s">
        <v>273</v>
      </c>
      <c r="E196" s="79">
        <v>44409</v>
      </c>
      <c r="F196" s="78">
        <v>67090</v>
      </c>
    </row>
    <row r="197" spans="2:6" x14ac:dyDescent="0.3">
      <c r="B197" s="78">
        <v>131</v>
      </c>
      <c r="C197" s="80" t="s">
        <v>280</v>
      </c>
      <c r="D197" s="80" t="s">
        <v>273</v>
      </c>
      <c r="E197" s="79">
        <v>44531</v>
      </c>
      <c r="F197" s="80">
        <v>74221</v>
      </c>
    </row>
    <row r="198" spans="2:6" x14ac:dyDescent="0.3">
      <c r="B198" s="78">
        <v>2376</v>
      </c>
      <c r="C198" s="80" t="s">
        <v>280</v>
      </c>
      <c r="D198" s="80" t="s">
        <v>273</v>
      </c>
      <c r="E198" s="79">
        <v>44287</v>
      </c>
      <c r="F198" s="78">
        <v>81846</v>
      </c>
    </row>
    <row r="199" spans="2:6" x14ac:dyDescent="0.3">
      <c r="B199" s="78">
        <v>127</v>
      </c>
      <c r="C199" s="80" t="s">
        <v>280</v>
      </c>
      <c r="D199" s="80" t="s">
        <v>273</v>
      </c>
      <c r="E199" s="79">
        <v>44470</v>
      </c>
      <c r="F199" s="80">
        <v>84660</v>
      </c>
    </row>
    <row r="200" spans="2:6" x14ac:dyDescent="0.3">
      <c r="B200" s="78">
        <v>2333</v>
      </c>
      <c r="C200" s="80" t="s">
        <v>280</v>
      </c>
      <c r="D200" s="80" t="s">
        <v>273</v>
      </c>
      <c r="E200" s="79">
        <v>44378</v>
      </c>
      <c r="F200" s="78">
        <v>103592</v>
      </c>
    </row>
    <row r="201" spans="2:6" x14ac:dyDescent="0.3">
      <c r="B201" s="78">
        <v>111</v>
      </c>
      <c r="C201" s="80" t="s">
        <v>280</v>
      </c>
      <c r="D201" s="80" t="s">
        <v>273</v>
      </c>
      <c r="E201" s="79">
        <v>44197</v>
      </c>
      <c r="F201" s="80">
        <v>123287</v>
      </c>
    </row>
    <row r="202" spans="2:6" x14ac:dyDescent="0.3">
      <c r="B202" s="78">
        <v>1547</v>
      </c>
      <c r="C202" s="80" t="s">
        <v>280</v>
      </c>
      <c r="D202" s="80" t="s">
        <v>273</v>
      </c>
      <c r="E202" s="79">
        <v>44531</v>
      </c>
      <c r="F202" s="78">
        <v>129328</v>
      </c>
    </row>
    <row r="203" spans="2:6" x14ac:dyDescent="0.3">
      <c r="B203" s="78">
        <v>2862</v>
      </c>
      <c r="C203" s="80" t="s">
        <v>280</v>
      </c>
      <c r="D203" s="80" t="s">
        <v>273</v>
      </c>
      <c r="E203" s="79">
        <v>44470</v>
      </c>
      <c r="F203" s="78">
        <v>139432</v>
      </c>
    </row>
    <row r="204" spans="2:6" x14ac:dyDescent="0.3">
      <c r="B204" s="78">
        <v>894</v>
      </c>
      <c r="C204" s="80" t="s">
        <v>280</v>
      </c>
      <c r="D204" s="80" t="s">
        <v>273</v>
      </c>
      <c r="E204" s="79">
        <v>44470</v>
      </c>
      <c r="F204" s="78">
        <v>154630</v>
      </c>
    </row>
    <row r="205" spans="2:6" x14ac:dyDescent="0.3">
      <c r="B205" s="78">
        <v>2899</v>
      </c>
      <c r="C205" s="80" t="s">
        <v>280</v>
      </c>
      <c r="D205" s="80" t="s">
        <v>273</v>
      </c>
      <c r="E205" s="79">
        <v>44501</v>
      </c>
      <c r="F205" s="78">
        <v>156072</v>
      </c>
    </row>
    <row r="206" spans="2:6" x14ac:dyDescent="0.3">
      <c r="B206" s="78">
        <v>911</v>
      </c>
      <c r="C206" s="80" t="s">
        <v>280</v>
      </c>
      <c r="D206" s="80" t="s">
        <v>273</v>
      </c>
      <c r="E206" s="79">
        <v>44348</v>
      </c>
      <c r="F206" s="78">
        <v>161165</v>
      </c>
    </row>
    <row r="207" spans="2:6" x14ac:dyDescent="0.3">
      <c r="B207" s="78">
        <v>891</v>
      </c>
      <c r="C207" s="80" t="s">
        <v>280</v>
      </c>
      <c r="D207" s="80" t="s">
        <v>273</v>
      </c>
      <c r="E207" s="79">
        <v>44228</v>
      </c>
      <c r="F207" s="78">
        <v>173392</v>
      </c>
    </row>
    <row r="208" spans="2:6" x14ac:dyDescent="0.3">
      <c r="B208" s="78">
        <v>728</v>
      </c>
      <c r="C208" s="80" t="s">
        <v>280</v>
      </c>
      <c r="D208" s="80" t="s">
        <v>273</v>
      </c>
      <c r="E208" s="79">
        <v>44287</v>
      </c>
      <c r="F208" s="78">
        <v>175220</v>
      </c>
    </row>
    <row r="209" spans="2:6" x14ac:dyDescent="0.3">
      <c r="B209" s="78">
        <v>84</v>
      </c>
      <c r="C209" s="80" t="s">
        <v>280</v>
      </c>
      <c r="D209" s="80" t="s">
        <v>273</v>
      </c>
      <c r="E209" s="79">
        <v>44287</v>
      </c>
      <c r="F209" s="80">
        <v>191293</v>
      </c>
    </row>
    <row r="210" spans="2:6" x14ac:dyDescent="0.3">
      <c r="B210" s="78">
        <v>963</v>
      </c>
      <c r="C210" s="80" t="s">
        <v>280</v>
      </c>
      <c r="D210" s="80" t="s">
        <v>273</v>
      </c>
      <c r="E210" s="79">
        <v>44440</v>
      </c>
      <c r="F210" s="78">
        <v>193691</v>
      </c>
    </row>
    <row r="211" spans="2:6" x14ac:dyDescent="0.3">
      <c r="B211" s="78">
        <v>211</v>
      </c>
      <c r="C211" s="80" t="s">
        <v>280</v>
      </c>
      <c r="D211" s="80" t="s">
        <v>273</v>
      </c>
      <c r="E211" s="79">
        <v>44501</v>
      </c>
      <c r="F211" s="80">
        <v>207031</v>
      </c>
    </row>
    <row r="212" spans="2:6" x14ac:dyDescent="0.3">
      <c r="B212" s="78">
        <v>1526</v>
      </c>
      <c r="C212" s="80" t="s">
        <v>280</v>
      </c>
      <c r="D212" s="80" t="s">
        <v>273</v>
      </c>
      <c r="E212" s="79">
        <v>44287</v>
      </c>
      <c r="F212" s="78">
        <v>214102</v>
      </c>
    </row>
    <row r="213" spans="2:6" x14ac:dyDescent="0.3">
      <c r="B213" s="78">
        <v>3018</v>
      </c>
      <c r="C213" s="80" t="s">
        <v>280</v>
      </c>
      <c r="D213" s="80" t="s">
        <v>273</v>
      </c>
      <c r="E213" s="79">
        <v>44501</v>
      </c>
      <c r="F213" s="78">
        <v>223295</v>
      </c>
    </row>
    <row r="214" spans="2:6" x14ac:dyDescent="0.3">
      <c r="B214" s="78">
        <v>973</v>
      </c>
      <c r="C214" s="80" t="s">
        <v>280</v>
      </c>
      <c r="D214" s="80" t="s">
        <v>273</v>
      </c>
      <c r="E214" s="79">
        <v>44378</v>
      </c>
      <c r="F214" s="78">
        <v>229218</v>
      </c>
    </row>
    <row r="215" spans="2:6" x14ac:dyDescent="0.3">
      <c r="B215" s="78">
        <v>1683</v>
      </c>
      <c r="C215" s="80" t="s">
        <v>280</v>
      </c>
      <c r="D215" s="80" t="s">
        <v>273</v>
      </c>
      <c r="E215" s="79">
        <v>44440</v>
      </c>
      <c r="F215" s="78">
        <v>242971</v>
      </c>
    </row>
    <row r="216" spans="2:6" x14ac:dyDescent="0.3">
      <c r="B216" s="78">
        <v>2318</v>
      </c>
      <c r="C216" s="80" t="s">
        <v>280</v>
      </c>
      <c r="D216" s="80" t="s">
        <v>273</v>
      </c>
      <c r="E216" s="79">
        <v>44531</v>
      </c>
      <c r="F216" s="78">
        <v>244284</v>
      </c>
    </row>
    <row r="217" spans="2:6" x14ac:dyDescent="0.3">
      <c r="B217" s="78">
        <v>983</v>
      </c>
      <c r="C217" s="80" t="s">
        <v>280</v>
      </c>
      <c r="D217" s="80" t="s">
        <v>273</v>
      </c>
      <c r="E217" s="79">
        <v>44470</v>
      </c>
      <c r="F217" s="78">
        <v>249705</v>
      </c>
    </row>
    <row r="218" spans="2:6" x14ac:dyDescent="0.3">
      <c r="B218" s="78">
        <v>2881</v>
      </c>
      <c r="C218" s="80" t="s">
        <v>280</v>
      </c>
      <c r="D218" s="80" t="s">
        <v>273</v>
      </c>
      <c r="E218" s="79">
        <v>44440</v>
      </c>
      <c r="F218" s="78">
        <v>261354</v>
      </c>
    </row>
    <row r="219" spans="2:6" x14ac:dyDescent="0.3">
      <c r="B219" s="78">
        <v>2478</v>
      </c>
      <c r="C219" s="80" t="s">
        <v>276</v>
      </c>
      <c r="D219" s="80" t="s">
        <v>279</v>
      </c>
      <c r="E219" s="79">
        <v>44228</v>
      </c>
      <c r="F219" s="78">
        <v>8721</v>
      </c>
    </row>
    <row r="220" spans="2:6" x14ac:dyDescent="0.3">
      <c r="B220" s="78">
        <v>403</v>
      </c>
      <c r="C220" s="80" t="s">
        <v>276</v>
      </c>
      <c r="D220" s="80" t="s">
        <v>279</v>
      </c>
      <c r="E220" s="79">
        <v>44378</v>
      </c>
      <c r="F220" s="80">
        <v>12909</v>
      </c>
    </row>
    <row r="221" spans="2:6" x14ac:dyDescent="0.3">
      <c r="B221" s="78">
        <v>1903</v>
      </c>
      <c r="C221" s="80" t="s">
        <v>276</v>
      </c>
      <c r="D221" s="80" t="s">
        <v>279</v>
      </c>
      <c r="E221" s="79">
        <v>44531</v>
      </c>
      <c r="F221" s="78">
        <v>22305</v>
      </c>
    </row>
    <row r="222" spans="2:6" x14ac:dyDescent="0.3">
      <c r="B222" s="78">
        <v>413</v>
      </c>
      <c r="C222" s="80" t="s">
        <v>276</v>
      </c>
      <c r="D222" s="80" t="s">
        <v>279</v>
      </c>
      <c r="E222" s="79">
        <v>44378</v>
      </c>
      <c r="F222" s="80">
        <v>36046</v>
      </c>
    </row>
    <row r="223" spans="2:6" x14ac:dyDescent="0.3">
      <c r="B223" s="78">
        <v>3394</v>
      </c>
      <c r="C223" s="80" t="s">
        <v>276</v>
      </c>
      <c r="D223" s="80" t="s">
        <v>279</v>
      </c>
      <c r="E223" s="79">
        <v>44501</v>
      </c>
      <c r="F223" s="78">
        <v>40179</v>
      </c>
    </row>
    <row r="224" spans="2:6" x14ac:dyDescent="0.3">
      <c r="B224" s="78">
        <v>594</v>
      </c>
      <c r="C224" s="80" t="s">
        <v>276</v>
      </c>
      <c r="D224" s="80" t="s">
        <v>279</v>
      </c>
      <c r="E224" s="79">
        <v>44531</v>
      </c>
      <c r="F224" s="80">
        <v>47888</v>
      </c>
    </row>
    <row r="225" spans="2:6" x14ac:dyDescent="0.3">
      <c r="B225" s="78">
        <v>2655</v>
      </c>
      <c r="C225" s="80" t="s">
        <v>276</v>
      </c>
      <c r="D225" s="80" t="s">
        <v>279</v>
      </c>
      <c r="E225" s="79">
        <v>44287</v>
      </c>
      <c r="F225" s="78">
        <v>173334</v>
      </c>
    </row>
    <row r="226" spans="2:6" x14ac:dyDescent="0.3">
      <c r="B226" s="78">
        <v>1253</v>
      </c>
      <c r="C226" s="80" t="s">
        <v>276</v>
      </c>
      <c r="D226" s="80" t="s">
        <v>279</v>
      </c>
      <c r="E226" s="79">
        <v>44228</v>
      </c>
      <c r="F226" s="78">
        <v>187979</v>
      </c>
    </row>
    <row r="227" spans="2:6" x14ac:dyDescent="0.3">
      <c r="B227" s="78">
        <v>2033</v>
      </c>
      <c r="C227" s="80" t="s">
        <v>276</v>
      </c>
      <c r="D227" s="80" t="s">
        <v>279</v>
      </c>
      <c r="E227" s="79">
        <v>44470</v>
      </c>
      <c r="F227" s="78">
        <v>225220</v>
      </c>
    </row>
    <row r="228" spans="2:6" x14ac:dyDescent="0.3">
      <c r="B228" s="78">
        <v>1396</v>
      </c>
      <c r="C228" s="80" t="s">
        <v>276</v>
      </c>
      <c r="D228" s="80" t="s">
        <v>279</v>
      </c>
      <c r="E228" s="79">
        <v>44409</v>
      </c>
      <c r="F228" s="78">
        <v>229197</v>
      </c>
    </row>
    <row r="229" spans="2:6" x14ac:dyDescent="0.3">
      <c r="B229" s="78">
        <v>2642</v>
      </c>
      <c r="C229" s="80" t="s">
        <v>276</v>
      </c>
      <c r="D229" s="80" t="s">
        <v>279</v>
      </c>
      <c r="E229" s="79">
        <v>44228</v>
      </c>
      <c r="F229" s="78">
        <v>252387</v>
      </c>
    </row>
    <row r="230" spans="2:6" x14ac:dyDescent="0.3">
      <c r="B230" s="78">
        <v>1975</v>
      </c>
      <c r="C230" s="80" t="s">
        <v>276</v>
      </c>
      <c r="D230" s="80" t="s">
        <v>275</v>
      </c>
      <c r="E230" s="79">
        <v>44287</v>
      </c>
      <c r="F230" s="78">
        <v>259</v>
      </c>
    </row>
    <row r="231" spans="2:6" x14ac:dyDescent="0.3">
      <c r="B231" s="78">
        <v>3294</v>
      </c>
      <c r="C231" s="80" t="s">
        <v>276</v>
      </c>
      <c r="D231" s="80" t="s">
        <v>275</v>
      </c>
      <c r="E231" s="79">
        <v>44228</v>
      </c>
      <c r="F231" s="78">
        <v>11682</v>
      </c>
    </row>
    <row r="232" spans="2:6" x14ac:dyDescent="0.3">
      <c r="B232" s="78">
        <v>1019</v>
      </c>
      <c r="C232" s="80" t="s">
        <v>276</v>
      </c>
      <c r="D232" s="80" t="s">
        <v>275</v>
      </c>
      <c r="E232" s="79">
        <v>44501</v>
      </c>
      <c r="F232" s="78">
        <v>25301</v>
      </c>
    </row>
    <row r="233" spans="2:6" x14ac:dyDescent="0.3">
      <c r="B233" s="78">
        <v>3454</v>
      </c>
      <c r="C233" s="80" t="s">
        <v>276</v>
      </c>
      <c r="D233" s="80" t="s">
        <v>275</v>
      </c>
      <c r="E233" s="79">
        <v>44287</v>
      </c>
      <c r="F233" s="78">
        <v>51383</v>
      </c>
    </row>
    <row r="234" spans="2:6" x14ac:dyDescent="0.3">
      <c r="B234" s="78">
        <v>482</v>
      </c>
      <c r="C234" s="80" t="s">
        <v>276</v>
      </c>
      <c r="D234" s="80" t="s">
        <v>275</v>
      </c>
      <c r="E234" s="79">
        <v>44378</v>
      </c>
      <c r="F234" s="80">
        <v>57399</v>
      </c>
    </row>
    <row r="235" spans="2:6" x14ac:dyDescent="0.3">
      <c r="B235" s="78">
        <v>3442</v>
      </c>
      <c r="C235" s="80" t="s">
        <v>276</v>
      </c>
      <c r="D235" s="80" t="s">
        <v>275</v>
      </c>
      <c r="E235" s="79">
        <v>44470</v>
      </c>
      <c r="F235" s="78">
        <v>86076</v>
      </c>
    </row>
    <row r="236" spans="2:6" x14ac:dyDescent="0.3">
      <c r="B236" s="78">
        <v>1719</v>
      </c>
      <c r="C236" s="80" t="s">
        <v>276</v>
      </c>
      <c r="D236" s="80" t="s">
        <v>275</v>
      </c>
      <c r="E236" s="79">
        <v>44348</v>
      </c>
      <c r="F236" s="78">
        <v>95791</v>
      </c>
    </row>
    <row r="237" spans="2:6" x14ac:dyDescent="0.3">
      <c r="B237" s="78">
        <v>3119</v>
      </c>
      <c r="C237" s="80" t="s">
        <v>276</v>
      </c>
      <c r="D237" s="80" t="s">
        <v>275</v>
      </c>
      <c r="E237" s="79">
        <v>44531</v>
      </c>
      <c r="F237" s="78">
        <v>100956</v>
      </c>
    </row>
    <row r="238" spans="2:6" x14ac:dyDescent="0.3">
      <c r="B238" s="78">
        <v>2754</v>
      </c>
      <c r="C238" s="80" t="s">
        <v>276</v>
      </c>
      <c r="D238" s="80" t="s">
        <v>275</v>
      </c>
      <c r="E238" s="79">
        <v>44256</v>
      </c>
      <c r="F238" s="78">
        <v>117440</v>
      </c>
    </row>
    <row r="239" spans="2:6" x14ac:dyDescent="0.3">
      <c r="B239" s="78">
        <v>2742</v>
      </c>
      <c r="C239" s="80" t="s">
        <v>276</v>
      </c>
      <c r="D239" s="80" t="s">
        <v>275</v>
      </c>
      <c r="E239" s="79">
        <v>44470</v>
      </c>
      <c r="F239" s="78">
        <v>128249</v>
      </c>
    </row>
    <row r="240" spans="2:6" x14ac:dyDescent="0.3">
      <c r="B240" s="78">
        <v>1342</v>
      </c>
      <c r="C240" s="80" t="s">
        <v>276</v>
      </c>
      <c r="D240" s="80" t="s">
        <v>275</v>
      </c>
      <c r="E240" s="79">
        <v>44348</v>
      </c>
      <c r="F240" s="78">
        <v>139728</v>
      </c>
    </row>
    <row r="241" spans="2:6" x14ac:dyDescent="0.3">
      <c r="B241" s="78">
        <v>1200</v>
      </c>
      <c r="C241" s="80" t="s">
        <v>276</v>
      </c>
      <c r="D241" s="80" t="s">
        <v>275</v>
      </c>
      <c r="E241" s="79">
        <v>44440</v>
      </c>
      <c r="F241" s="78">
        <v>147727</v>
      </c>
    </row>
    <row r="242" spans="2:6" x14ac:dyDescent="0.3">
      <c r="B242" s="78">
        <v>2539</v>
      </c>
      <c r="C242" s="80" t="s">
        <v>276</v>
      </c>
      <c r="D242" s="80" t="s">
        <v>275</v>
      </c>
      <c r="E242" s="79">
        <v>44348</v>
      </c>
      <c r="F242" s="78">
        <v>159478</v>
      </c>
    </row>
    <row r="243" spans="2:6" x14ac:dyDescent="0.3">
      <c r="B243" s="78">
        <v>3471</v>
      </c>
      <c r="C243" s="80" t="s">
        <v>276</v>
      </c>
      <c r="D243" s="80" t="s">
        <v>275</v>
      </c>
      <c r="E243" s="79">
        <v>44378</v>
      </c>
      <c r="F243" s="78">
        <v>176652</v>
      </c>
    </row>
    <row r="244" spans="2:6" x14ac:dyDescent="0.3">
      <c r="B244" s="78">
        <v>1227</v>
      </c>
      <c r="C244" s="80" t="s">
        <v>276</v>
      </c>
      <c r="D244" s="80" t="s">
        <v>275</v>
      </c>
      <c r="E244" s="79">
        <v>44470</v>
      </c>
      <c r="F244" s="78">
        <v>231047</v>
      </c>
    </row>
    <row r="245" spans="2:6" x14ac:dyDescent="0.3">
      <c r="B245" s="78">
        <v>1839</v>
      </c>
      <c r="C245" s="80" t="s">
        <v>276</v>
      </c>
      <c r="D245" s="80" t="s">
        <v>275</v>
      </c>
      <c r="E245" s="79">
        <v>44348</v>
      </c>
      <c r="F245" s="78">
        <v>254580</v>
      </c>
    </row>
    <row r="246" spans="2:6" x14ac:dyDescent="0.3">
      <c r="B246" s="78">
        <v>2474</v>
      </c>
      <c r="C246" s="80" t="s">
        <v>276</v>
      </c>
      <c r="D246" s="80" t="s">
        <v>271</v>
      </c>
      <c r="E246" s="79">
        <v>44197</v>
      </c>
      <c r="F246" s="78">
        <v>6460</v>
      </c>
    </row>
    <row r="247" spans="2:6" x14ac:dyDescent="0.3">
      <c r="B247" s="78">
        <v>3250</v>
      </c>
      <c r="C247" s="80" t="s">
        <v>276</v>
      </c>
      <c r="D247" s="80" t="s">
        <v>271</v>
      </c>
      <c r="E247" s="79">
        <v>44501</v>
      </c>
      <c r="F247" s="78">
        <v>20238</v>
      </c>
    </row>
    <row r="248" spans="2:6" x14ac:dyDescent="0.3">
      <c r="B248" s="78">
        <v>1004</v>
      </c>
      <c r="C248" s="80" t="s">
        <v>276</v>
      </c>
      <c r="D248" s="80" t="s">
        <v>271</v>
      </c>
      <c r="E248" s="79">
        <v>44409</v>
      </c>
      <c r="F248" s="78">
        <v>22746</v>
      </c>
    </row>
    <row r="249" spans="2:6" x14ac:dyDescent="0.3">
      <c r="B249" s="78">
        <v>2000</v>
      </c>
      <c r="C249" s="80" t="s">
        <v>276</v>
      </c>
      <c r="D249" s="80" t="s">
        <v>271</v>
      </c>
      <c r="E249" s="79">
        <v>44256</v>
      </c>
      <c r="F249" s="78">
        <v>29435</v>
      </c>
    </row>
    <row r="250" spans="2:6" x14ac:dyDescent="0.3">
      <c r="B250" s="78">
        <v>2511</v>
      </c>
      <c r="C250" s="80" t="s">
        <v>276</v>
      </c>
      <c r="D250" s="80" t="s">
        <v>271</v>
      </c>
      <c r="E250" s="79">
        <v>44317</v>
      </c>
      <c r="F250" s="78">
        <v>53266</v>
      </c>
    </row>
    <row r="251" spans="2:6" x14ac:dyDescent="0.3">
      <c r="B251" s="78">
        <v>2749</v>
      </c>
      <c r="C251" s="80" t="s">
        <v>276</v>
      </c>
      <c r="D251" s="80" t="s">
        <v>271</v>
      </c>
      <c r="E251" s="79">
        <v>44256</v>
      </c>
      <c r="F251" s="78">
        <v>133951</v>
      </c>
    </row>
    <row r="252" spans="2:6" x14ac:dyDescent="0.3">
      <c r="B252" s="78">
        <v>3120</v>
      </c>
      <c r="C252" s="80" t="s">
        <v>276</v>
      </c>
      <c r="D252" s="80" t="s">
        <v>271</v>
      </c>
      <c r="E252" s="79">
        <v>44287</v>
      </c>
      <c r="F252" s="78">
        <v>135272</v>
      </c>
    </row>
    <row r="253" spans="2:6" x14ac:dyDescent="0.3">
      <c r="B253" s="78">
        <v>2099</v>
      </c>
      <c r="C253" s="80" t="s">
        <v>276</v>
      </c>
      <c r="D253" s="80" t="s">
        <v>271</v>
      </c>
      <c r="E253" s="79">
        <v>44287</v>
      </c>
      <c r="F253" s="78">
        <v>145328</v>
      </c>
    </row>
    <row r="254" spans="2:6" x14ac:dyDescent="0.3">
      <c r="B254" s="78">
        <v>1324</v>
      </c>
      <c r="C254" s="80" t="s">
        <v>276</v>
      </c>
      <c r="D254" s="80" t="s">
        <v>271</v>
      </c>
      <c r="E254" s="79">
        <v>44501</v>
      </c>
      <c r="F254" s="78">
        <v>188860</v>
      </c>
    </row>
    <row r="255" spans="2:6" x14ac:dyDescent="0.3">
      <c r="B255" s="78">
        <v>302</v>
      </c>
      <c r="C255" s="80" t="s">
        <v>276</v>
      </c>
      <c r="D255" s="80" t="s">
        <v>271</v>
      </c>
      <c r="E255" s="79">
        <v>44197</v>
      </c>
      <c r="F255" s="80">
        <v>193122</v>
      </c>
    </row>
    <row r="256" spans="2:6" x14ac:dyDescent="0.3">
      <c r="B256" s="78">
        <v>1774</v>
      </c>
      <c r="C256" s="80" t="s">
        <v>276</v>
      </c>
      <c r="D256" s="80" t="s">
        <v>271</v>
      </c>
      <c r="E256" s="79">
        <v>44197</v>
      </c>
      <c r="F256" s="78">
        <v>208053</v>
      </c>
    </row>
    <row r="257" spans="2:6" x14ac:dyDescent="0.3">
      <c r="B257" s="78">
        <v>1912</v>
      </c>
      <c r="C257" s="80" t="s">
        <v>276</v>
      </c>
      <c r="D257" s="80" t="s">
        <v>278</v>
      </c>
      <c r="E257" s="79">
        <v>44228</v>
      </c>
      <c r="F257" s="78">
        <v>5187</v>
      </c>
    </row>
    <row r="258" spans="2:6" x14ac:dyDescent="0.3">
      <c r="B258" s="78">
        <v>2735</v>
      </c>
      <c r="C258" s="80" t="s">
        <v>276</v>
      </c>
      <c r="D258" s="80" t="s">
        <v>278</v>
      </c>
      <c r="E258" s="79">
        <v>44378</v>
      </c>
      <c r="F258" s="78">
        <v>12894</v>
      </c>
    </row>
    <row r="259" spans="2:6" x14ac:dyDescent="0.3">
      <c r="B259" s="78">
        <v>2561</v>
      </c>
      <c r="C259" s="80" t="s">
        <v>276</v>
      </c>
      <c r="D259" s="80" t="s">
        <v>278</v>
      </c>
      <c r="E259" s="79">
        <v>44228</v>
      </c>
      <c r="F259" s="78">
        <v>15238</v>
      </c>
    </row>
    <row r="260" spans="2:6" x14ac:dyDescent="0.3">
      <c r="B260" s="78">
        <v>3312</v>
      </c>
      <c r="C260" s="80" t="s">
        <v>276</v>
      </c>
      <c r="D260" s="80" t="s">
        <v>278</v>
      </c>
      <c r="E260" s="79">
        <v>44287</v>
      </c>
      <c r="F260" s="78">
        <v>22839</v>
      </c>
    </row>
    <row r="261" spans="2:6" x14ac:dyDescent="0.3">
      <c r="B261" s="78">
        <v>1191</v>
      </c>
      <c r="C261" s="80" t="s">
        <v>276</v>
      </c>
      <c r="D261" s="80" t="s">
        <v>278</v>
      </c>
      <c r="E261" s="79">
        <v>44228</v>
      </c>
      <c r="F261" s="78">
        <v>33850</v>
      </c>
    </row>
    <row r="262" spans="2:6" x14ac:dyDescent="0.3">
      <c r="B262" s="78">
        <v>2619</v>
      </c>
      <c r="C262" s="80" t="s">
        <v>276</v>
      </c>
      <c r="D262" s="80" t="s">
        <v>278</v>
      </c>
      <c r="E262" s="79">
        <v>44409</v>
      </c>
      <c r="F262" s="78">
        <v>78549</v>
      </c>
    </row>
    <row r="263" spans="2:6" x14ac:dyDescent="0.3">
      <c r="B263" s="78">
        <v>1084</v>
      </c>
      <c r="C263" s="80" t="s">
        <v>276</v>
      </c>
      <c r="D263" s="80" t="s">
        <v>278</v>
      </c>
      <c r="E263" s="79">
        <v>44531</v>
      </c>
      <c r="F263" s="78">
        <v>130275</v>
      </c>
    </row>
    <row r="264" spans="2:6" x14ac:dyDescent="0.3">
      <c r="B264" s="78">
        <v>2407</v>
      </c>
      <c r="C264" s="80" t="s">
        <v>276</v>
      </c>
      <c r="D264" s="80" t="s">
        <v>278</v>
      </c>
      <c r="E264" s="79">
        <v>44409</v>
      </c>
      <c r="F264" s="78">
        <v>155980</v>
      </c>
    </row>
    <row r="265" spans="2:6" x14ac:dyDescent="0.3">
      <c r="B265" s="78">
        <v>3103</v>
      </c>
      <c r="C265" s="80" t="s">
        <v>276</v>
      </c>
      <c r="D265" s="80" t="s">
        <v>278</v>
      </c>
      <c r="E265" s="79">
        <v>44256</v>
      </c>
      <c r="F265" s="78">
        <v>201340</v>
      </c>
    </row>
    <row r="266" spans="2:6" x14ac:dyDescent="0.3">
      <c r="B266" s="78">
        <v>1269</v>
      </c>
      <c r="C266" s="80" t="s">
        <v>276</v>
      </c>
      <c r="D266" s="80" t="s">
        <v>278</v>
      </c>
      <c r="E266" s="79">
        <v>44440</v>
      </c>
      <c r="F266" s="78">
        <v>213879</v>
      </c>
    </row>
    <row r="267" spans="2:6" x14ac:dyDescent="0.3">
      <c r="B267" s="78">
        <v>1776</v>
      </c>
      <c r="C267" s="80" t="s">
        <v>276</v>
      </c>
      <c r="D267" s="80" t="s">
        <v>278</v>
      </c>
      <c r="E267" s="79">
        <v>44287</v>
      </c>
      <c r="F267" s="78">
        <v>216555</v>
      </c>
    </row>
    <row r="268" spans="2:6" x14ac:dyDescent="0.3">
      <c r="B268" s="78">
        <v>3450</v>
      </c>
      <c r="C268" s="80" t="s">
        <v>276</v>
      </c>
      <c r="D268" s="80" t="s">
        <v>273</v>
      </c>
      <c r="E268" s="79">
        <v>44378</v>
      </c>
      <c r="F268" s="78">
        <v>-39689</v>
      </c>
    </row>
    <row r="269" spans="2:6" x14ac:dyDescent="0.3">
      <c r="B269" s="78">
        <v>1296</v>
      </c>
      <c r="C269" s="80" t="s">
        <v>276</v>
      </c>
      <c r="D269" s="80" t="s">
        <v>273</v>
      </c>
      <c r="E269" s="79">
        <v>44197</v>
      </c>
      <c r="F269" s="78">
        <v>1661</v>
      </c>
    </row>
    <row r="270" spans="2:6" x14ac:dyDescent="0.3">
      <c r="B270" s="78">
        <v>2486</v>
      </c>
      <c r="C270" s="80" t="s">
        <v>276</v>
      </c>
      <c r="D270" s="80" t="s">
        <v>273</v>
      </c>
      <c r="E270" s="79">
        <v>44531</v>
      </c>
      <c r="F270" s="78">
        <v>54633</v>
      </c>
    </row>
    <row r="271" spans="2:6" x14ac:dyDescent="0.3">
      <c r="B271" s="78">
        <v>1011</v>
      </c>
      <c r="C271" s="80" t="s">
        <v>276</v>
      </c>
      <c r="D271" s="80" t="s">
        <v>273</v>
      </c>
      <c r="E271" s="79">
        <v>44409</v>
      </c>
      <c r="F271" s="78">
        <v>85536</v>
      </c>
    </row>
    <row r="272" spans="2:6" x14ac:dyDescent="0.3">
      <c r="B272" s="78">
        <v>325</v>
      </c>
      <c r="C272" s="80" t="s">
        <v>276</v>
      </c>
      <c r="D272" s="80" t="s">
        <v>273</v>
      </c>
      <c r="E272" s="79">
        <v>44470</v>
      </c>
      <c r="F272" s="80">
        <v>93656</v>
      </c>
    </row>
    <row r="273" spans="2:6" x14ac:dyDescent="0.3">
      <c r="B273" s="78">
        <v>3333</v>
      </c>
      <c r="C273" s="80" t="s">
        <v>276</v>
      </c>
      <c r="D273" s="80" t="s">
        <v>273</v>
      </c>
      <c r="E273" s="79">
        <v>44440</v>
      </c>
      <c r="F273" s="78">
        <v>98246</v>
      </c>
    </row>
    <row r="274" spans="2:6" x14ac:dyDescent="0.3">
      <c r="B274" s="78">
        <v>3125</v>
      </c>
      <c r="C274" s="80" t="s">
        <v>276</v>
      </c>
      <c r="D274" s="80" t="s">
        <v>273</v>
      </c>
      <c r="E274" s="79">
        <v>44470</v>
      </c>
      <c r="F274" s="78">
        <v>163127</v>
      </c>
    </row>
    <row r="275" spans="2:6" x14ac:dyDescent="0.3">
      <c r="B275" s="78">
        <v>1355</v>
      </c>
      <c r="C275" s="80" t="s">
        <v>276</v>
      </c>
      <c r="D275" s="80" t="s">
        <v>273</v>
      </c>
      <c r="E275" s="79">
        <v>44348</v>
      </c>
      <c r="F275" s="78">
        <v>216695</v>
      </c>
    </row>
    <row r="276" spans="2:6" x14ac:dyDescent="0.3">
      <c r="B276" s="78">
        <v>3412</v>
      </c>
      <c r="C276" s="80" t="s">
        <v>274</v>
      </c>
      <c r="D276" s="80" t="s">
        <v>279</v>
      </c>
      <c r="E276" s="79">
        <v>44228</v>
      </c>
      <c r="F276" s="78">
        <v>-11610</v>
      </c>
    </row>
    <row r="277" spans="2:6" x14ac:dyDescent="0.3">
      <c r="B277" s="78">
        <v>1115</v>
      </c>
      <c r="C277" s="80" t="s">
        <v>274</v>
      </c>
      <c r="D277" s="80" t="s">
        <v>279</v>
      </c>
      <c r="E277" s="79">
        <v>44256</v>
      </c>
      <c r="F277" s="78">
        <v>48808</v>
      </c>
    </row>
    <row r="278" spans="2:6" x14ac:dyDescent="0.3">
      <c r="B278" s="78">
        <v>1964</v>
      </c>
      <c r="C278" s="80" t="s">
        <v>274</v>
      </c>
      <c r="D278" s="80" t="s">
        <v>279</v>
      </c>
      <c r="E278" s="79">
        <v>44197</v>
      </c>
      <c r="F278" s="78">
        <v>100486</v>
      </c>
    </row>
    <row r="279" spans="2:6" x14ac:dyDescent="0.3">
      <c r="B279" s="78">
        <v>3361</v>
      </c>
      <c r="C279" s="80" t="s">
        <v>274</v>
      </c>
      <c r="D279" s="80" t="s">
        <v>279</v>
      </c>
      <c r="E279" s="79">
        <v>44317</v>
      </c>
      <c r="F279" s="78">
        <v>111998</v>
      </c>
    </row>
    <row r="280" spans="2:6" x14ac:dyDescent="0.3">
      <c r="B280" s="78">
        <v>3173</v>
      </c>
      <c r="C280" s="80" t="s">
        <v>274</v>
      </c>
      <c r="D280" s="80" t="s">
        <v>279</v>
      </c>
      <c r="E280" s="79">
        <v>44409</v>
      </c>
      <c r="F280" s="78">
        <v>216458</v>
      </c>
    </row>
    <row r="281" spans="2:6" x14ac:dyDescent="0.3">
      <c r="B281" s="78">
        <v>2778</v>
      </c>
      <c r="C281" s="80" t="s">
        <v>274</v>
      </c>
      <c r="D281" s="80" t="s">
        <v>279</v>
      </c>
      <c r="E281" s="79">
        <v>44440</v>
      </c>
      <c r="F281" s="78">
        <v>256402</v>
      </c>
    </row>
    <row r="282" spans="2:6" x14ac:dyDescent="0.3">
      <c r="B282" s="78">
        <v>2601</v>
      </c>
      <c r="C282" s="80" t="s">
        <v>274</v>
      </c>
      <c r="D282" s="80" t="s">
        <v>275</v>
      </c>
      <c r="E282" s="79">
        <v>44317</v>
      </c>
      <c r="F282" s="78">
        <v>1519</v>
      </c>
    </row>
    <row r="283" spans="2:6" x14ac:dyDescent="0.3">
      <c r="B283" s="78">
        <v>1112</v>
      </c>
      <c r="C283" s="80" t="s">
        <v>274</v>
      </c>
      <c r="D283" s="80" t="s">
        <v>275</v>
      </c>
      <c r="E283" s="79">
        <v>44470</v>
      </c>
      <c r="F283" s="78">
        <v>13328</v>
      </c>
    </row>
    <row r="284" spans="2:6" x14ac:dyDescent="0.3">
      <c r="B284" s="78">
        <v>1833</v>
      </c>
      <c r="C284" s="80" t="s">
        <v>274</v>
      </c>
      <c r="D284" s="80" t="s">
        <v>275</v>
      </c>
      <c r="E284" s="79">
        <v>44287</v>
      </c>
      <c r="F284" s="78">
        <v>73394</v>
      </c>
    </row>
    <row r="285" spans="2:6" x14ac:dyDescent="0.3">
      <c r="B285" s="78">
        <v>441</v>
      </c>
      <c r="C285" s="80" t="s">
        <v>274</v>
      </c>
      <c r="D285" s="80" t="s">
        <v>275</v>
      </c>
      <c r="E285" s="79">
        <v>44531</v>
      </c>
      <c r="F285" s="80">
        <v>82089</v>
      </c>
    </row>
    <row r="286" spans="2:6" x14ac:dyDescent="0.3">
      <c r="B286" s="78">
        <v>1829</v>
      </c>
      <c r="C286" s="80" t="s">
        <v>274</v>
      </c>
      <c r="D286" s="80" t="s">
        <v>275</v>
      </c>
      <c r="E286" s="79">
        <v>44378</v>
      </c>
      <c r="F286" s="78">
        <v>185869</v>
      </c>
    </row>
    <row r="287" spans="2:6" x14ac:dyDescent="0.3">
      <c r="B287" s="78">
        <v>2480</v>
      </c>
      <c r="C287" s="80" t="s">
        <v>274</v>
      </c>
      <c r="D287" s="80" t="s">
        <v>271</v>
      </c>
      <c r="E287" s="79">
        <v>44531</v>
      </c>
      <c r="F287" s="78">
        <v>1365</v>
      </c>
    </row>
    <row r="288" spans="2:6" x14ac:dyDescent="0.3">
      <c r="B288" s="78">
        <v>2705</v>
      </c>
      <c r="C288" s="80" t="s">
        <v>274</v>
      </c>
      <c r="D288" s="80" t="s">
        <v>271</v>
      </c>
      <c r="E288" s="79">
        <v>44256</v>
      </c>
      <c r="F288" s="78">
        <v>6845</v>
      </c>
    </row>
    <row r="289" spans="2:6" x14ac:dyDescent="0.3">
      <c r="B289" s="78">
        <v>681</v>
      </c>
      <c r="C289" s="80" t="s">
        <v>274</v>
      </c>
      <c r="D289" s="80" t="s">
        <v>271</v>
      </c>
      <c r="E289" s="79">
        <v>44409</v>
      </c>
      <c r="F289" s="80">
        <v>17711</v>
      </c>
    </row>
    <row r="290" spans="2:6" x14ac:dyDescent="0.3">
      <c r="B290" s="78">
        <v>3179</v>
      </c>
      <c r="C290" s="80" t="s">
        <v>274</v>
      </c>
      <c r="D290" s="80" t="s">
        <v>271</v>
      </c>
      <c r="E290" s="79">
        <v>44256</v>
      </c>
      <c r="F290" s="78">
        <v>39973</v>
      </c>
    </row>
    <row r="291" spans="2:6" x14ac:dyDescent="0.3">
      <c r="B291" s="78">
        <v>1381</v>
      </c>
      <c r="C291" s="80" t="s">
        <v>274</v>
      </c>
      <c r="D291" s="80" t="s">
        <v>271</v>
      </c>
      <c r="E291" s="79">
        <v>44409</v>
      </c>
      <c r="F291" s="78">
        <v>102572</v>
      </c>
    </row>
    <row r="292" spans="2:6" x14ac:dyDescent="0.3">
      <c r="B292" s="78">
        <v>2458</v>
      </c>
      <c r="C292" s="80" t="s">
        <v>274</v>
      </c>
      <c r="D292" s="80" t="s">
        <v>271</v>
      </c>
      <c r="E292" s="79">
        <v>44378</v>
      </c>
      <c r="F292" s="78">
        <v>121986</v>
      </c>
    </row>
    <row r="293" spans="2:6" x14ac:dyDescent="0.3">
      <c r="B293" s="78">
        <v>1079</v>
      </c>
      <c r="C293" s="80" t="s">
        <v>274</v>
      </c>
      <c r="D293" s="80" t="s">
        <v>271</v>
      </c>
      <c r="E293" s="79">
        <v>44256</v>
      </c>
      <c r="F293" s="78">
        <v>132363</v>
      </c>
    </row>
    <row r="294" spans="2:6" x14ac:dyDescent="0.3">
      <c r="B294" s="78">
        <v>2479</v>
      </c>
      <c r="C294" s="80" t="s">
        <v>274</v>
      </c>
      <c r="D294" s="80" t="s">
        <v>271</v>
      </c>
      <c r="E294" s="79">
        <v>44440</v>
      </c>
      <c r="F294" s="78">
        <v>160752</v>
      </c>
    </row>
    <row r="295" spans="2:6" x14ac:dyDescent="0.3">
      <c r="B295" s="78">
        <v>1285</v>
      </c>
      <c r="C295" s="80" t="s">
        <v>274</v>
      </c>
      <c r="D295" s="80" t="s">
        <v>278</v>
      </c>
      <c r="E295" s="79">
        <v>44228</v>
      </c>
      <c r="F295" s="78">
        <v>7298</v>
      </c>
    </row>
    <row r="296" spans="2:6" x14ac:dyDescent="0.3">
      <c r="B296" s="78">
        <v>3249</v>
      </c>
      <c r="C296" s="80" t="s">
        <v>274</v>
      </c>
      <c r="D296" s="80" t="s">
        <v>278</v>
      </c>
      <c r="E296" s="79">
        <v>44348</v>
      </c>
      <c r="F296" s="78">
        <v>11238</v>
      </c>
    </row>
    <row r="297" spans="2:6" x14ac:dyDescent="0.3">
      <c r="B297" s="78">
        <v>640</v>
      </c>
      <c r="C297" s="80" t="s">
        <v>274</v>
      </c>
      <c r="D297" s="80" t="s">
        <v>278</v>
      </c>
      <c r="E297" s="79">
        <v>44287</v>
      </c>
      <c r="F297" s="80">
        <v>27542</v>
      </c>
    </row>
    <row r="298" spans="2:6" x14ac:dyDescent="0.3">
      <c r="B298" s="78">
        <v>1709</v>
      </c>
      <c r="C298" s="80" t="s">
        <v>274</v>
      </c>
      <c r="D298" s="80" t="s">
        <v>278</v>
      </c>
      <c r="E298" s="79">
        <v>44228</v>
      </c>
      <c r="F298" s="78">
        <v>33876</v>
      </c>
    </row>
    <row r="299" spans="2:6" x14ac:dyDescent="0.3">
      <c r="B299" s="78">
        <v>2441</v>
      </c>
      <c r="C299" s="80" t="s">
        <v>274</v>
      </c>
      <c r="D299" s="80" t="s">
        <v>278</v>
      </c>
      <c r="E299" s="79">
        <v>44470</v>
      </c>
      <c r="F299" s="78">
        <v>39494</v>
      </c>
    </row>
    <row r="300" spans="2:6" x14ac:dyDescent="0.3">
      <c r="B300" s="78">
        <v>2549</v>
      </c>
      <c r="C300" s="80" t="s">
        <v>274</v>
      </c>
      <c r="D300" s="80" t="s">
        <v>278</v>
      </c>
      <c r="E300" s="79">
        <v>44348</v>
      </c>
      <c r="F300" s="78">
        <v>96983</v>
      </c>
    </row>
    <row r="301" spans="2:6" x14ac:dyDescent="0.3">
      <c r="B301" s="78">
        <v>2495</v>
      </c>
      <c r="C301" s="80" t="s">
        <v>274</v>
      </c>
      <c r="D301" s="80" t="s">
        <v>278</v>
      </c>
      <c r="E301" s="79">
        <v>44348</v>
      </c>
      <c r="F301" s="78">
        <v>130437</v>
      </c>
    </row>
    <row r="302" spans="2:6" x14ac:dyDescent="0.3">
      <c r="B302" s="78">
        <v>309</v>
      </c>
      <c r="C302" s="80" t="s">
        <v>274</v>
      </c>
      <c r="D302" s="80" t="s">
        <v>278</v>
      </c>
      <c r="E302" s="79">
        <v>44409</v>
      </c>
      <c r="F302" s="80">
        <v>149617</v>
      </c>
    </row>
    <row r="303" spans="2:6" x14ac:dyDescent="0.3">
      <c r="B303" s="78">
        <v>591</v>
      </c>
      <c r="C303" s="80" t="s">
        <v>274</v>
      </c>
      <c r="D303" s="80" t="s">
        <v>278</v>
      </c>
      <c r="E303" s="79">
        <v>44531</v>
      </c>
      <c r="F303" s="80">
        <v>166353</v>
      </c>
    </row>
    <row r="304" spans="2:6" x14ac:dyDescent="0.3">
      <c r="B304" s="78">
        <v>3159</v>
      </c>
      <c r="C304" s="80" t="s">
        <v>274</v>
      </c>
      <c r="D304" s="80" t="s">
        <v>278</v>
      </c>
      <c r="E304" s="79">
        <v>44197</v>
      </c>
      <c r="F304" s="78">
        <v>219774</v>
      </c>
    </row>
    <row r="305" spans="2:6" x14ac:dyDescent="0.3">
      <c r="B305" s="78">
        <v>3252</v>
      </c>
      <c r="C305" s="80" t="s">
        <v>274</v>
      </c>
      <c r="D305" s="80" t="s">
        <v>278</v>
      </c>
      <c r="E305" s="79">
        <v>44378</v>
      </c>
      <c r="F305" s="78">
        <v>226327</v>
      </c>
    </row>
    <row r="306" spans="2:6" x14ac:dyDescent="0.3">
      <c r="B306" s="78">
        <v>3440</v>
      </c>
      <c r="C306" s="80" t="s">
        <v>274</v>
      </c>
      <c r="D306" s="80" t="s">
        <v>278</v>
      </c>
      <c r="E306" s="79">
        <v>44317</v>
      </c>
      <c r="F306" s="78">
        <v>239368</v>
      </c>
    </row>
    <row r="307" spans="2:6" x14ac:dyDescent="0.3">
      <c r="B307" s="78">
        <v>492</v>
      </c>
      <c r="C307" s="80" t="s">
        <v>274</v>
      </c>
      <c r="D307" s="80" t="s">
        <v>278</v>
      </c>
      <c r="E307" s="79">
        <v>44197</v>
      </c>
      <c r="F307" s="80">
        <v>244677</v>
      </c>
    </row>
    <row r="308" spans="2:6" x14ac:dyDescent="0.3">
      <c r="B308" s="78">
        <v>1070</v>
      </c>
      <c r="C308" s="80" t="s">
        <v>274</v>
      </c>
      <c r="D308" s="80" t="s">
        <v>273</v>
      </c>
      <c r="E308" s="79">
        <v>44197</v>
      </c>
      <c r="F308" s="78">
        <v>8675</v>
      </c>
    </row>
    <row r="309" spans="2:6" x14ac:dyDescent="0.3">
      <c r="B309" s="78">
        <v>3287</v>
      </c>
      <c r="C309" s="80" t="s">
        <v>274</v>
      </c>
      <c r="D309" s="80" t="s">
        <v>273</v>
      </c>
      <c r="E309" s="79">
        <v>44440</v>
      </c>
      <c r="F309" s="78">
        <v>12156</v>
      </c>
    </row>
    <row r="310" spans="2:6" x14ac:dyDescent="0.3">
      <c r="B310" s="78">
        <v>1331</v>
      </c>
      <c r="C310" s="80" t="s">
        <v>274</v>
      </c>
      <c r="D310" s="80" t="s">
        <v>273</v>
      </c>
      <c r="E310" s="79">
        <v>44531</v>
      </c>
      <c r="F310" s="78">
        <v>60882</v>
      </c>
    </row>
    <row r="311" spans="2:6" x14ac:dyDescent="0.3">
      <c r="B311" s="78">
        <v>2537</v>
      </c>
      <c r="C311" s="80" t="s">
        <v>274</v>
      </c>
      <c r="D311" s="80" t="s">
        <v>273</v>
      </c>
      <c r="E311" s="79">
        <v>44409</v>
      </c>
      <c r="F311" s="78">
        <v>110965</v>
      </c>
    </row>
    <row r="312" spans="2:6" x14ac:dyDescent="0.3">
      <c r="B312" s="78">
        <v>3479</v>
      </c>
      <c r="C312" s="80" t="s">
        <v>274</v>
      </c>
      <c r="D312" s="80" t="s">
        <v>273</v>
      </c>
      <c r="E312" s="79">
        <v>44317</v>
      </c>
      <c r="F312" s="78">
        <v>125616</v>
      </c>
    </row>
    <row r="313" spans="2:6" x14ac:dyDescent="0.3">
      <c r="B313" s="78">
        <v>1260</v>
      </c>
      <c r="C313" s="80" t="s">
        <v>274</v>
      </c>
      <c r="D313" s="80" t="s">
        <v>273</v>
      </c>
      <c r="E313" s="79">
        <v>44531</v>
      </c>
      <c r="F313" s="78">
        <v>152076</v>
      </c>
    </row>
    <row r="314" spans="2:6" x14ac:dyDescent="0.3">
      <c r="B314" s="78">
        <v>1091</v>
      </c>
      <c r="C314" s="80" t="s">
        <v>274</v>
      </c>
      <c r="D314" s="80" t="s">
        <v>273</v>
      </c>
      <c r="E314" s="79">
        <v>44470</v>
      </c>
      <c r="F314" s="78">
        <v>174302</v>
      </c>
    </row>
    <row r="315" spans="2:6" x14ac:dyDescent="0.3">
      <c r="B315" s="78">
        <v>1848</v>
      </c>
      <c r="C315" s="80" t="s">
        <v>274</v>
      </c>
      <c r="D315" s="80" t="s">
        <v>273</v>
      </c>
      <c r="E315" s="79">
        <v>44470</v>
      </c>
      <c r="F315" s="78">
        <v>175018</v>
      </c>
    </row>
    <row r="316" spans="2:6" x14ac:dyDescent="0.3">
      <c r="B316" s="78">
        <v>2657</v>
      </c>
      <c r="C316" s="80" t="s">
        <v>274</v>
      </c>
      <c r="D316" s="80" t="s">
        <v>273</v>
      </c>
      <c r="E316" s="79">
        <v>44287</v>
      </c>
      <c r="F316" s="78">
        <v>221658</v>
      </c>
    </row>
    <row r="317" spans="2:6" x14ac:dyDescent="0.3">
      <c r="B317" s="78">
        <v>3268</v>
      </c>
      <c r="C317" s="80" t="s">
        <v>274</v>
      </c>
      <c r="D317" s="80" t="s">
        <v>273</v>
      </c>
      <c r="E317" s="79">
        <v>44470</v>
      </c>
      <c r="F317" s="78">
        <v>245470</v>
      </c>
    </row>
    <row r="318" spans="2:6" x14ac:dyDescent="0.3">
      <c r="B318" s="78">
        <v>1868</v>
      </c>
      <c r="C318" s="80" t="s">
        <v>274</v>
      </c>
      <c r="D318" s="80" t="s">
        <v>273</v>
      </c>
      <c r="E318" s="79">
        <v>44197</v>
      </c>
      <c r="F318" s="78">
        <v>248756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982FC-A94F-4C52-B0F0-D2AA768DBC28}">
  <dimension ref="C2:M44"/>
  <sheetViews>
    <sheetView zoomScale="106" workbookViewId="0">
      <selection activeCell="H13" sqref="H13"/>
    </sheetView>
  </sheetViews>
  <sheetFormatPr defaultRowHeight="14.4" x14ac:dyDescent="0.3"/>
  <cols>
    <col min="4" max="4" width="22.33203125" bestFit="1" customWidth="1"/>
    <col min="5" max="7" width="13.33203125" bestFit="1" customWidth="1"/>
    <col min="8" max="9" width="13.33203125" customWidth="1"/>
    <col min="10" max="10" width="17.44140625" customWidth="1"/>
    <col min="11" max="11" width="8.33203125" customWidth="1"/>
    <col min="12" max="12" width="10.6640625" bestFit="1" customWidth="1"/>
    <col min="13" max="13" width="14.33203125" customWidth="1"/>
    <col min="14" max="14" width="11.5546875" bestFit="1" customWidth="1"/>
    <col min="15" max="15" width="10.6640625" bestFit="1" customWidth="1"/>
  </cols>
  <sheetData>
    <row r="2" spans="3:13" ht="13.95" customHeight="1" x14ac:dyDescent="0.3">
      <c r="C2" s="15">
        <v>1</v>
      </c>
      <c r="D2" s="205" t="s">
        <v>386</v>
      </c>
      <c r="E2" s="205"/>
      <c r="F2" s="205"/>
      <c r="G2" s="205"/>
      <c r="H2" s="205"/>
      <c r="I2" s="205"/>
    </row>
    <row r="3" spans="3:13" x14ac:dyDescent="0.3">
      <c r="C3" s="15">
        <v>2</v>
      </c>
      <c r="D3" s="205" t="s">
        <v>385</v>
      </c>
      <c r="E3" s="205"/>
      <c r="F3" s="205"/>
      <c r="G3" s="205"/>
      <c r="H3" s="205"/>
      <c r="I3" s="205"/>
      <c r="J3" s="205"/>
      <c r="K3" s="205"/>
      <c r="L3" s="205"/>
    </row>
    <row r="4" spans="3:13" x14ac:dyDescent="0.3">
      <c r="C4" s="15"/>
      <c r="D4" s="15"/>
      <c r="E4" s="15"/>
      <c r="F4" s="15"/>
    </row>
    <row r="6" spans="3:13" x14ac:dyDescent="0.3">
      <c r="C6" s="16" t="s">
        <v>384</v>
      </c>
      <c r="D6" s="16" t="s">
        <v>383</v>
      </c>
      <c r="E6" s="16" t="s">
        <v>382</v>
      </c>
      <c r="F6" s="16" t="s">
        <v>381</v>
      </c>
      <c r="G6" s="16" t="s">
        <v>380</v>
      </c>
      <c r="H6" s="16" t="s">
        <v>10</v>
      </c>
      <c r="I6" s="16" t="s">
        <v>11</v>
      </c>
      <c r="J6" s="16" t="s">
        <v>12</v>
      </c>
      <c r="K6" s="16" t="s">
        <v>13</v>
      </c>
      <c r="L6" s="16" t="s">
        <v>14</v>
      </c>
      <c r="M6" s="16" t="s">
        <v>379</v>
      </c>
    </row>
    <row r="7" spans="3:13" x14ac:dyDescent="0.3">
      <c r="C7" s="18">
        <v>1</v>
      </c>
      <c r="D7" s="19" t="s">
        <v>378</v>
      </c>
      <c r="E7" s="120" t="s">
        <v>36</v>
      </c>
      <c r="F7" s="120" t="s">
        <v>37</v>
      </c>
      <c r="G7" s="20">
        <v>26123</v>
      </c>
      <c r="H7" s="18" t="s">
        <v>32</v>
      </c>
      <c r="I7" s="19" t="s">
        <v>19</v>
      </c>
      <c r="J7" s="19" t="s">
        <v>38</v>
      </c>
      <c r="K7" s="19" t="s">
        <v>21</v>
      </c>
      <c r="L7" s="10">
        <v>22000</v>
      </c>
      <c r="M7" s="120" t="str">
        <f t="shared" ref="M7:M44" si="0">UPPER(LEFT(E7,1)&amp;LEFT(F7,1)&amp;LEFT(J7,2)&amp;LEFT(K7,1)&amp;TEXT(C7,"00"))</f>
        <v>MCMAN01</v>
      </c>
    </row>
    <row r="8" spans="3:13" x14ac:dyDescent="0.3">
      <c r="C8" s="18">
        <v>2</v>
      </c>
      <c r="D8" s="19" t="s">
        <v>377</v>
      </c>
      <c r="E8" s="120" t="s">
        <v>66</v>
      </c>
      <c r="F8" s="120" t="s">
        <v>98</v>
      </c>
      <c r="G8" s="20">
        <v>28136</v>
      </c>
      <c r="H8" s="18" t="s">
        <v>18</v>
      </c>
      <c r="I8" s="19" t="s">
        <v>19</v>
      </c>
      <c r="J8" s="19" t="s">
        <v>33</v>
      </c>
      <c r="K8" s="19" t="s">
        <v>52</v>
      </c>
      <c r="L8" s="10">
        <v>20000</v>
      </c>
      <c r="M8" s="120" t="str">
        <f t="shared" si="0"/>
        <v>PSINE02</v>
      </c>
    </row>
    <row r="9" spans="3:13" x14ac:dyDescent="0.3">
      <c r="C9" s="18">
        <v>3</v>
      </c>
      <c r="D9" s="19" t="s">
        <v>376</v>
      </c>
      <c r="E9" s="120" t="s">
        <v>28</v>
      </c>
      <c r="F9" s="120" t="s">
        <v>29</v>
      </c>
      <c r="G9" s="20">
        <v>28346</v>
      </c>
      <c r="H9" s="18" t="s">
        <v>18</v>
      </c>
      <c r="I9" s="19" t="s">
        <v>19</v>
      </c>
      <c r="J9" s="19" t="s">
        <v>26</v>
      </c>
      <c r="K9" s="19" t="s">
        <v>21</v>
      </c>
      <c r="L9" s="10">
        <v>67000</v>
      </c>
      <c r="M9" s="120" t="str">
        <f t="shared" si="0"/>
        <v>RBDIN03</v>
      </c>
    </row>
    <row r="10" spans="3:13" x14ac:dyDescent="0.3">
      <c r="C10" s="18">
        <v>4</v>
      </c>
      <c r="D10" s="19" t="s">
        <v>375</v>
      </c>
      <c r="E10" s="120" t="s">
        <v>57</v>
      </c>
      <c r="F10" s="120" t="s">
        <v>58</v>
      </c>
      <c r="G10" s="20">
        <v>29700</v>
      </c>
      <c r="H10" s="18" t="s">
        <v>32</v>
      </c>
      <c r="I10" s="19" t="s">
        <v>19</v>
      </c>
      <c r="J10" s="19" t="s">
        <v>45</v>
      </c>
      <c r="K10" s="19" t="s">
        <v>34</v>
      </c>
      <c r="L10" s="10">
        <v>37000</v>
      </c>
      <c r="M10" s="120" t="str">
        <f t="shared" si="0"/>
        <v>DHLES04</v>
      </c>
    </row>
    <row r="11" spans="3:13" x14ac:dyDescent="0.3">
      <c r="C11" s="18">
        <v>5</v>
      </c>
      <c r="D11" s="19" t="s">
        <v>374</v>
      </c>
      <c r="E11" s="120" t="s">
        <v>28</v>
      </c>
      <c r="F11" s="120" t="s">
        <v>40</v>
      </c>
      <c r="G11" s="20">
        <v>31172</v>
      </c>
      <c r="H11" s="18" t="s">
        <v>32</v>
      </c>
      <c r="I11" s="19" t="s">
        <v>19</v>
      </c>
      <c r="J11" s="19" t="s">
        <v>41</v>
      </c>
      <c r="K11" s="19" t="s">
        <v>21</v>
      </c>
      <c r="L11" s="10">
        <v>91000</v>
      </c>
      <c r="M11" s="120" t="str">
        <f t="shared" si="0"/>
        <v>RDDIN05</v>
      </c>
    </row>
    <row r="12" spans="3:13" x14ac:dyDescent="0.3">
      <c r="C12" s="18">
        <v>6</v>
      </c>
      <c r="D12" s="19" t="s">
        <v>373</v>
      </c>
      <c r="E12" s="120" t="s">
        <v>54</v>
      </c>
      <c r="F12" s="120" t="s">
        <v>55</v>
      </c>
      <c r="G12" s="20">
        <v>31246</v>
      </c>
      <c r="H12" s="18" t="s">
        <v>32</v>
      </c>
      <c r="I12" s="19" t="s">
        <v>19</v>
      </c>
      <c r="J12" s="19" t="s">
        <v>33</v>
      </c>
      <c r="K12" s="19" t="s">
        <v>21</v>
      </c>
      <c r="L12" s="10">
        <v>50000</v>
      </c>
      <c r="M12" s="120" t="str">
        <f t="shared" si="0"/>
        <v>HDINN06</v>
      </c>
    </row>
    <row r="13" spans="3:13" x14ac:dyDescent="0.3">
      <c r="C13" s="18">
        <v>7</v>
      </c>
      <c r="D13" s="19" t="s">
        <v>372</v>
      </c>
      <c r="E13" s="120" t="s">
        <v>107</v>
      </c>
      <c r="F13" s="120" t="s">
        <v>108</v>
      </c>
      <c r="G13" s="20">
        <v>31739</v>
      </c>
      <c r="H13" s="18" t="s">
        <v>32</v>
      </c>
      <c r="I13" s="19" t="s">
        <v>19</v>
      </c>
      <c r="J13" s="19" t="s">
        <v>38</v>
      </c>
      <c r="K13" s="19" t="s">
        <v>34</v>
      </c>
      <c r="L13" s="10">
        <v>58000</v>
      </c>
      <c r="M13" s="120" t="str">
        <f t="shared" si="0"/>
        <v>BTMAS07</v>
      </c>
    </row>
    <row r="14" spans="3:13" x14ac:dyDescent="0.3">
      <c r="C14" s="18">
        <v>8</v>
      </c>
      <c r="D14" s="19" t="s">
        <v>371</v>
      </c>
      <c r="E14" s="120" t="s">
        <v>96</v>
      </c>
      <c r="F14" s="120" t="s">
        <v>97</v>
      </c>
      <c r="G14" s="20">
        <v>31860</v>
      </c>
      <c r="H14" s="18" t="s">
        <v>32</v>
      </c>
      <c r="I14" s="19" t="s">
        <v>19</v>
      </c>
      <c r="J14" s="19" t="s">
        <v>82</v>
      </c>
      <c r="K14" s="19" t="s">
        <v>21</v>
      </c>
      <c r="L14" s="10">
        <v>85000</v>
      </c>
      <c r="M14" s="120" t="str">
        <f t="shared" si="0"/>
        <v>SSFIN08</v>
      </c>
    </row>
    <row r="15" spans="3:13" x14ac:dyDescent="0.3">
      <c r="C15" s="18">
        <v>9</v>
      </c>
      <c r="D15" s="19" t="s">
        <v>370</v>
      </c>
      <c r="E15" s="120" t="s">
        <v>30</v>
      </c>
      <c r="F15" s="120" t="s">
        <v>31</v>
      </c>
      <c r="G15" s="20">
        <v>31906</v>
      </c>
      <c r="H15" s="18" t="s">
        <v>32</v>
      </c>
      <c r="I15" s="19" t="s">
        <v>25</v>
      </c>
      <c r="J15" s="19" t="s">
        <v>33</v>
      </c>
      <c r="K15" s="19" t="s">
        <v>34</v>
      </c>
      <c r="L15" s="10">
        <v>87000</v>
      </c>
      <c r="M15" s="120" t="str">
        <f t="shared" si="0"/>
        <v>RCINS09</v>
      </c>
    </row>
    <row r="16" spans="3:13" x14ac:dyDescent="0.3">
      <c r="C16" s="18">
        <v>10</v>
      </c>
      <c r="D16" s="19" t="s">
        <v>369</v>
      </c>
      <c r="E16" s="120" t="s">
        <v>104</v>
      </c>
      <c r="F16" s="120" t="s">
        <v>101</v>
      </c>
      <c r="G16" s="20">
        <v>33276</v>
      </c>
      <c r="H16" s="18" t="s">
        <v>18</v>
      </c>
      <c r="I16" s="19" t="s">
        <v>19</v>
      </c>
      <c r="J16" s="19" t="s">
        <v>26</v>
      </c>
      <c r="K16" s="19" t="s">
        <v>21</v>
      </c>
      <c r="L16" s="10">
        <v>81000</v>
      </c>
      <c r="M16" s="120" t="str">
        <f t="shared" si="0"/>
        <v>TSDIN10</v>
      </c>
    </row>
    <row r="17" spans="3:13" x14ac:dyDescent="0.3">
      <c r="C17" s="18">
        <v>11</v>
      </c>
      <c r="D17" s="19" t="s">
        <v>368</v>
      </c>
      <c r="E17" s="120" t="s">
        <v>23</v>
      </c>
      <c r="F17" s="120" t="s">
        <v>24</v>
      </c>
      <c r="G17" s="20">
        <v>33365</v>
      </c>
      <c r="H17" s="18" t="s">
        <v>18</v>
      </c>
      <c r="I17" s="19" t="s">
        <v>25</v>
      </c>
      <c r="J17" s="19" t="s">
        <v>26</v>
      </c>
      <c r="K17" s="19" t="s">
        <v>21</v>
      </c>
      <c r="L17" s="10">
        <v>35000</v>
      </c>
      <c r="M17" s="120" t="str">
        <f t="shared" si="0"/>
        <v>SBDIN11</v>
      </c>
    </row>
    <row r="18" spans="3:13" x14ac:dyDescent="0.3">
      <c r="C18" s="18">
        <v>12</v>
      </c>
      <c r="D18" s="19" t="s">
        <v>259</v>
      </c>
      <c r="E18" s="120" t="s">
        <v>85</v>
      </c>
      <c r="F18" s="120" t="s">
        <v>86</v>
      </c>
      <c r="G18" s="20">
        <v>34028</v>
      </c>
      <c r="H18" s="18" t="s">
        <v>18</v>
      </c>
      <c r="I18" s="19" t="s">
        <v>25</v>
      </c>
      <c r="J18" s="19" t="s">
        <v>82</v>
      </c>
      <c r="K18" s="19" t="s">
        <v>52</v>
      </c>
      <c r="L18" s="10">
        <v>49000</v>
      </c>
      <c r="M18" s="120" t="str">
        <f t="shared" si="0"/>
        <v>BRFIE12</v>
      </c>
    </row>
    <row r="19" spans="3:13" x14ac:dyDescent="0.3">
      <c r="C19" s="18">
        <v>13</v>
      </c>
      <c r="D19" s="19" t="s">
        <v>258</v>
      </c>
      <c r="E19" s="120" t="s">
        <v>105</v>
      </c>
      <c r="F19" s="120" t="s">
        <v>106</v>
      </c>
      <c r="G19" s="20">
        <v>34037</v>
      </c>
      <c r="H19" s="18" t="s">
        <v>18</v>
      </c>
      <c r="I19" s="19" t="s">
        <v>19</v>
      </c>
      <c r="J19" s="19" t="s">
        <v>93</v>
      </c>
      <c r="K19" s="19" t="s">
        <v>21</v>
      </c>
      <c r="L19" s="10">
        <v>52000</v>
      </c>
      <c r="M19" s="120" t="str">
        <f t="shared" si="0"/>
        <v>RSSAN13</v>
      </c>
    </row>
    <row r="20" spans="3:13" x14ac:dyDescent="0.3">
      <c r="C20" s="18">
        <v>14</v>
      </c>
      <c r="D20" s="19" t="s">
        <v>257</v>
      </c>
      <c r="E20" s="120" t="s">
        <v>59</v>
      </c>
      <c r="F20" s="120" t="s">
        <v>60</v>
      </c>
      <c r="G20" s="20">
        <v>34221</v>
      </c>
      <c r="H20" s="18" t="s">
        <v>32</v>
      </c>
      <c r="I20" s="19" t="s">
        <v>19</v>
      </c>
      <c r="J20" s="19" t="s">
        <v>45</v>
      </c>
      <c r="K20" s="19" t="s">
        <v>52</v>
      </c>
      <c r="L20" s="10">
        <v>43000</v>
      </c>
      <c r="M20" s="120" t="str">
        <f t="shared" si="0"/>
        <v>GJLEE14</v>
      </c>
    </row>
    <row r="21" spans="3:13" x14ac:dyDescent="0.3">
      <c r="C21" s="18">
        <v>15</v>
      </c>
      <c r="D21" s="19" t="s">
        <v>256</v>
      </c>
      <c r="E21" s="120" t="s">
        <v>83</v>
      </c>
      <c r="F21" s="120" t="s">
        <v>84</v>
      </c>
      <c r="G21" s="20">
        <v>34368</v>
      </c>
      <c r="H21" s="18" t="s">
        <v>32</v>
      </c>
      <c r="I21" s="19" t="s">
        <v>25</v>
      </c>
      <c r="J21" s="19" t="s">
        <v>33</v>
      </c>
      <c r="K21" s="19" t="s">
        <v>52</v>
      </c>
      <c r="L21" s="10">
        <v>75000</v>
      </c>
      <c r="M21" s="120" t="str">
        <f t="shared" si="0"/>
        <v>SPINE15</v>
      </c>
    </row>
    <row r="22" spans="3:13" x14ac:dyDescent="0.3">
      <c r="C22" s="18">
        <v>16</v>
      </c>
      <c r="D22" s="19" t="s">
        <v>255</v>
      </c>
      <c r="E22" s="120" t="s">
        <v>111</v>
      </c>
      <c r="F22" s="120" t="s">
        <v>112</v>
      </c>
      <c r="G22" s="20">
        <v>34966</v>
      </c>
      <c r="H22" s="18" t="s">
        <v>32</v>
      </c>
      <c r="I22" s="19" t="s">
        <v>25</v>
      </c>
      <c r="J22" s="19" t="s">
        <v>65</v>
      </c>
      <c r="K22" s="19" t="s">
        <v>21</v>
      </c>
      <c r="L22" s="10">
        <v>26000</v>
      </c>
      <c r="M22" s="120" t="str">
        <f t="shared" si="0"/>
        <v>YVCCN16</v>
      </c>
    </row>
    <row r="23" spans="3:13" x14ac:dyDescent="0.3">
      <c r="C23" s="18">
        <v>17</v>
      </c>
      <c r="D23" s="19" t="s">
        <v>254</v>
      </c>
      <c r="E23" s="120" t="s">
        <v>50</v>
      </c>
      <c r="F23" s="120" t="s">
        <v>51</v>
      </c>
      <c r="G23" s="20">
        <v>35337</v>
      </c>
      <c r="H23" s="18" t="s">
        <v>32</v>
      </c>
      <c r="I23" s="19" t="s">
        <v>25</v>
      </c>
      <c r="J23" s="19" t="s">
        <v>26</v>
      </c>
      <c r="K23" s="19" t="s">
        <v>52</v>
      </c>
      <c r="L23" s="10">
        <v>92000</v>
      </c>
      <c r="M23" s="120" t="str">
        <f t="shared" si="0"/>
        <v>DDDIE17</v>
      </c>
    </row>
    <row r="24" spans="3:13" x14ac:dyDescent="0.3">
      <c r="C24" s="18">
        <v>18</v>
      </c>
      <c r="D24" s="19" t="s">
        <v>253</v>
      </c>
      <c r="E24" s="120" t="s">
        <v>73</v>
      </c>
      <c r="F24" s="120" t="s">
        <v>74</v>
      </c>
      <c r="G24" s="20">
        <v>35819</v>
      </c>
      <c r="H24" s="18" t="s">
        <v>18</v>
      </c>
      <c r="I24" s="19" t="s">
        <v>25</v>
      </c>
      <c r="J24" s="19" t="s">
        <v>20</v>
      </c>
      <c r="K24" s="19" t="s">
        <v>34</v>
      </c>
      <c r="L24" s="10">
        <v>62000</v>
      </c>
      <c r="M24" s="120" t="str">
        <f t="shared" si="0"/>
        <v>YMFLS18</v>
      </c>
    </row>
    <row r="25" spans="3:13" x14ac:dyDescent="0.3">
      <c r="C25" s="18">
        <v>19</v>
      </c>
      <c r="D25" s="19" t="s">
        <v>252</v>
      </c>
      <c r="E25" s="120" t="s">
        <v>16</v>
      </c>
      <c r="F25" s="120" t="s">
        <v>17</v>
      </c>
      <c r="G25" s="20">
        <v>36199</v>
      </c>
      <c r="H25" s="18" t="s">
        <v>18</v>
      </c>
      <c r="I25" s="19" t="s">
        <v>19</v>
      </c>
      <c r="J25" s="19" t="s">
        <v>20</v>
      </c>
      <c r="K25" s="19" t="s">
        <v>21</v>
      </c>
      <c r="L25" s="10">
        <v>48000</v>
      </c>
      <c r="M25" s="120" t="str">
        <f t="shared" si="0"/>
        <v>RAFLN19</v>
      </c>
    </row>
    <row r="26" spans="3:13" x14ac:dyDescent="0.3">
      <c r="C26" s="18">
        <v>20</v>
      </c>
      <c r="D26" s="19" t="s">
        <v>251</v>
      </c>
      <c r="E26" s="120" t="s">
        <v>61</v>
      </c>
      <c r="F26" s="120" t="s">
        <v>60</v>
      </c>
      <c r="G26" s="20">
        <v>36279</v>
      </c>
      <c r="H26" s="18" t="s">
        <v>18</v>
      </c>
      <c r="I26" s="19" t="s">
        <v>19</v>
      </c>
      <c r="J26" s="19" t="s">
        <v>62</v>
      </c>
      <c r="K26" s="19" t="s">
        <v>52</v>
      </c>
      <c r="L26" s="10">
        <v>90000</v>
      </c>
      <c r="M26" s="120" t="str">
        <f t="shared" si="0"/>
        <v>RJCEE20</v>
      </c>
    </row>
    <row r="27" spans="3:13" x14ac:dyDescent="0.3">
      <c r="C27" s="18">
        <v>21</v>
      </c>
      <c r="D27" s="19" t="s">
        <v>250</v>
      </c>
      <c r="E27" s="120" t="s">
        <v>89</v>
      </c>
      <c r="F27" s="120" t="s">
        <v>90</v>
      </c>
      <c r="G27" s="20">
        <v>36478</v>
      </c>
      <c r="H27" s="18" t="s">
        <v>32</v>
      </c>
      <c r="I27" s="19" t="s">
        <v>19</v>
      </c>
      <c r="J27" s="19" t="s">
        <v>82</v>
      </c>
      <c r="K27" s="19" t="s">
        <v>46</v>
      </c>
      <c r="L27" s="10">
        <v>83000</v>
      </c>
      <c r="M27" s="120" t="str">
        <f t="shared" si="0"/>
        <v>SRFIM21</v>
      </c>
    </row>
    <row r="28" spans="3:13" x14ac:dyDescent="0.3">
      <c r="C28" s="18">
        <v>22</v>
      </c>
      <c r="D28" s="19" t="s">
        <v>249</v>
      </c>
      <c r="E28" s="120" t="s">
        <v>57</v>
      </c>
      <c r="F28" s="120" t="s">
        <v>99</v>
      </c>
      <c r="G28" s="20">
        <v>37027</v>
      </c>
      <c r="H28" s="18" t="s">
        <v>32</v>
      </c>
      <c r="I28" s="19" t="s">
        <v>19</v>
      </c>
      <c r="J28" s="19" t="s">
        <v>65</v>
      </c>
      <c r="K28" s="19" t="s">
        <v>52</v>
      </c>
      <c r="L28" s="10">
        <v>47000</v>
      </c>
      <c r="M28" s="120" t="str">
        <f t="shared" si="0"/>
        <v>DSCCE22</v>
      </c>
    </row>
    <row r="29" spans="3:13" x14ac:dyDescent="0.3">
      <c r="C29" s="18">
        <v>23</v>
      </c>
      <c r="D29" s="19" t="s">
        <v>248</v>
      </c>
      <c r="E29" s="120" t="s">
        <v>91</v>
      </c>
      <c r="F29" s="120" t="s">
        <v>92</v>
      </c>
      <c r="G29" s="20">
        <v>37946</v>
      </c>
      <c r="H29" s="18" t="s">
        <v>18</v>
      </c>
      <c r="I29" s="19" t="s">
        <v>19</v>
      </c>
      <c r="J29" s="19" t="s">
        <v>93</v>
      </c>
      <c r="K29" s="19" t="s">
        <v>34</v>
      </c>
      <c r="L29" s="10">
        <v>53000</v>
      </c>
      <c r="M29" s="120" t="str">
        <f t="shared" si="0"/>
        <v>ASSAS23</v>
      </c>
    </row>
    <row r="30" spans="3:13" x14ac:dyDescent="0.3">
      <c r="C30" s="18">
        <v>24</v>
      </c>
      <c r="D30" s="19" t="s">
        <v>367</v>
      </c>
      <c r="E30" s="120" t="s">
        <v>48</v>
      </c>
      <c r="F30" s="120" t="s">
        <v>44</v>
      </c>
      <c r="G30" s="20">
        <v>38113</v>
      </c>
      <c r="H30" s="18" t="s">
        <v>32</v>
      </c>
      <c r="I30" s="19" t="s">
        <v>19</v>
      </c>
      <c r="J30" s="19" t="s">
        <v>26</v>
      </c>
      <c r="K30" s="19" t="s">
        <v>46</v>
      </c>
      <c r="L30" s="10">
        <v>45000</v>
      </c>
      <c r="M30" s="120" t="str">
        <f t="shared" si="0"/>
        <v>VDDIM24</v>
      </c>
    </row>
    <row r="31" spans="3:13" x14ac:dyDescent="0.3">
      <c r="C31" s="18">
        <v>25</v>
      </c>
      <c r="D31" s="19" t="s">
        <v>366</v>
      </c>
      <c r="E31" s="120" t="s">
        <v>71</v>
      </c>
      <c r="F31" s="120" t="s">
        <v>72</v>
      </c>
      <c r="G31" s="20">
        <v>38449</v>
      </c>
      <c r="H31" s="18" t="s">
        <v>18</v>
      </c>
      <c r="I31" s="19" t="s">
        <v>19</v>
      </c>
      <c r="J31" s="19" t="s">
        <v>65</v>
      </c>
      <c r="K31" s="19" t="s">
        <v>34</v>
      </c>
      <c r="L31" s="10">
        <v>85000</v>
      </c>
      <c r="M31" s="120" t="str">
        <f t="shared" si="0"/>
        <v>RMCCS25</v>
      </c>
    </row>
    <row r="32" spans="3:13" x14ac:dyDescent="0.3">
      <c r="C32" s="18">
        <v>26</v>
      </c>
      <c r="D32" s="19" t="s">
        <v>365</v>
      </c>
      <c r="E32" s="120" t="s">
        <v>63</v>
      </c>
      <c r="F32" s="120" t="s">
        <v>64</v>
      </c>
      <c r="G32" s="20">
        <v>39846</v>
      </c>
      <c r="H32" s="18" t="s">
        <v>32</v>
      </c>
      <c r="I32" s="19" t="s">
        <v>19</v>
      </c>
      <c r="J32" s="19" t="s">
        <v>65</v>
      </c>
      <c r="K32" s="19" t="s">
        <v>52</v>
      </c>
      <c r="L32" s="10">
        <v>34000</v>
      </c>
      <c r="M32" s="120" t="str">
        <f t="shared" si="0"/>
        <v>JKCCE26</v>
      </c>
    </row>
    <row r="33" spans="3:13" x14ac:dyDescent="0.3">
      <c r="C33" s="18">
        <v>27</v>
      </c>
      <c r="D33" s="19" t="s">
        <v>364</v>
      </c>
      <c r="E33" s="120" t="s">
        <v>75</v>
      </c>
      <c r="F33" s="120" t="s">
        <v>76</v>
      </c>
      <c r="G33" s="20">
        <v>40330</v>
      </c>
      <c r="H33" s="18" t="s">
        <v>32</v>
      </c>
      <c r="I33" s="19" t="s">
        <v>19</v>
      </c>
      <c r="J33" s="19" t="s">
        <v>33</v>
      </c>
      <c r="K33" s="19" t="s">
        <v>46</v>
      </c>
      <c r="L33" s="10">
        <v>15000</v>
      </c>
      <c r="M33" s="120" t="str">
        <f t="shared" si="0"/>
        <v>SPINM27</v>
      </c>
    </row>
    <row r="34" spans="3:13" x14ac:dyDescent="0.3">
      <c r="C34" s="18">
        <v>28</v>
      </c>
      <c r="D34" s="19" t="s">
        <v>363</v>
      </c>
      <c r="E34" s="120" t="s">
        <v>102</v>
      </c>
      <c r="F34" s="120" t="s">
        <v>101</v>
      </c>
      <c r="G34" s="20">
        <v>40495</v>
      </c>
      <c r="H34" s="18" t="s">
        <v>18</v>
      </c>
      <c r="I34" s="19" t="s">
        <v>19</v>
      </c>
      <c r="J34" s="19" t="s">
        <v>93</v>
      </c>
      <c r="K34" s="19" t="s">
        <v>34</v>
      </c>
      <c r="L34" s="10">
        <v>57000</v>
      </c>
      <c r="M34" s="120" t="str">
        <f t="shared" si="0"/>
        <v>KSSAS28</v>
      </c>
    </row>
    <row r="35" spans="3:13" x14ac:dyDescent="0.3">
      <c r="C35" s="18">
        <v>29</v>
      </c>
      <c r="D35" s="19" t="s">
        <v>362</v>
      </c>
      <c r="E35" s="120" t="s">
        <v>109</v>
      </c>
      <c r="F35" s="120" t="s">
        <v>110</v>
      </c>
      <c r="G35" s="20">
        <v>40574</v>
      </c>
      <c r="H35" s="18" t="s">
        <v>32</v>
      </c>
      <c r="I35" s="19" t="s">
        <v>19</v>
      </c>
      <c r="J35" s="19" t="s">
        <v>38</v>
      </c>
      <c r="K35" s="19" t="s">
        <v>46</v>
      </c>
      <c r="L35" s="10">
        <v>47000</v>
      </c>
      <c r="M35" s="120" t="str">
        <f t="shared" si="0"/>
        <v>JTMAM29</v>
      </c>
    </row>
    <row r="36" spans="3:13" x14ac:dyDescent="0.3">
      <c r="C36" s="18">
        <v>30</v>
      </c>
      <c r="D36" s="19" t="s">
        <v>361</v>
      </c>
      <c r="E36" s="120" t="s">
        <v>43</v>
      </c>
      <c r="F36" s="120" t="s">
        <v>44</v>
      </c>
      <c r="G36" s="20">
        <v>41400</v>
      </c>
      <c r="H36" s="18" t="s">
        <v>32</v>
      </c>
      <c r="I36" s="19" t="s">
        <v>19</v>
      </c>
      <c r="J36" s="19" t="s">
        <v>45</v>
      </c>
      <c r="K36" s="19" t="s">
        <v>46</v>
      </c>
      <c r="L36" s="10">
        <v>77000</v>
      </c>
      <c r="M36" s="120" t="str">
        <f t="shared" si="0"/>
        <v>DDLEM30</v>
      </c>
    </row>
    <row r="37" spans="3:13" x14ac:dyDescent="0.3">
      <c r="C37" s="18">
        <v>31</v>
      </c>
      <c r="D37" s="19" t="s">
        <v>360</v>
      </c>
      <c r="E37" s="120" t="s">
        <v>66</v>
      </c>
      <c r="F37" s="120" t="s">
        <v>67</v>
      </c>
      <c r="G37" s="20">
        <v>42027</v>
      </c>
      <c r="H37" s="18" t="s">
        <v>32</v>
      </c>
      <c r="I37" s="19" t="s">
        <v>19</v>
      </c>
      <c r="J37" s="19" t="s">
        <v>26</v>
      </c>
      <c r="K37" s="19" t="s">
        <v>34</v>
      </c>
      <c r="L37" s="10">
        <v>82000</v>
      </c>
      <c r="M37" s="120" t="str">
        <f t="shared" si="0"/>
        <v>PKDIS31</v>
      </c>
    </row>
    <row r="38" spans="3:13" x14ac:dyDescent="0.3">
      <c r="C38" s="18">
        <v>32</v>
      </c>
      <c r="D38" s="19" t="s">
        <v>359</v>
      </c>
      <c r="E38" s="120" t="s">
        <v>69</v>
      </c>
      <c r="F38" s="120" t="s">
        <v>70</v>
      </c>
      <c r="G38" s="20">
        <v>42124</v>
      </c>
      <c r="H38" s="18" t="s">
        <v>32</v>
      </c>
      <c r="I38" s="19" t="s">
        <v>19</v>
      </c>
      <c r="J38" s="19" t="s">
        <v>33</v>
      </c>
      <c r="K38" s="19" t="s">
        <v>34</v>
      </c>
      <c r="L38" s="10">
        <v>67000</v>
      </c>
      <c r="M38" s="120" t="str">
        <f t="shared" si="0"/>
        <v>DKINS32</v>
      </c>
    </row>
    <row r="39" spans="3:13" x14ac:dyDescent="0.3">
      <c r="C39" s="18">
        <v>33</v>
      </c>
      <c r="D39" s="19" t="s">
        <v>358</v>
      </c>
      <c r="E39" s="120" t="s">
        <v>94</v>
      </c>
      <c r="F39" s="120" t="s">
        <v>95</v>
      </c>
      <c r="G39" s="20">
        <v>42208</v>
      </c>
      <c r="H39" s="18" t="s">
        <v>32</v>
      </c>
      <c r="I39" s="19" t="s">
        <v>19</v>
      </c>
      <c r="J39" s="19" t="s">
        <v>79</v>
      </c>
      <c r="K39" s="19" t="s">
        <v>34</v>
      </c>
      <c r="L39" s="10">
        <v>65000</v>
      </c>
      <c r="M39" s="120" t="str">
        <f t="shared" si="0"/>
        <v>PSOPS33</v>
      </c>
    </row>
    <row r="40" spans="3:13" x14ac:dyDescent="0.3">
      <c r="C40" s="18">
        <v>34</v>
      </c>
      <c r="D40" s="19" t="s">
        <v>357</v>
      </c>
      <c r="E40" s="120" t="s">
        <v>87</v>
      </c>
      <c r="F40" s="120" t="s">
        <v>88</v>
      </c>
      <c r="G40" s="20">
        <v>42400</v>
      </c>
      <c r="H40" s="18" t="s">
        <v>32</v>
      </c>
      <c r="I40" s="19" t="s">
        <v>19</v>
      </c>
      <c r="J40" s="19" t="s">
        <v>65</v>
      </c>
      <c r="K40" s="19" t="s">
        <v>34</v>
      </c>
      <c r="L40" s="10">
        <v>50000</v>
      </c>
      <c r="M40" s="120" t="str">
        <f t="shared" si="0"/>
        <v>SRCCS34</v>
      </c>
    </row>
    <row r="41" spans="3:13" x14ac:dyDescent="0.3">
      <c r="C41" s="18">
        <v>35</v>
      </c>
      <c r="D41" s="19" t="s">
        <v>356</v>
      </c>
      <c r="E41" s="120" t="s">
        <v>77</v>
      </c>
      <c r="F41" s="120" t="s">
        <v>78</v>
      </c>
      <c r="G41" s="20">
        <v>42629</v>
      </c>
      <c r="H41" s="18" t="s">
        <v>18</v>
      </c>
      <c r="I41" s="19" t="s">
        <v>19</v>
      </c>
      <c r="J41" s="19" t="s">
        <v>79</v>
      </c>
      <c r="K41" s="19" t="s">
        <v>34</v>
      </c>
      <c r="L41" s="10">
        <v>81000</v>
      </c>
      <c r="M41" s="120" t="str">
        <f t="shared" si="0"/>
        <v>NPOPS35</v>
      </c>
    </row>
    <row r="42" spans="3:13" x14ac:dyDescent="0.3">
      <c r="C42" s="18">
        <v>36</v>
      </c>
      <c r="D42" s="19" t="s">
        <v>355</v>
      </c>
      <c r="E42" s="120" t="s">
        <v>100</v>
      </c>
      <c r="F42" s="120" t="s">
        <v>101</v>
      </c>
      <c r="G42" s="20">
        <v>42773</v>
      </c>
      <c r="H42" s="18" t="s">
        <v>18</v>
      </c>
      <c r="I42" s="19" t="s">
        <v>19</v>
      </c>
      <c r="J42" s="19" t="s">
        <v>41</v>
      </c>
      <c r="K42" s="19" t="s">
        <v>34</v>
      </c>
      <c r="L42" s="10">
        <v>87000</v>
      </c>
      <c r="M42" s="120" t="str">
        <f t="shared" si="0"/>
        <v>SSDIS36</v>
      </c>
    </row>
    <row r="43" spans="3:13" x14ac:dyDescent="0.3">
      <c r="C43" s="18">
        <v>37</v>
      </c>
      <c r="D43" s="19" t="s">
        <v>354</v>
      </c>
      <c r="E43" s="120" t="s">
        <v>103</v>
      </c>
      <c r="F43" s="120" t="s">
        <v>101</v>
      </c>
      <c r="G43" s="20">
        <v>42890</v>
      </c>
      <c r="H43" s="18" t="s">
        <v>18</v>
      </c>
      <c r="I43" s="19" t="s">
        <v>19</v>
      </c>
      <c r="J43" s="19" t="s">
        <v>38</v>
      </c>
      <c r="K43" s="19" t="s">
        <v>52</v>
      </c>
      <c r="L43" s="10">
        <v>27000</v>
      </c>
      <c r="M43" s="120" t="str">
        <f t="shared" si="0"/>
        <v>VSMAE37</v>
      </c>
    </row>
    <row r="44" spans="3:13" x14ac:dyDescent="0.3">
      <c r="C44" s="18">
        <v>38</v>
      </c>
      <c r="D44" s="19" t="s">
        <v>353</v>
      </c>
      <c r="E44" s="120" t="s">
        <v>80</v>
      </c>
      <c r="F44" s="120" t="s">
        <v>81</v>
      </c>
      <c r="G44" s="20">
        <v>43092</v>
      </c>
      <c r="H44" s="18" t="s">
        <v>32</v>
      </c>
      <c r="I44" s="19" t="s">
        <v>19</v>
      </c>
      <c r="J44" s="19" t="s">
        <v>82</v>
      </c>
      <c r="K44" s="19" t="s">
        <v>34</v>
      </c>
      <c r="L44" s="10">
        <v>19000</v>
      </c>
      <c r="M44" s="120" t="str">
        <f t="shared" si="0"/>
        <v>PPFIS38</v>
      </c>
    </row>
  </sheetData>
  <mergeCells count="2">
    <mergeCell ref="D2:I2"/>
    <mergeCell ref="D3:L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53BDA-381D-45B3-9E4E-05F9CD6F2B4D}">
  <dimension ref="B2:O46"/>
  <sheetViews>
    <sheetView zoomScaleNormal="100" workbookViewId="0">
      <selection activeCell="O10" sqref="O10"/>
    </sheetView>
  </sheetViews>
  <sheetFormatPr defaultRowHeight="14.4" x14ac:dyDescent="0.3"/>
  <cols>
    <col min="2" max="2" width="7.44140625" bestFit="1" customWidth="1"/>
    <col min="3" max="4" width="13.21875" bestFit="1" customWidth="1"/>
    <col min="5" max="5" width="9.88671875" bestFit="1" customWidth="1"/>
    <col min="6" max="6" width="7.109375" bestFit="1" customWidth="1"/>
    <col min="7" max="7" width="9" bestFit="1" customWidth="1"/>
    <col min="8" max="8" width="21.33203125" bestFit="1" customWidth="1"/>
    <col min="9" max="9" width="8.77734375" bestFit="1" customWidth="1"/>
    <col min="10" max="10" width="10.77734375" bestFit="1" customWidth="1"/>
    <col min="11" max="11" width="6" bestFit="1" customWidth="1"/>
    <col min="12" max="12" width="13.21875" bestFit="1" customWidth="1"/>
    <col min="13" max="13" width="11.109375" bestFit="1" customWidth="1"/>
    <col min="14" max="14" width="14.6640625" bestFit="1" customWidth="1"/>
    <col min="15" max="15" width="9.5546875" bestFit="1" customWidth="1"/>
  </cols>
  <sheetData>
    <row r="2" spans="2:15" x14ac:dyDescent="0.3">
      <c r="B2" s="15">
        <v>1</v>
      </c>
      <c r="C2" s="205" t="s">
        <v>115</v>
      </c>
      <c r="D2" s="205"/>
      <c r="E2" s="205"/>
      <c r="F2" s="205"/>
      <c r="G2" s="205"/>
      <c r="H2" s="205"/>
    </row>
    <row r="3" spans="2:15" x14ac:dyDescent="0.3">
      <c r="B3" s="15">
        <v>2</v>
      </c>
      <c r="C3" s="205" t="s">
        <v>116</v>
      </c>
      <c r="D3" s="205"/>
      <c r="E3" s="205"/>
      <c r="F3" s="205"/>
      <c r="G3" s="205"/>
      <c r="H3" s="205"/>
    </row>
    <row r="4" spans="2:15" x14ac:dyDescent="0.3">
      <c r="B4" s="15">
        <v>3</v>
      </c>
      <c r="C4" s="205" t="s">
        <v>117</v>
      </c>
      <c r="D4" s="205"/>
      <c r="E4" s="205"/>
      <c r="F4" s="205"/>
      <c r="G4" s="205"/>
      <c r="H4" s="205"/>
    </row>
    <row r="5" spans="2:15" x14ac:dyDescent="0.3">
      <c r="B5" s="15">
        <v>4</v>
      </c>
      <c r="C5" s="205" t="s">
        <v>118</v>
      </c>
      <c r="D5" s="205"/>
      <c r="E5" s="205"/>
      <c r="F5" s="205"/>
      <c r="G5" s="205"/>
      <c r="H5" s="205"/>
    </row>
    <row r="6" spans="2:15" x14ac:dyDescent="0.3">
      <c r="B6" s="15">
        <v>5</v>
      </c>
      <c r="C6" s="205" t="s">
        <v>119</v>
      </c>
      <c r="D6" s="205"/>
      <c r="E6" s="205"/>
      <c r="F6" s="205"/>
      <c r="G6" s="205"/>
      <c r="H6" s="205"/>
    </row>
    <row r="8" spans="2:15" x14ac:dyDescent="0.3">
      <c r="B8" s="16" t="s">
        <v>6</v>
      </c>
      <c r="C8" s="16" t="s">
        <v>7</v>
      </c>
      <c r="D8" s="16" t="s">
        <v>8</v>
      </c>
      <c r="E8" s="16" t="s">
        <v>9</v>
      </c>
      <c r="F8" s="16" t="s">
        <v>10</v>
      </c>
      <c r="G8" s="16" t="s">
        <v>11</v>
      </c>
      <c r="H8" s="16" t="s">
        <v>12</v>
      </c>
      <c r="I8" s="16" t="s">
        <v>13</v>
      </c>
      <c r="J8" s="16" t="s">
        <v>14</v>
      </c>
      <c r="K8" s="21" t="s">
        <v>120</v>
      </c>
      <c r="L8" s="22" t="s">
        <v>121</v>
      </c>
      <c r="M8" s="17" t="s">
        <v>122</v>
      </c>
      <c r="N8" s="17" t="s">
        <v>124</v>
      </c>
      <c r="O8" s="17" t="s">
        <v>123</v>
      </c>
    </row>
    <row r="9" spans="2:15" x14ac:dyDescent="0.3">
      <c r="B9" s="18">
        <v>150834</v>
      </c>
      <c r="C9" s="19" t="s">
        <v>16</v>
      </c>
      <c r="D9" s="19" t="s">
        <v>17</v>
      </c>
      <c r="E9" s="20">
        <v>31199</v>
      </c>
      <c r="F9" s="18" t="s">
        <v>18</v>
      </c>
      <c r="G9" s="19" t="s">
        <v>19</v>
      </c>
      <c r="H9" s="19" t="s">
        <v>20</v>
      </c>
      <c r="I9" s="19" t="s">
        <v>21</v>
      </c>
      <c r="J9" s="10">
        <v>48000</v>
      </c>
      <c r="K9" s="10">
        <f>J9*0.45</f>
        <v>21600</v>
      </c>
      <c r="L9" s="10">
        <f xml:space="preserve"> 1000 + (J9*0.05)</f>
        <v>3400</v>
      </c>
      <c r="M9" s="10">
        <f>J9+K9+L9</f>
        <v>73000</v>
      </c>
      <c r="N9" s="10">
        <f>J9*0.05</f>
        <v>2400</v>
      </c>
      <c r="O9" s="10">
        <f>M9-N9</f>
        <v>70600</v>
      </c>
    </row>
    <row r="10" spans="2:15" x14ac:dyDescent="0.3">
      <c r="B10" s="18">
        <v>150784</v>
      </c>
      <c r="C10" s="19" t="s">
        <v>23</v>
      </c>
      <c r="D10" s="19" t="s">
        <v>24</v>
      </c>
      <c r="E10" s="20">
        <v>28365</v>
      </c>
      <c r="F10" s="18" t="s">
        <v>18</v>
      </c>
      <c r="G10" s="19" t="s">
        <v>25</v>
      </c>
      <c r="H10" s="19" t="s">
        <v>26</v>
      </c>
      <c r="I10" s="19" t="s">
        <v>21</v>
      </c>
      <c r="J10" s="10">
        <v>35000</v>
      </c>
      <c r="K10" s="10">
        <f t="shared" ref="K10:K45" si="0">J10*0.45</f>
        <v>15750</v>
      </c>
      <c r="L10" s="10">
        <f t="shared" ref="L10:L46" si="1" xml:space="preserve"> 1000 + (J10*0.05)</f>
        <v>2750</v>
      </c>
      <c r="M10" s="10">
        <f t="shared" ref="M10:M46" si="2">J10+K10+L10</f>
        <v>53500</v>
      </c>
      <c r="N10" s="10">
        <f t="shared" ref="N10:N46" si="3">J10*0.05</f>
        <v>1750</v>
      </c>
      <c r="O10" s="10">
        <f t="shared" ref="O10:O46" si="4">M10-N10</f>
        <v>51750</v>
      </c>
    </row>
    <row r="11" spans="2:15" x14ac:dyDescent="0.3">
      <c r="B11" s="18">
        <v>150791</v>
      </c>
      <c r="C11" s="19" t="s">
        <v>28</v>
      </c>
      <c r="D11" s="19" t="s">
        <v>29</v>
      </c>
      <c r="E11" s="20">
        <v>23346</v>
      </c>
      <c r="F11" s="18" t="s">
        <v>18</v>
      </c>
      <c r="G11" s="19" t="s">
        <v>19</v>
      </c>
      <c r="H11" s="19" t="s">
        <v>26</v>
      </c>
      <c r="I11" s="19" t="s">
        <v>21</v>
      </c>
      <c r="J11" s="10">
        <v>67000</v>
      </c>
      <c r="K11" s="10">
        <f t="shared" si="0"/>
        <v>30150</v>
      </c>
      <c r="L11" s="10">
        <f t="shared" si="1"/>
        <v>4350</v>
      </c>
      <c r="M11" s="10">
        <f t="shared" si="2"/>
        <v>101500</v>
      </c>
      <c r="N11" s="10">
        <f t="shared" si="3"/>
        <v>3350</v>
      </c>
      <c r="O11" s="10">
        <f t="shared" si="4"/>
        <v>98150</v>
      </c>
    </row>
    <row r="12" spans="2:15" x14ac:dyDescent="0.3">
      <c r="B12" s="18">
        <v>150940</v>
      </c>
      <c r="C12" s="19" t="s">
        <v>30</v>
      </c>
      <c r="D12" s="19" t="s">
        <v>31</v>
      </c>
      <c r="E12" s="20">
        <v>26906</v>
      </c>
      <c r="F12" s="18" t="s">
        <v>32</v>
      </c>
      <c r="G12" s="19" t="s">
        <v>25</v>
      </c>
      <c r="H12" s="19" t="s">
        <v>33</v>
      </c>
      <c r="I12" s="19" t="s">
        <v>34</v>
      </c>
      <c r="J12" s="10">
        <v>87000</v>
      </c>
      <c r="K12" s="10">
        <f t="shared" si="0"/>
        <v>39150</v>
      </c>
      <c r="L12" s="10">
        <f t="shared" si="1"/>
        <v>5350</v>
      </c>
      <c r="M12" s="10">
        <f t="shared" si="2"/>
        <v>131500</v>
      </c>
      <c r="N12" s="10">
        <f t="shared" si="3"/>
        <v>4350</v>
      </c>
      <c r="O12" s="10">
        <f t="shared" si="4"/>
        <v>127150</v>
      </c>
    </row>
    <row r="13" spans="2:15" x14ac:dyDescent="0.3">
      <c r="B13" s="18">
        <v>150777</v>
      </c>
      <c r="C13" s="19" t="s">
        <v>36</v>
      </c>
      <c r="D13" s="19" t="s">
        <v>37</v>
      </c>
      <c r="E13" s="20">
        <v>21123</v>
      </c>
      <c r="F13" s="18" t="s">
        <v>32</v>
      </c>
      <c r="G13" s="19" t="s">
        <v>19</v>
      </c>
      <c r="H13" s="19" t="s">
        <v>38</v>
      </c>
      <c r="I13" s="19" t="s">
        <v>21</v>
      </c>
      <c r="J13" s="10">
        <v>22000</v>
      </c>
      <c r="K13" s="10">
        <f t="shared" si="0"/>
        <v>9900</v>
      </c>
      <c r="L13" s="10">
        <f t="shared" si="1"/>
        <v>2100</v>
      </c>
      <c r="M13" s="10">
        <f t="shared" si="2"/>
        <v>34000</v>
      </c>
      <c r="N13" s="10">
        <f t="shared" si="3"/>
        <v>1100</v>
      </c>
      <c r="O13" s="10">
        <f t="shared" si="4"/>
        <v>32900</v>
      </c>
    </row>
    <row r="14" spans="2:15" x14ac:dyDescent="0.3">
      <c r="B14" s="18">
        <v>150805</v>
      </c>
      <c r="C14" s="19" t="s">
        <v>28</v>
      </c>
      <c r="D14" s="19" t="s">
        <v>40</v>
      </c>
      <c r="E14" s="20">
        <v>26172</v>
      </c>
      <c r="F14" s="18" t="s">
        <v>32</v>
      </c>
      <c r="G14" s="19" t="s">
        <v>19</v>
      </c>
      <c r="H14" s="19" t="s">
        <v>41</v>
      </c>
      <c r="I14" s="19" t="s">
        <v>21</v>
      </c>
      <c r="J14" s="10">
        <v>91000</v>
      </c>
      <c r="K14" s="10">
        <f t="shared" si="0"/>
        <v>40950</v>
      </c>
      <c r="L14" s="10">
        <f t="shared" si="1"/>
        <v>5550</v>
      </c>
      <c r="M14" s="10">
        <f t="shared" si="2"/>
        <v>137500</v>
      </c>
      <c r="N14" s="10">
        <f t="shared" si="3"/>
        <v>4550</v>
      </c>
      <c r="O14" s="10">
        <f t="shared" si="4"/>
        <v>132950</v>
      </c>
    </row>
    <row r="15" spans="2:15" x14ac:dyDescent="0.3">
      <c r="B15" s="18">
        <v>150990</v>
      </c>
      <c r="C15" s="19" t="s">
        <v>43</v>
      </c>
      <c r="D15" s="19" t="s">
        <v>44</v>
      </c>
      <c r="E15" s="20">
        <v>36400</v>
      </c>
      <c r="F15" s="18" t="s">
        <v>32</v>
      </c>
      <c r="G15" s="19" t="s">
        <v>19</v>
      </c>
      <c r="H15" s="19" t="s">
        <v>45</v>
      </c>
      <c r="I15" s="19" t="s">
        <v>46</v>
      </c>
      <c r="J15" s="10">
        <v>77000</v>
      </c>
      <c r="K15" s="10">
        <f t="shared" si="0"/>
        <v>34650</v>
      </c>
      <c r="L15" s="10">
        <f t="shared" si="1"/>
        <v>4850</v>
      </c>
      <c r="M15" s="10">
        <f t="shared" si="2"/>
        <v>116500</v>
      </c>
      <c r="N15" s="10">
        <f t="shared" si="3"/>
        <v>3850</v>
      </c>
      <c r="O15" s="10">
        <f t="shared" si="4"/>
        <v>112650</v>
      </c>
    </row>
    <row r="16" spans="2:15" x14ac:dyDescent="0.3">
      <c r="B16" s="18">
        <v>150989</v>
      </c>
      <c r="C16" s="19" t="s">
        <v>48</v>
      </c>
      <c r="D16" s="19" t="s">
        <v>44</v>
      </c>
      <c r="E16" s="20">
        <v>33113</v>
      </c>
      <c r="F16" s="18" t="s">
        <v>32</v>
      </c>
      <c r="G16" s="19" t="s">
        <v>19</v>
      </c>
      <c r="H16" s="19" t="s">
        <v>26</v>
      </c>
      <c r="I16" s="19" t="s">
        <v>46</v>
      </c>
      <c r="J16" s="10">
        <v>45000</v>
      </c>
      <c r="K16" s="10">
        <f t="shared" si="0"/>
        <v>20250</v>
      </c>
      <c r="L16" s="10">
        <f t="shared" si="1"/>
        <v>3250</v>
      </c>
      <c r="M16" s="10">
        <f t="shared" si="2"/>
        <v>68500</v>
      </c>
      <c r="N16" s="10">
        <f t="shared" si="3"/>
        <v>2250</v>
      </c>
      <c r="O16" s="10">
        <f t="shared" si="4"/>
        <v>66250</v>
      </c>
    </row>
    <row r="17" spans="2:15" x14ac:dyDescent="0.3">
      <c r="B17" s="18">
        <v>150881</v>
      </c>
      <c r="C17" s="19" t="s">
        <v>50</v>
      </c>
      <c r="D17" s="19" t="s">
        <v>51</v>
      </c>
      <c r="E17" s="20">
        <v>30337</v>
      </c>
      <c r="F17" s="18" t="s">
        <v>32</v>
      </c>
      <c r="G17" s="19" t="s">
        <v>25</v>
      </c>
      <c r="H17" s="19" t="s">
        <v>26</v>
      </c>
      <c r="I17" s="19" t="s">
        <v>52</v>
      </c>
      <c r="J17" s="10">
        <v>92000</v>
      </c>
      <c r="K17" s="10">
        <f t="shared" si="0"/>
        <v>41400</v>
      </c>
      <c r="L17" s="10">
        <f t="shared" si="1"/>
        <v>5600</v>
      </c>
      <c r="M17" s="10">
        <f t="shared" si="2"/>
        <v>139000</v>
      </c>
      <c r="N17" s="10">
        <f t="shared" si="3"/>
        <v>4600</v>
      </c>
      <c r="O17" s="10">
        <f t="shared" si="4"/>
        <v>134400</v>
      </c>
    </row>
    <row r="18" spans="2:15" x14ac:dyDescent="0.3">
      <c r="B18" s="18">
        <v>150814</v>
      </c>
      <c r="C18" s="19" t="s">
        <v>54</v>
      </c>
      <c r="D18" s="19" t="s">
        <v>55</v>
      </c>
      <c r="E18" s="20">
        <v>26246</v>
      </c>
      <c r="F18" s="18" t="s">
        <v>32</v>
      </c>
      <c r="G18" s="19" t="s">
        <v>19</v>
      </c>
      <c r="H18" s="19" t="s">
        <v>33</v>
      </c>
      <c r="I18" s="19" t="s">
        <v>21</v>
      </c>
      <c r="J18" s="10">
        <v>50000</v>
      </c>
      <c r="K18" s="10">
        <f t="shared" si="0"/>
        <v>22500</v>
      </c>
      <c r="L18" s="10">
        <f t="shared" si="1"/>
        <v>3500</v>
      </c>
      <c r="M18" s="10">
        <f t="shared" si="2"/>
        <v>76000</v>
      </c>
      <c r="N18" s="10">
        <f t="shared" si="3"/>
        <v>2500</v>
      </c>
      <c r="O18" s="10">
        <f t="shared" si="4"/>
        <v>73500</v>
      </c>
    </row>
    <row r="19" spans="2:15" x14ac:dyDescent="0.3">
      <c r="B19" s="18">
        <v>150937</v>
      </c>
      <c r="C19" s="19" t="s">
        <v>57</v>
      </c>
      <c r="D19" s="19" t="s">
        <v>58</v>
      </c>
      <c r="E19" s="20">
        <v>24700</v>
      </c>
      <c r="F19" s="18" t="s">
        <v>32</v>
      </c>
      <c r="G19" s="19" t="s">
        <v>19</v>
      </c>
      <c r="H19" s="19" t="s">
        <v>45</v>
      </c>
      <c r="I19" s="19" t="s">
        <v>34</v>
      </c>
      <c r="J19" s="10">
        <v>37000</v>
      </c>
      <c r="K19" s="10">
        <f t="shared" si="0"/>
        <v>16650</v>
      </c>
      <c r="L19" s="10">
        <f t="shared" si="1"/>
        <v>2850</v>
      </c>
      <c r="M19" s="10">
        <f t="shared" si="2"/>
        <v>56500</v>
      </c>
      <c r="N19" s="10">
        <f t="shared" si="3"/>
        <v>1850</v>
      </c>
      <c r="O19" s="10">
        <f t="shared" si="4"/>
        <v>54650</v>
      </c>
    </row>
    <row r="20" spans="2:15" x14ac:dyDescent="0.3">
      <c r="B20" s="18">
        <v>150888</v>
      </c>
      <c r="C20" s="19" t="s">
        <v>59</v>
      </c>
      <c r="D20" s="19" t="s">
        <v>60</v>
      </c>
      <c r="E20" s="20">
        <v>29221</v>
      </c>
      <c r="F20" s="18" t="s">
        <v>32</v>
      </c>
      <c r="G20" s="19" t="s">
        <v>19</v>
      </c>
      <c r="H20" s="19" t="s">
        <v>45</v>
      </c>
      <c r="I20" s="19" t="s">
        <v>52</v>
      </c>
      <c r="J20" s="10">
        <v>43000</v>
      </c>
      <c r="K20" s="10">
        <f t="shared" si="0"/>
        <v>19350</v>
      </c>
      <c r="L20" s="10">
        <f t="shared" si="1"/>
        <v>3150</v>
      </c>
      <c r="M20" s="10">
        <f t="shared" si="2"/>
        <v>65500</v>
      </c>
      <c r="N20" s="10">
        <f t="shared" si="3"/>
        <v>2150</v>
      </c>
      <c r="O20" s="10">
        <f t="shared" si="4"/>
        <v>63350</v>
      </c>
    </row>
    <row r="21" spans="2:15" x14ac:dyDescent="0.3">
      <c r="B21" s="18">
        <v>150865</v>
      </c>
      <c r="C21" s="19" t="s">
        <v>61</v>
      </c>
      <c r="D21" s="19" t="s">
        <v>60</v>
      </c>
      <c r="E21" s="20">
        <v>31279</v>
      </c>
      <c r="F21" s="18" t="s">
        <v>18</v>
      </c>
      <c r="G21" s="19" t="s">
        <v>19</v>
      </c>
      <c r="H21" s="19" t="s">
        <v>62</v>
      </c>
      <c r="I21" s="19" t="s">
        <v>52</v>
      </c>
      <c r="J21" s="10">
        <v>90000</v>
      </c>
      <c r="K21" s="10">
        <f t="shared" si="0"/>
        <v>40500</v>
      </c>
      <c r="L21" s="10">
        <f t="shared" si="1"/>
        <v>5500</v>
      </c>
      <c r="M21" s="10">
        <f t="shared" si="2"/>
        <v>136000</v>
      </c>
      <c r="N21" s="10">
        <f t="shared" si="3"/>
        <v>4500</v>
      </c>
      <c r="O21" s="10">
        <f t="shared" si="4"/>
        <v>131500</v>
      </c>
    </row>
    <row r="22" spans="2:15" x14ac:dyDescent="0.3">
      <c r="B22" s="18">
        <v>150858</v>
      </c>
      <c r="C22" s="19" t="s">
        <v>63</v>
      </c>
      <c r="D22" s="19" t="s">
        <v>64</v>
      </c>
      <c r="E22" s="20">
        <v>34846</v>
      </c>
      <c r="F22" s="18" t="s">
        <v>32</v>
      </c>
      <c r="G22" s="19" t="s">
        <v>19</v>
      </c>
      <c r="H22" s="19" t="s">
        <v>65</v>
      </c>
      <c r="I22" s="19" t="s">
        <v>52</v>
      </c>
      <c r="J22" s="10">
        <v>34000</v>
      </c>
      <c r="K22" s="10">
        <f t="shared" si="0"/>
        <v>15300</v>
      </c>
      <c r="L22" s="10">
        <f t="shared" si="1"/>
        <v>2700</v>
      </c>
      <c r="M22" s="10">
        <f t="shared" si="2"/>
        <v>52000</v>
      </c>
      <c r="N22" s="10">
        <f t="shared" si="3"/>
        <v>1700</v>
      </c>
      <c r="O22" s="10">
        <f t="shared" si="4"/>
        <v>50300</v>
      </c>
    </row>
    <row r="23" spans="2:15" x14ac:dyDescent="0.3">
      <c r="B23" s="18">
        <v>150930</v>
      </c>
      <c r="C23" s="19" t="s">
        <v>66</v>
      </c>
      <c r="D23" s="19" t="s">
        <v>67</v>
      </c>
      <c r="E23" s="20">
        <v>37027</v>
      </c>
      <c r="F23" s="18" t="s">
        <v>32</v>
      </c>
      <c r="G23" s="19" t="s">
        <v>19</v>
      </c>
      <c r="H23" s="19" t="s">
        <v>26</v>
      </c>
      <c r="I23" s="19" t="s">
        <v>34</v>
      </c>
      <c r="J23" s="10">
        <v>82000</v>
      </c>
      <c r="K23" s="10">
        <f t="shared" si="0"/>
        <v>36900</v>
      </c>
      <c r="L23" s="10">
        <f t="shared" si="1"/>
        <v>5100</v>
      </c>
      <c r="M23" s="10">
        <f t="shared" si="2"/>
        <v>124000</v>
      </c>
      <c r="N23" s="10">
        <f t="shared" si="3"/>
        <v>4100</v>
      </c>
      <c r="O23" s="10">
        <f t="shared" si="4"/>
        <v>119900</v>
      </c>
    </row>
    <row r="24" spans="2:15" x14ac:dyDescent="0.3">
      <c r="B24" s="18">
        <v>150894</v>
      </c>
      <c r="C24" s="19" t="s">
        <v>69</v>
      </c>
      <c r="D24" s="19" t="s">
        <v>70</v>
      </c>
      <c r="E24" s="20">
        <v>37124</v>
      </c>
      <c r="F24" s="18" t="s">
        <v>32</v>
      </c>
      <c r="G24" s="19" t="s">
        <v>19</v>
      </c>
      <c r="H24" s="19" t="s">
        <v>33</v>
      </c>
      <c r="I24" s="19" t="s">
        <v>34</v>
      </c>
      <c r="J24" s="10">
        <v>67000</v>
      </c>
      <c r="K24" s="10">
        <f t="shared" si="0"/>
        <v>30150</v>
      </c>
      <c r="L24" s="10">
        <f xml:space="preserve"> 1000 + (J24*0.05)</f>
        <v>4350</v>
      </c>
      <c r="M24" s="10">
        <f t="shared" si="2"/>
        <v>101500</v>
      </c>
      <c r="N24" s="10">
        <f t="shared" si="3"/>
        <v>3350</v>
      </c>
      <c r="O24" s="10">
        <f t="shared" si="4"/>
        <v>98150</v>
      </c>
    </row>
    <row r="25" spans="2:15" x14ac:dyDescent="0.3">
      <c r="B25" s="18">
        <v>150947</v>
      </c>
      <c r="C25" s="19" t="s">
        <v>71</v>
      </c>
      <c r="D25" s="19" t="s">
        <v>72</v>
      </c>
      <c r="E25" s="20">
        <v>33449</v>
      </c>
      <c r="F25" s="18" t="s">
        <v>18</v>
      </c>
      <c r="G25" s="19" t="s">
        <v>19</v>
      </c>
      <c r="H25" s="19" t="s">
        <v>65</v>
      </c>
      <c r="I25" s="19" t="s">
        <v>34</v>
      </c>
      <c r="J25" s="10">
        <v>85000</v>
      </c>
      <c r="K25" s="10">
        <f t="shared" si="0"/>
        <v>38250</v>
      </c>
      <c r="L25" s="10">
        <f t="shared" si="1"/>
        <v>5250</v>
      </c>
      <c r="M25" s="10">
        <f t="shared" si="2"/>
        <v>128500</v>
      </c>
      <c r="N25" s="10">
        <f t="shared" si="3"/>
        <v>4250</v>
      </c>
      <c r="O25" s="10">
        <f t="shared" si="4"/>
        <v>124250</v>
      </c>
    </row>
    <row r="26" spans="2:15" x14ac:dyDescent="0.3">
      <c r="B26" s="18">
        <v>150905</v>
      </c>
      <c r="C26" s="19" t="s">
        <v>73</v>
      </c>
      <c r="D26" s="19" t="s">
        <v>74</v>
      </c>
      <c r="E26" s="20">
        <v>30819</v>
      </c>
      <c r="F26" s="18" t="s">
        <v>18</v>
      </c>
      <c r="G26" s="19" t="s">
        <v>25</v>
      </c>
      <c r="H26" s="19" t="s">
        <v>20</v>
      </c>
      <c r="I26" s="19" t="s">
        <v>34</v>
      </c>
      <c r="J26" s="10">
        <v>62000</v>
      </c>
      <c r="K26" s="10">
        <f t="shared" si="0"/>
        <v>27900</v>
      </c>
      <c r="L26" s="10">
        <f t="shared" si="1"/>
        <v>4100</v>
      </c>
      <c r="M26" s="10">
        <f t="shared" si="2"/>
        <v>94000</v>
      </c>
      <c r="N26" s="10">
        <f t="shared" si="3"/>
        <v>3100</v>
      </c>
      <c r="O26" s="10">
        <f t="shared" si="4"/>
        <v>90900</v>
      </c>
    </row>
    <row r="27" spans="2:15" x14ac:dyDescent="0.3">
      <c r="B27" s="18">
        <v>150995</v>
      </c>
      <c r="C27" s="19" t="s">
        <v>75</v>
      </c>
      <c r="D27" s="19" t="s">
        <v>76</v>
      </c>
      <c r="E27" s="20">
        <v>35330</v>
      </c>
      <c r="F27" s="18" t="s">
        <v>32</v>
      </c>
      <c r="G27" s="19" t="s">
        <v>19</v>
      </c>
      <c r="H27" s="19" t="s">
        <v>33</v>
      </c>
      <c r="I27" s="19" t="s">
        <v>46</v>
      </c>
      <c r="J27" s="10">
        <v>15000</v>
      </c>
      <c r="K27" s="10">
        <f t="shared" si="0"/>
        <v>6750</v>
      </c>
      <c r="L27" s="10">
        <f t="shared" si="1"/>
        <v>1750</v>
      </c>
      <c r="M27" s="10">
        <f t="shared" si="2"/>
        <v>23500</v>
      </c>
      <c r="N27" s="10">
        <f t="shared" si="3"/>
        <v>750</v>
      </c>
      <c r="O27" s="10">
        <f t="shared" si="4"/>
        <v>22750</v>
      </c>
    </row>
    <row r="28" spans="2:15" x14ac:dyDescent="0.3">
      <c r="B28" s="18">
        <v>150912</v>
      </c>
      <c r="C28" s="19" t="s">
        <v>77</v>
      </c>
      <c r="D28" s="19" t="s">
        <v>78</v>
      </c>
      <c r="E28" s="20">
        <v>37629</v>
      </c>
      <c r="F28" s="18" t="s">
        <v>18</v>
      </c>
      <c r="G28" s="19" t="s">
        <v>19</v>
      </c>
      <c r="H28" s="19" t="s">
        <v>79</v>
      </c>
      <c r="I28" s="19" t="s">
        <v>34</v>
      </c>
      <c r="J28" s="10">
        <v>81000</v>
      </c>
      <c r="K28" s="10">
        <f t="shared" si="0"/>
        <v>36450</v>
      </c>
      <c r="L28" s="10">
        <f t="shared" si="1"/>
        <v>5050</v>
      </c>
      <c r="M28" s="10">
        <f t="shared" si="2"/>
        <v>122500</v>
      </c>
      <c r="N28" s="10">
        <f t="shared" si="3"/>
        <v>4050</v>
      </c>
      <c r="O28" s="10">
        <f t="shared" si="4"/>
        <v>118450</v>
      </c>
    </row>
    <row r="29" spans="2:15" x14ac:dyDescent="0.3">
      <c r="B29" s="18">
        <v>150921</v>
      </c>
      <c r="C29" s="19" t="s">
        <v>80</v>
      </c>
      <c r="D29" s="19" t="s">
        <v>81</v>
      </c>
      <c r="E29" s="20">
        <v>38092</v>
      </c>
      <c r="F29" s="18" t="s">
        <v>32</v>
      </c>
      <c r="G29" s="19" t="s">
        <v>19</v>
      </c>
      <c r="H29" s="19" t="s">
        <v>82</v>
      </c>
      <c r="I29" s="19" t="s">
        <v>34</v>
      </c>
      <c r="J29" s="10">
        <v>19000</v>
      </c>
      <c r="K29" s="10">
        <f t="shared" si="0"/>
        <v>8550</v>
      </c>
      <c r="L29" s="10">
        <f t="shared" si="1"/>
        <v>1950</v>
      </c>
      <c r="M29" s="10">
        <f t="shared" si="2"/>
        <v>29500</v>
      </c>
      <c r="N29" s="10">
        <f t="shared" si="3"/>
        <v>950</v>
      </c>
      <c r="O29" s="10">
        <f t="shared" si="4"/>
        <v>28550</v>
      </c>
    </row>
    <row r="30" spans="2:15" x14ac:dyDescent="0.3">
      <c r="B30" s="18">
        <v>150851</v>
      </c>
      <c r="C30" s="19" t="s">
        <v>83</v>
      </c>
      <c r="D30" s="19" t="s">
        <v>84</v>
      </c>
      <c r="E30" s="20">
        <v>29368</v>
      </c>
      <c r="F30" s="18" t="s">
        <v>32</v>
      </c>
      <c r="G30" s="19" t="s">
        <v>25</v>
      </c>
      <c r="H30" s="19" t="s">
        <v>33</v>
      </c>
      <c r="I30" s="19" t="s">
        <v>52</v>
      </c>
      <c r="J30" s="10">
        <v>75000</v>
      </c>
      <c r="K30" s="10">
        <f t="shared" si="0"/>
        <v>33750</v>
      </c>
      <c r="L30" s="10">
        <f t="shared" si="1"/>
        <v>4750</v>
      </c>
      <c r="M30" s="10">
        <f t="shared" si="2"/>
        <v>113500</v>
      </c>
      <c r="N30" s="10">
        <f t="shared" si="3"/>
        <v>3750</v>
      </c>
      <c r="O30" s="10">
        <f t="shared" si="4"/>
        <v>109750</v>
      </c>
    </row>
    <row r="31" spans="2:15" x14ac:dyDescent="0.3">
      <c r="B31" s="18">
        <v>150867</v>
      </c>
      <c r="C31" s="19" t="s">
        <v>85</v>
      </c>
      <c r="D31" s="19" t="s">
        <v>86</v>
      </c>
      <c r="E31" s="20">
        <v>29028</v>
      </c>
      <c r="F31" s="18" t="s">
        <v>18</v>
      </c>
      <c r="G31" s="19" t="s">
        <v>25</v>
      </c>
      <c r="H31" s="19" t="s">
        <v>82</v>
      </c>
      <c r="I31" s="19" t="s">
        <v>52</v>
      </c>
      <c r="J31" s="10">
        <v>49000</v>
      </c>
      <c r="K31" s="10">
        <f t="shared" si="0"/>
        <v>22050</v>
      </c>
      <c r="L31" s="10">
        <f t="shared" si="1"/>
        <v>3450</v>
      </c>
      <c r="M31" s="10">
        <f t="shared" si="2"/>
        <v>74500</v>
      </c>
      <c r="N31" s="10">
        <f t="shared" si="3"/>
        <v>2450</v>
      </c>
      <c r="O31" s="10">
        <f t="shared" si="4"/>
        <v>72050</v>
      </c>
    </row>
    <row r="32" spans="2:15" x14ac:dyDescent="0.3">
      <c r="B32" s="18">
        <v>150899</v>
      </c>
      <c r="C32" s="19" t="s">
        <v>87</v>
      </c>
      <c r="D32" s="19" t="s">
        <v>88</v>
      </c>
      <c r="E32" s="20">
        <v>37400</v>
      </c>
      <c r="F32" s="18" t="s">
        <v>32</v>
      </c>
      <c r="G32" s="19" t="s">
        <v>19</v>
      </c>
      <c r="H32" s="19" t="s">
        <v>65</v>
      </c>
      <c r="I32" s="19" t="s">
        <v>34</v>
      </c>
      <c r="J32" s="10">
        <v>50000</v>
      </c>
      <c r="K32" s="10">
        <f t="shared" si="0"/>
        <v>22500</v>
      </c>
      <c r="L32" s="10">
        <f t="shared" si="1"/>
        <v>3500</v>
      </c>
      <c r="M32" s="10">
        <f t="shared" si="2"/>
        <v>76000</v>
      </c>
      <c r="N32" s="10">
        <f t="shared" si="3"/>
        <v>2500</v>
      </c>
      <c r="O32" s="10">
        <f t="shared" si="4"/>
        <v>73500</v>
      </c>
    </row>
    <row r="33" spans="2:15" x14ac:dyDescent="0.3">
      <c r="B33" s="18">
        <v>150975</v>
      </c>
      <c r="C33" s="19" t="s">
        <v>89</v>
      </c>
      <c r="D33" s="19" t="s">
        <v>90</v>
      </c>
      <c r="E33" s="20">
        <v>31478</v>
      </c>
      <c r="F33" s="18" t="s">
        <v>32</v>
      </c>
      <c r="G33" s="19" t="s">
        <v>19</v>
      </c>
      <c r="H33" s="19" t="s">
        <v>82</v>
      </c>
      <c r="I33" s="19" t="s">
        <v>46</v>
      </c>
      <c r="J33" s="10">
        <v>83000</v>
      </c>
      <c r="K33" s="10">
        <f t="shared" si="0"/>
        <v>37350</v>
      </c>
      <c r="L33" s="10">
        <f t="shared" si="1"/>
        <v>5150</v>
      </c>
      <c r="M33" s="10">
        <f t="shared" si="2"/>
        <v>125500</v>
      </c>
      <c r="N33" s="10">
        <f t="shared" si="3"/>
        <v>4150</v>
      </c>
      <c r="O33" s="10">
        <f t="shared" si="4"/>
        <v>121350</v>
      </c>
    </row>
    <row r="34" spans="2:15" x14ac:dyDescent="0.3">
      <c r="B34" s="18">
        <v>150901</v>
      </c>
      <c r="C34" s="19" t="s">
        <v>91</v>
      </c>
      <c r="D34" s="19" t="s">
        <v>92</v>
      </c>
      <c r="E34" s="20">
        <v>32946</v>
      </c>
      <c r="F34" s="18" t="s">
        <v>18</v>
      </c>
      <c r="G34" s="19" t="s">
        <v>19</v>
      </c>
      <c r="H34" s="19" t="s">
        <v>93</v>
      </c>
      <c r="I34" s="19" t="s">
        <v>34</v>
      </c>
      <c r="J34" s="10">
        <v>53000</v>
      </c>
      <c r="K34" s="10">
        <f t="shared" si="0"/>
        <v>23850</v>
      </c>
      <c r="L34" s="10">
        <f t="shared" si="1"/>
        <v>3650</v>
      </c>
      <c r="M34" s="10">
        <f t="shared" si="2"/>
        <v>80500</v>
      </c>
      <c r="N34" s="10">
        <f t="shared" si="3"/>
        <v>2650</v>
      </c>
      <c r="O34" s="10">
        <f t="shared" si="4"/>
        <v>77850</v>
      </c>
    </row>
    <row r="35" spans="2:15" x14ac:dyDescent="0.3">
      <c r="B35" s="18">
        <v>150968</v>
      </c>
      <c r="C35" s="19" t="s">
        <v>94</v>
      </c>
      <c r="D35" s="19" t="s">
        <v>95</v>
      </c>
      <c r="E35" s="20">
        <v>37208</v>
      </c>
      <c r="F35" s="18" t="s">
        <v>32</v>
      </c>
      <c r="G35" s="19" t="s">
        <v>19</v>
      </c>
      <c r="H35" s="19" t="s">
        <v>79</v>
      </c>
      <c r="I35" s="19" t="s">
        <v>34</v>
      </c>
      <c r="J35" s="10">
        <v>65000</v>
      </c>
      <c r="K35" s="10">
        <f t="shared" si="0"/>
        <v>29250</v>
      </c>
      <c r="L35" s="10">
        <f t="shared" si="1"/>
        <v>4250</v>
      </c>
      <c r="M35" s="10">
        <f t="shared" si="2"/>
        <v>98500</v>
      </c>
      <c r="N35" s="10">
        <f t="shared" si="3"/>
        <v>3250</v>
      </c>
      <c r="O35" s="10">
        <f t="shared" si="4"/>
        <v>95250</v>
      </c>
    </row>
    <row r="36" spans="2:15" x14ac:dyDescent="0.3">
      <c r="B36" s="18">
        <v>150773</v>
      </c>
      <c r="C36" s="19" t="s">
        <v>96</v>
      </c>
      <c r="D36" s="19" t="s">
        <v>97</v>
      </c>
      <c r="E36" s="20">
        <v>26860</v>
      </c>
      <c r="F36" s="18" t="s">
        <v>32</v>
      </c>
      <c r="G36" s="19" t="s">
        <v>19</v>
      </c>
      <c r="H36" s="19" t="s">
        <v>82</v>
      </c>
      <c r="I36" s="19" t="s">
        <v>21</v>
      </c>
      <c r="J36" s="10">
        <v>85000</v>
      </c>
      <c r="K36" s="10">
        <f t="shared" si="0"/>
        <v>38250</v>
      </c>
      <c r="L36" s="10">
        <f t="shared" si="1"/>
        <v>5250</v>
      </c>
      <c r="M36" s="10">
        <f t="shared" si="2"/>
        <v>128500</v>
      </c>
      <c r="N36" s="10">
        <f t="shared" si="3"/>
        <v>4250</v>
      </c>
      <c r="O36" s="10">
        <f t="shared" si="4"/>
        <v>124250</v>
      </c>
    </row>
    <row r="37" spans="2:15" x14ac:dyDescent="0.3">
      <c r="B37" s="18">
        <v>150840</v>
      </c>
      <c r="C37" s="19" t="s">
        <v>66</v>
      </c>
      <c r="D37" s="19" t="s">
        <v>98</v>
      </c>
      <c r="E37" s="20">
        <v>23136</v>
      </c>
      <c r="F37" s="18" t="s">
        <v>18</v>
      </c>
      <c r="G37" s="19" t="s">
        <v>19</v>
      </c>
      <c r="H37" s="19" t="s">
        <v>33</v>
      </c>
      <c r="I37" s="19" t="s">
        <v>52</v>
      </c>
      <c r="J37" s="10">
        <v>20000</v>
      </c>
      <c r="K37" s="10">
        <f t="shared" si="0"/>
        <v>9000</v>
      </c>
      <c r="L37" s="10">
        <f t="shared" si="1"/>
        <v>2000</v>
      </c>
      <c r="M37" s="10">
        <f t="shared" si="2"/>
        <v>31000</v>
      </c>
      <c r="N37" s="10">
        <f t="shared" si="3"/>
        <v>1000</v>
      </c>
      <c r="O37" s="10">
        <f t="shared" si="4"/>
        <v>30000</v>
      </c>
    </row>
    <row r="38" spans="2:15" x14ac:dyDescent="0.3">
      <c r="B38" s="18">
        <v>150850</v>
      </c>
      <c r="C38" s="19" t="s">
        <v>57</v>
      </c>
      <c r="D38" s="19" t="s">
        <v>99</v>
      </c>
      <c r="E38" s="20">
        <v>32027</v>
      </c>
      <c r="F38" s="18" t="s">
        <v>32</v>
      </c>
      <c r="G38" s="19" t="s">
        <v>19</v>
      </c>
      <c r="H38" s="19" t="s">
        <v>65</v>
      </c>
      <c r="I38" s="19" t="s">
        <v>52</v>
      </c>
      <c r="J38" s="10">
        <v>47000</v>
      </c>
      <c r="K38" s="10">
        <f t="shared" si="0"/>
        <v>21150</v>
      </c>
      <c r="L38" s="10">
        <f t="shared" si="1"/>
        <v>3350</v>
      </c>
      <c r="M38" s="10">
        <f t="shared" si="2"/>
        <v>71500</v>
      </c>
      <c r="N38" s="10">
        <f t="shared" si="3"/>
        <v>2350</v>
      </c>
      <c r="O38" s="10">
        <f t="shared" si="4"/>
        <v>69150</v>
      </c>
    </row>
    <row r="39" spans="2:15" x14ac:dyDescent="0.3">
      <c r="B39" s="18">
        <v>150962</v>
      </c>
      <c r="C39" s="19" t="s">
        <v>100</v>
      </c>
      <c r="D39" s="19" t="s">
        <v>101</v>
      </c>
      <c r="E39" s="20">
        <v>37773</v>
      </c>
      <c r="F39" s="18" t="s">
        <v>18</v>
      </c>
      <c r="G39" s="19" t="s">
        <v>19</v>
      </c>
      <c r="H39" s="19" t="s">
        <v>41</v>
      </c>
      <c r="I39" s="19" t="s">
        <v>34</v>
      </c>
      <c r="J39" s="10">
        <v>87000</v>
      </c>
      <c r="K39" s="10">
        <f t="shared" si="0"/>
        <v>39150</v>
      </c>
      <c r="L39" s="10">
        <f t="shared" si="1"/>
        <v>5350</v>
      </c>
      <c r="M39" s="10">
        <f t="shared" si="2"/>
        <v>131500</v>
      </c>
      <c r="N39" s="10">
        <f t="shared" si="3"/>
        <v>4350</v>
      </c>
      <c r="O39" s="10">
        <f t="shared" si="4"/>
        <v>127150</v>
      </c>
    </row>
    <row r="40" spans="2:15" x14ac:dyDescent="0.3">
      <c r="B40" s="18">
        <v>150954</v>
      </c>
      <c r="C40" s="19" t="s">
        <v>102</v>
      </c>
      <c r="D40" s="19" t="s">
        <v>101</v>
      </c>
      <c r="E40" s="20">
        <v>35495</v>
      </c>
      <c r="F40" s="18" t="s">
        <v>18</v>
      </c>
      <c r="G40" s="19" t="s">
        <v>19</v>
      </c>
      <c r="H40" s="19" t="s">
        <v>93</v>
      </c>
      <c r="I40" s="19" t="s">
        <v>34</v>
      </c>
      <c r="J40" s="10">
        <v>57000</v>
      </c>
      <c r="K40" s="10">
        <f t="shared" si="0"/>
        <v>25650</v>
      </c>
      <c r="L40" s="10">
        <f t="shared" si="1"/>
        <v>3850</v>
      </c>
      <c r="M40" s="10">
        <f t="shared" si="2"/>
        <v>86500</v>
      </c>
      <c r="N40" s="10">
        <f t="shared" si="3"/>
        <v>2850</v>
      </c>
      <c r="O40" s="10">
        <f t="shared" si="4"/>
        <v>83650</v>
      </c>
    </row>
    <row r="41" spans="2:15" x14ac:dyDescent="0.3">
      <c r="B41" s="18">
        <v>150874</v>
      </c>
      <c r="C41" s="19" t="s">
        <v>103</v>
      </c>
      <c r="D41" s="19" t="s">
        <v>101</v>
      </c>
      <c r="E41" s="20">
        <v>37890</v>
      </c>
      <c r="F41" s="18" t="s">
        <v>18</v>
      </c>
      <c r="G41" s="19" t="s">
        <v>19</v>
      </c>
      <c r="H41" s="19" t="s">
        <v>38</v>
      </c>
      <c r="I41" s="19" t="s">
        <v>52</v>
      </c>
      <c r="J41" s="10">
        <v>27000</v>
      </c>
      <c r="K41" s="10">
        <f t="shared" si="0"/>
        <v>12150</v>
      </c>
      <c r="L41" s="10">
        <f t="shared" si="1"/>
        <v>2350</v>
      </c>
      <c r="M41" s="10">
        <f t="shared" si="2"/>
        <v>41500</v>
      </c>
      <c r="N41" s="10">
        <f t="shared" si="3"/>
        <v>1350</v>
      </c>
      <c r="O41" s="10">
        <f t="shared" si="4"/>
        <v>40150</v>
      </c>
    </row>
    <row r="42" spans="2:15" x14ac:dyDescent="0.3">
      <c r="B42" s="18">
        <v>150798</v>
      </c>
      <c r="C42" s="19" t="s">
        <v>104</v>
      </c>
      <c r="D42" s="19" t="s">
        <v>101</v>
      </c>
      <c r="E42" s="20">
        <v>28276</v>
      </c>
      <c r="F42" s="18" t="s">
        <v>18</v>
      </c>
      <c r="G42" s="19" t="s">
        <v>19</v>
      </c>
      <c r="H42" s="19" t="s">
        <v>26</v>
      </c>
      <c r="I42" s="19" t="s">
        <v>21</v>
      </c>
      <c r="J42" s="10">
        <v>81000</v>
      </c>
      <c r="K42" s="10">
        <f t="shared" si="0"/>
        <v>36450</v>
      </c>
      <c r="L42" s="10">
        <f t="shared" si="1"/>
        <v>5050</v>
      </c>
      <c r="M42" s="10">
        <f t="shared" si="2"/>
        <v>122500</v>
      </c>
      <c r="N42" s="10">
        <f t="shared" si="3"/>
        <v>4050</v>
      </c>
      <c r="O42" s="10">
        <f t="shared" si="4"/>
        <v>118450</v>
      </c>
    </row>
    <row r="43" spans="2:15" x14ac:dyDescent="0.3">
      <c r="B43" s="18">
        <v>150830</v>
      </c>
      <c r="C43" s="19" t="s">
        <v>105</v>
      </c>
      <c r="D43" s="19" t="s">
        <v>106</v>
      </c>
      <c r="E43" s="20">
        <v>29037</v>
      </c>
      <c r="F43" s="18" t="s">
        <v>18</v>
      </c>
      <c r="G43" s="19" t="s">
        <v>19</v>
      </c>
      <c r="H43" s="19" t="s">
        <v>93</v>
      </c>
      <c r="I43" s="19" t="s">
        <v>21</v>
      </c>
      <c r="J43" s="10">
        <v>52000</v>
      </c>
      <c r="K43" s="10">
        <f t="shared" si="0"/>
        <v>23400</v>
      </c>
      <c r="L43" s="10">
        <f t="shared" si="1"/>
        <v>3600</v>
      </c>
      <c r="M43" s="10">
        <f t="shared" si="2"/>
        <v>79000</v>
      </c>
      <c r="N43" s="10">
        <f t="shared" si="3"/>
        <v>2600</v>
      </c>
      <c r="O43" s="10">
        <f t="shared" si="4"/>
        <v>76400</v>
      </c>
    </row>
    <row r="44" spans="2:15" x14ac:dyDescent="0.3">
      <c r="B44" s="18">
        <v>150929</v>
      </c>
      <c r="C44" s="19" t="s">
        <v>107</v>
      </c>
      <c r="D44" s="19" t="s">
        <v>108</v>
      </c>
      <c r="E44" s="20">
        <v>26739</v>
      </c>
      <c r="F44" s="18" t="s">
        <v>32</v>
      </c>
      <c r="G44" s="19" t="s">
        <v>19</v>
      </c>
      <c r="H44" s="19" t="s">
        <v>38</v>
      </c>
      <c r="I44" s="19" t="s">
        <v>34</v>
      </c>
      <c r="J44" s="10">
        <v>58000</v>
      </c>
      <c r="K44" s="10">
        <f t="shared" si="0"/>
        <v>26100</v>
      </c>
      <c r="L44" s="10">
        <f t="shared" si="1"/>
        <v>3900</v>
      </c>
      <c r="M44" s="10">
        <f t="shared" si="2"/>
        <v>88000</v>
      </c>
      <c r="N44" s="10">
        <f t="shared" si="3"/>
        <v>2900</v>
      </c>
      <c r="O44" s="10">
        <f t="shared" si="4"/>
        <v>85100</v>
      </c>
    </row>
    <row r="45" spans="2:15" x14ac:dyDescent="0.3">
      <c r="B45" s="18">
        <v>150982</v>
      </c>
      <c r="C45" s="19" t="s">
        <v>109</v>
      </c>
      <c r="D45" s="19" t="s">
        <v>110</v>
      </c>
      <c r="E45" s="20">
        <v>35574</v>
      </c>
      <c r="F45" s="18" t="s">
        <v>32</v>
      </c>
      <c r="G45" s="19" t="s">
        <v>19</v>
      </c>
      <c r="H45" s="19" t="s">
        <v>38</v>
      </c>
      <c r="I45" s="19" t="s">
        <v>46</v>
      </c>
      <c r="J45" s="10">
        <v>47000</v>
      </c>
      <c r="K45" s="10">
        <f t="shared" si="0"/>
        <v>21150</v>
      </c>
      <c r="L45" s="10">
        <f t="shared" si="1"/>
        <v>3350</v>
      </c>
      <c r="M45" s="10">
        <f t="shared" si="2"/>
        <v>71500</v>
      </c>
      <c r="N45" s="10">
        <f t="shared" si="3"/>
        <v>2350</v>
      </c>
      <c r="O45" s="10">
        <f t="shared" si="4"/>
        <v>69150</v>
      </c>
    </row>
    <row r="46" spans="2:15" x14ac:dyDescent="0.3">
      <c r="B46" s="18">
        <v>150821</v>
      </c>
      <c r="C46" s="19" t="s">
        <v>111</v>
      </c>
      <c r="D46" s="19" t="s">
        <v>112</v>
      </c>
      <c r="E46" s="20">
        <v>29966</v>
      </c>
      <c r="F46" s="18" t="s">
        <v>32</v>
      </c>
      <c r="G46" s="19" t="s">
        <v>25</v>
      </c>
      <c r="H46" s="19" t="s">
        <v>65</v>
      </c>
      <c r="I46" s="19" t="s">
        <v>21</v>
      </c>
      <c r="J46" s="10">
        <v>26000</v>
      </c>
      <c r="K46" s="10">
        <f>J46*0.45</f>
        <v>11700</v>
      </c>
      <c r="L46" s="10">
        <f t="shared" si="1"/>
        <v>2300</v>
      </c>
      <c r="M46" s="10">
        <f t="shared" si="2"/>
        <v>40000</v>
      </c>
      <c r="N46" s="10">
        <f t="shared" si="3"/>
        <v>1300</v>
      </c>
      <c r="O46" s="10">
        <f t="shared" si="4"/>
        <v>38700</v>
      </c>
    </row>
  </sheetData>
  <mergeCells count="5">
    <mergeCell ref="C2:H2"/>
    <mergeCell ref="C3:H3"/>
    <mergeCell ref="C4:H4"/>
    <mergeCell ref="C5:H5"/>
    <mergeCell ref="C6:H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22C6F-6C42-4EF9-80B6-9201477853FB}">
  <dimension ref="B1:P42"/>
  <sheetViews>
    <sheetView zoomScaleNormal="100" workbookViewId="0">
      <selection activeCell="C42" sqref="C42:G42"/>
    </sheetView>
  </sheetViews>
  <sheetFormatPr defaultColWidth="14.44140625" defaultRowHeight="14.4" x14ac:dyDescent="0.3"/>
  <cols>
    <col min="2" max="2" width="7.44140625" bestFit="1" customWidth="1"/>
    <col min="3" max="4" width="13.33203125" bestFit="1" customWidth="1"/>
    <col min="5" max="5" width="9.88671875" customWidth="1"/>
    <col min="6" max="6" width="7.6640625" customWidth="1"/>
    <col min="7" max="7" width="9" bestFit="1" customWidth="1"/>
    <col min="8" max="8" width="21.33203125" bestFit="1" customWidth="1"/>
    <col min="9" max="9" width="8.6640625" bestFit="1" customWidth="1"/>
    <col min="10" max="10" width="10.6640625" bestFit="1" customWidth="1"/>
    <col min="11" max="11" width="8.6640625" customWidth="1"/>
    <col min="12" max="12" width="29.6640625" customWidth="1"/>
    <col min="13" max="13" width="12.44140625" customWidth="1"/>
    <col min="14" max="14" width="5.88671875" customWidth="1"/>
    <col min="15" max="15" width="10.77734375" bestFit="1" customWidth="1"/>
    <col min="16" max="16" width="13.21875" bestFit="1" customWidth="1"/>
    <col min="17" max="24" width="8.6640625" customWidth="1"/>
  </cols>
  <sheetData>
    <row r="1" spans="2:16" x14ac:dyDescent="0.3">
      <c r="B1" s="74" t="s">
        <v>6</v>
      </c>
      <c r="C1" s="74" t="s">
        <v>7</v>
      </c>
      <c r="D1" s="74" t="s">
        <v>8</v>
      </c>
      <c r="E1" s="74" t="s">
        <v>9</v>
      </c>
      <c r="F1" s="74" t="s">
        <v>10</v>
      </c>
      <c r="G1" s="74" t="s">
        <v>11</v>
      </c>
      <c r="H1" s="74" t="s">
        <v>12</v>
      </c>
      <c r="I1" s="74" t="s">
        <v>13</v>
      </c>
      <c r="J1" s="74" t="s">
        <v>14</v>
      </c>
      <c r="O1" s="125" t="s">
        <v>14</v>
      </c>
      <c r="P1" s="125" t="s">
        <v>7</v>
      </c>
    </row>
    <row r="2" spans="2:16" x14ac:dyDescent="0.3">
      <c r="B2" s="4">
        <v>150834</v>
      </c>
      <c r="C2" s="5" t="s">
        <v>16</v>
      </c>
      <c r="D2" s="5" t="s">
        <v>17</v>
      </c>
      <c r="E2" s="6">
        <v>31199</v>
      </c>
      <c r="F2" s="7" t="s">
        <v>18</v>
      </c>
      <c r="G2" s="5" t="s">
        <v>19</v>
      </c>
      <c r="H2" s="5" t="s">
        <v>20</v>
      </c>
      <c r="I2" s="5" t="s">
        <v>21</v>
      </c>
      <c r="J2" s="2">
        <v>48000</v>
      </c>
      <c r="O2" s="2">
        <v>48000</v>
      </c>
      <c r="P2" s="5" t="s">
        <v>16</v>
      </c>
    </row>
    <row r="3" spans="2:16" x14ac:dyDescent="0.3">
      <c r="B3" s="4">
        <v>150784</v>
      </c>
      <c r="C3" s="5" t="s">
        <v>23</v>
      </c>
      <c r="D3" s="5" t="s">
        <v>24</v>
      </c>
      <c r="E3" s="6">
        <v>28365</v>
      </c>
      <c r="F3" s="7" t="s">
        <v>18</v>
      </c>
      <c r="G3" s="5" t="s">
        <v>25</v>
      </c>
      <c r="H3" s="5" t="s">
        <v>26</v>
      </c>
      <c r="I3" s="5" t="s">
        <v>21</v>
      </c>
      <c r="J3" s="2">
        <v>35000</v>
      </c>
      <c r="O3" s="2">
        <v>35000</v>
      </c>
      <c r="P3" s="5" t="s">
        <v>23</v>
      </c>
    </row>
    <row r="4" spans="2:16" x14ac:dyDescent="0.3">
      <c r="B4" s="4">
        <v>150791</v>
      </c>
      <c r="C4" s="5" t="s">
        <v>28</v>
      </c>
      <c r="D4" s="5" t="s">
        <v>29</v>
      </c>
      <c r="E4" s="6">
        <v>23346</v>
      </c>
      <c r="F4" s="7" t="s">
        <v>18</v>
      </c>
      <c r="G4" s="5" t="s">
        <v>19</v>
      </c>
      <c r="H4" s="5" t="s">
        <v>26</v>
      </c>
      <c r="I4" s="5" t="s">
        <v>21</v>
      </c>
      <c r="J4" s="2">
        <v>67000</v>
      </c>
      <c r="L4" s="229" t="s">
        <v>390</v>
      </c>
      <c r="M4" s="229"/>
      <c r="O4" s="2">
        <v>67000</v>
      </c>
      <c r="P4" s="5" t="s">
        <v>28</v>
      </c>
    </row>
    <row r="5" spans="2:16" x14ac:dyDescent="0.3">
      <c r="B5" s="4">
        <v>150940</v>
      </c>
      <c r="C5" s="5" t="s">
        <v>30</v>
      </c>
      <c r="D5" s="5" t="s">
        <v>31</v>
      </c>
      <c r="E5" s="6">
        <v>26906</v>
      </c>
      <c r="F5" s="7" t="s">
        <v>32</v>
      </c>
      <c r="G5" s="5" t="s">
        <v>25</v>
      </c>
      <c r="H5" s="5" t="s">
        <v>33</v>
      </c>
      <c r="I5" s="5" t="s">
        <v>34</v>
      </c>
      <c r="J5" s="2">
        <v>87000</v>
      </c>
      <c r="O5" s="2">
        <v>87000</v>
      </c>
      <c r="P5" s="5" t="s">
        <v>30</v>
      </c>
    </row>
    <row r="6" spans="2:16" x14ac:dyDescent="0.3">
      <c r="B6" s="4">
        <v>150777</v>
      </c>
      <c r="C6" s="5" t="s">
        <v>36</v>
      </c>
      <c r="D6" s="5" t="s">
        <v>37</v>
      </c>
      <c r="E6" s="6">
        <v>21123</v>
      </c>
      <c r="F6" s="7" t="s">
        <v>32</v>
      </c>
      <c r="G6" s="5" t="s">
        <v>19</v>
      </c>
      <c r="H6" s="5" t="s">
        <v>38</v>
      </c>
      <c r="I6" s="5" t="s">
        <v>21</v>
      </c>
      <c r="J6" s="2">
        <v>22000</v>
      </c>
      <c r="L6" s="124" t="s">
        <v>389</v>
      </c>
      <c r="M6" s="123" t="s">
        <v>382</v>
      </c>
      <c r="O6" s="2">
        <v>22000</v>
      </c>
      <c r="P6" s="5" t="s">
        <v>36</v>
      </c>
    </row>
    <row r="7" spans="2:16" x14ac:dyDescent="0.3">
      <c r="B7" s="4">
        <v>150805</v>
      </c>
      <c r="C7" s="5" t="s">
        <v>28</v>
      </c>
      <c r="D7" s="5" t="s">
        <v>40</v>
      </c>
      <c r="E7" s="6">
        <v>26172</v>
      </c>
      <c r="F7" s="7" t="s">
        <v>32</v>
      </c>
      <c r="G7" s="5" t="s">
        <v>19</v>
      </c>
      <c r="H7" s="5" t="s">
        <v>41</v>
      </c>
      <c r="I7" s="5" t="s">
        <v>21</v>
      </c>
      <c r="J7" s="2">
        <v>91000</v>
      </c>
      <c r="L7" s="122" t="s">
        <v>22</v>
      </c>
      <c r="M7" s="10" t="str">
        <f>VLOOKUP(M12,$O$2:$P$39,2,FALSE)</f>
        <v>Dinesh</v>
      </c>
      <c r="O7" s="2">
        <v>91000</v>
      </c>
      <c r="P7" s="5" t="s">
        <v>28</v>
      </c>
    </row>
    <row r="8" spans="2:16" x14ac:dyDescent="0.3">
      <c r="B8" s="4">
        <v>150990</v>
      </c>
      <c r="C8" s="5" t="s">
        <v>43</v>
      </c>
      <c r="D8" s="5" t="s">
        <v>44</v>
      </c>
      <c r="E8" s="6">
        <v>36400</v>
      </c>
      <c r="F8" s="7" t="s">
        <v>32</v>
      </c>
      <c r="G8" s="5" t="s">
        <v>19</v>
      </c>
      <c r="H8" s="5" t="s">
        <v>45</v>
      </c>
      <c r="I8" s="5" t="s">
        <v>46</v>
      </c>
      <c r="J8" s="2">
        <v>77000</v>
      </c>
      <c r="L8" s="122" t="s">
        <v>27</v>
      </c>
      <c r="M8" s="10" t="str">
        <f>VLOOKUP(M13,$O$2:$P$39,2,FALSE)</f>
        <v>Satish</v>
      </c>
      <c r="O8" s="2">
        <v>77000</v>
      </c>
      <c r="P8" s="5" t="s">
        <v>43</v>
      </c>
    </row>
    <row r="9" spans="2:16" x14ac:dyDescent="0.3">
      <c r="B9" s="4">
        <v>150989</v>
      </c>
      <c r="C9" s="5" t="s">
        <v>48</v>
      </c>
      <c r="D9" s="5" t="s">
        <v>44</v>
      </c>
      <c r="E9" s="6">
        <v>33113</v>
      </c>
      <c r="F9" s="7" t="s">
        <v>32</v>
      </c>
      <c r="G9" s="5" t="s">
        <v>19</v>
      </c>
      <c r="H9" s="5" t="s">
        <v>26</v>
      </c>
      <c r="I9" s="5" t="s">
        <v>46</v>
      </c>
      <c r="J9" s="2">
        <v>45000</v>
      </c>
      <c r="O9" s="2">
        <v>45000</v>
      </c>
      <c r="P9" s="5" t="s">
        <v>48</v>
      </c>
    </row>
    <row r="10" spans="2:16" x14ac:dyDescent="0.3">
      <c r="B10" s="4">
        <v>150881</v>
      </c>
      <c r="C10" s="5" t="s">
        <v>50</v>
      </c>
      <c r="D10" s="5" t="s">
        <v>51</v>
      </c>
      <c r="E10" s="6">
        <v>30337</v>
      </c>
      <c r="F10" s="7" t="s">
        <v>32</v>
      </c>
      <c r="G10" s="5" t="s">
        <v>25</v>
      </c>
      <c r="H10" s="5" t="s">
        <v>26</v>
      </c>
      <c r="I10" s="5" t="s">
        <v>52</v>
      </c>
      <c r="J10" s="2">
        <v>92000</v>
      </c>
      <c r="O10" s="2">
        <v>92000</v>
      </c>
      <c r="P10" s="5" t="s">
        <v>50</v>
      </c>
    </row>
    <row r="11" spans="2:16" x14ac:dyDescent="0.3">
      <c r="B11" s="4">
        <v>150814</v>
      </c>
      <c r="C11" s="5" t="s">
        <v>54</v>
      </c>
      <c r="D11" s="5" t="s">
        <v>55</v>
      </c>
      <c r="E11" s="6">
        <v>26246</v>
      </c>
      <c r="F11" s="7" t="s">
        <v>32</v>
      </c>
      <c r="G11" s="5" t="s">
        <v>19</v>
      </c>
      <c r="H11" s="5" t="s">
        <v>33</v>
      </c>
      <c r="I11" s="5" t="s">
        <v>21</v>
      </c>
      <c r="J11" s="2">
        <v>50000</v>
      </c>
      <c r="O11" s="2">
        <v>50000</v>
      </c>
      <c r="P11" s="5" t="s">
        <v>54</v>
      </c>
    </row>
    <row r="12" spans="2:16" x14ac:dyDescent="0.3">
      <c r="B12" s="4">
        <v>150937</v>
      </c>
      <c r="C12" s="5" t="s">
        <v>57</v>
      </c>
      <c r="D12" s="5" t="s">
        <v>58</v>
      </c>
      <c r="E12" s="6">
        <v>24700</v>
      </c>
      <c r="F12" s="7" t="s">
        <v>32</v>
      </c>
      <c r="G12" s="5" t="s">
        <v>19</v>
      </c>
      <c r="H12" s="5" t="s">
        <v>45</v>
      </c>
      <c r="I12" s="5" t="s">
        <v>34</v>
      </c>
      <c r="J12" s="2">
        <v>37000</v>
      </c>
      <c r="L12" s="121" t="s">
        <v>388</v>
      </c>
      <c r="M12">
        <f>MAX(J2:J39)</f>
        <v>92000</v>
      </c>
      <c r="O12" s="2">
        <v>37000</v>
      </c>
      <c r="P12" s="5" t="s">
        <v>57</v>
      </c>
    </row>
    <row r="13" spans="2:16" x14ac:dyDescent="0.3">
      <c r="B13" s="4">
        <v>150888</v>
      </c>
      <c r="C13" s="5" t="s">
        <v>59</v>
      </c>
      <c r="D13" s="5" t="s">
        <v>60</v>
      </c>
      <c r="E13" s="6">
        <v>29221</v>
      </c>
      <c r="F13" s="7" t="s">
        <v>32</v>
      </c>
      <c r="G13" s="5" t="s">
        <v>19</v>
      </c>
      <c r="H13" s="5" t="s">
        <v>45</v>
      </c>
      <c r="I13" s="5" t="s">
        <v>52</v>
      </c>
      <c r="J13" s="2">
        <v>43000</v>
      </c>
      <c r="L13" s="121" t="s">
        <v>387</v>
      </c>
      <c r="M13">
        <f>MIN(J2:J39)</f>
        <v>15000</v>
      </c>
      <c r="O13" s="2">
        <v>43000</v>
      </c>
      <c r="P13" s="5" t="s">
        <v>59</v>
      </c>
    </row>
    <row r="14" spans="2:16" x14ac:dyDescent="0.3">
      <c r="B14" s="4">
        <v>150865</v>
      </c>
      <c r="C14" s="5" t="s">
        <v>61</v>
      </c>
      <c r="D14" s="5" t="s">
        <v>60</v>
      </c>
      <c r="E14" s="6">
        <v>31279</v>
      </c>
      <c r="F14" s="7" t="s">
        <v>18</v>
      </c>
      <c r="G14" s="5" t="s">
        <v>19</v>
      </c>
      <c r="H14" s="5" t="s">
        <v>62</v>
      </c>
      <c r="I14" s="5" t="s">
        <v>52</v>
      </c>
      <c r="J14" s="2">
        <v>90000</v>
      </c>
      <c r="O14" s="2">
        <v>90000</v>
      </c>
      <c r="P14" s="5" t="s">
        <v>61</v>
      </c>
    </row>
    <row r="15" spans="2:16" x14ac:dyDescent="0.3">
      <c r="B15" s="4">
        <v>150858</v>
      </c>
      <c r="C15" s="5" t="s">
        <v>63</v>
      </c>
      <c r="D15" s="5" t="s">
        <v>64</v>
      </c>
      <c r="E15" s="6">
        <v>34846</v>
      </c>
      <c r="F15" s="7" t="s">
        <v>32</v>
      </c>
      <c r="G15" s="5" t="s">
        <v>19</v>
      </c>
      <c r="H15" s="5" t="s">
        <v>65</v>
      </c>
      <c r="I15" s="5" t="s">
        <v>52</v>
      </c>
      <c r="J15" s="2">
        <v>34000</v>
      </c>
      <c r="O15" s="2">
        <v>34000</v>
      </c>
      <c r="P15" s="5" t="s">
        <v>63</v>
      </c>
    </row>
    <row r="16" spans="2:16" x14ac:dyDescent="0.3">
      <c r="B16" s="4">
        <v>150930</v>
      </c>
      <c r="C16" s="5" t="s">
        <v>66</v>
      </c>
      <c r="D16" s="5" t="s">
        <v>67</v>
      </c>
      <c r="E16" s="6">
        <v>37027</v>
      </c>
      <c r="F16" s="7" t="s">
        <v>32</v>
      </c>
      <c r="G16" s="5" t="s">
        <v>19</v>
      </c>
      <c r="H16" s="5" t="s">
        <v>26</v>
      </c>
      <c r="I16" s="5" t="s">
        <v>34</v>
      </c>
      <c r="J16" s="2">
        <v>82000</v>
      </c>
      <c r="O16" s="2">
        <v>82000</v>
      </c>
      <c r="P16" s="5" t="s">
        <v>66</v>
      </c>
    </row>
    <row r="17" spans="2:16" x14ac:dyDescent="0.3">
      <c r="B17" s="4">
        <v>150894</v>
      </c>
      <c r="C17" s="5" t="s">
        <v>69</v>
      </c>
      <c r="D17" s="5" t="s">
        <v>70</v>
      </c>
      <c r="E17" s="6">
        <v>37124</v>
      </c>
      <c r="F17" s="7" t="s">
        <v>32</v>
      </c>
      <c r="G17" s="5" t="s">
        <v>19</v>
      </c>
      <c r="H17" s="5" t="s">
        <v>33</v>
      </c>
      <c r="I17" s="5" t="s">
        <v>34</v>
      </c>
      <c r="J17" s="2">
        <v>67000</v>
      </c>
      <c r="O17" s="2">
        <v>67000</v>
      </c>
      <c r="P17" s="5" t="s">
        <v>69</v>
      </c>
    </row>
    <row r="18" spans="2:16" x14ac:dyDescent="0.3">
      <c r="B18" s="4">
        <v>150947</v>
      </c>
      <c r="C18" s="5" t="s">
        <v>71</v>
      </c>
      <c r="D18" s="5" t="s">
        <v>72</v>
      </c>
      <c r="E18" s="6">
        <v>33449</v>
      </c>
      <c r="F18" s="7" t="s">
        <v>18</v>
      </c>
      <c r="G18" s="5" t="s">
        <v>19</v>
      </c>
      <c r="H18" s="5" t="s">
        <v>65</v>
      </c>
      <c r="I18" s="5" t="s">
        <v>34</v>
      </c>
      <c r="J18" s="2">
        <v>85000</v>
      </c>
      <c r="O18" s="2">
        <v>85000</v>
      </c>
      <c r="P18" s="5" t="s">
        <v>71</v>
      </c>
    </row>
    <row r="19" spans="2:16" x14ac:dyDescent="0.3">
      <c r="B19" s="4">
        <v>150905</v>
      </c>
      <c r="C19" s="5" t="s">
        <v>73</v>
      </c>
      <c r="D19" s="5" t="s">
        <v>74</v>
      </c>
      <c r="E19" s="6">
        <v>30819</v>
      </c>
      <c r="F19" s="7" t="s">
        <v>18</v>
      </c>
      <c r="G19" s="5" t="s">
        <v>25</v>
      </c>
      <c r="H19" s="5" t="s">
        <v>20</v>
      </c>
      <c r="I19" s="5" t="s">
        <v>34</v>
      </c>
      <c r="J19" s="2">
        <v>62000</v>
      </c>
      <c r="O19" s="2">
        <v>62000</v>
      </c>
      <c r="P19" s="5" t="s">
        <v>73</v>
      </c>
    </row>
    <row r="20" spans="2:16" x14ac:dyDescent="0.3">
      <c r="B20" s="4">
        <v>150995</v>
      </c>
      <c r="C20" s="5" t="s">
        <v>75</v>
      </c>
      <c r="D20" s="5" t="s">
        <v>76</v>
      </c>
      <c r="E20" s="6">
        <v>35330</v>
      </c>
      <c r="F20" s="7" t="s">
        <v>32</v>
      </c>
      <c r="G20" s="5" t="s">
        <v>19</v>
      </c>
      <c r="H20" s="5" t="s">
        <v>33</v>
      </c>
      <c r="I20" s="5" t="s">
        <v>46</v>
      </c>
      <c r="J20" s="2">
        <v>15000</v>
      </c>
      <c r="O20" s="2">
        <v>15000</v>
      </c>
      <c r="P20" s="5" t="s">
        <v>75</v>
      </c>
    </row>
    <row r="21" spans="2:16" x14ac:dyDescent="0.3">
      <c r="B21" s="4">
        <v>150912</v>
      </c>
      <c r="C21" s="5" t="s">
        <v>77</v>
      </c>
      <c r="D21" s="5" t="s">
        <v>78</v>
      </c>
      <c r="E21" s="6">
        <v>37629</v>
      </c>
      <c r="F21" s="7" t="s">
        <v>18</v>
      </c>
      <c r="G21" s="5" t="s">
        <v>19</v>
      </c>
      <c r="H21" s="5" t="s">
        <v>79</v>
      </c>
      <c r="I21" s="5" t="s">
        <v>34</v>
      </c>
      <c r="J21" s="2">
        <v>81000</v>
      </c>
      <c r="O21" s="2">
        <v>81000</v>
      </c>
      <c r="P21" s="5" t="s">
        <v>77</v>
      </c>
    </row>
    <row r="22" spans="2:16" x14ac:dyDescent="0.3">
      <c r="B22" s="4">
        <v>150921</v>
      </c>
      <c r="C22" s="5" t="s">
        <v>80</v>
      </c>
      <c r="D22" s="5" t="s">
        <v>81</v>
      </c>
      <c r="E22" s="6">
        <v>38092</v>
      </c>
      <c r="F22" s="7" t="s">
        <v>32</v>
      </c>
      <c r="G22" s="5" t="s">
        <v>19</v>
      </c>
      <c r="H22" s="5" t="s">
        <v>82</v>
      </c>
      <c r="I22" s="5" t="s">
        <v>34</v>
      </c>
      <c r="J22" s="2">
        <v>19000</v>
      </c>
      <c r="O22" s="2">
        <v>19000</v>
      </c>
      <c r="P22" s="5" t="s">
        <v>80</v>
      </c>
    </row>
    <row r="23" spans="2:16" x14ac:dyDescent="0.3">
      <c r="B23" s="4">
        <v>150851</v>
      </c>
      <c r="C23" s="5" t="s">
        <v>83</v>
      </c>
      <c r="D23" s="5" t="s">
        <v>84</v>
      </c>
      <c r="E23" s="6">
        <v>29368</v>
      </c>
      <c r="F23" s="7" t="s">
        <v>32</v>
      </c>
      <c r="G23" s="5" t="s">
        <v>25</v>
      </c>
      <c r="H23" s="5" t="s">
        <v>33</v>
      </c>
      <c r="I23" s="5" t="s">
        <v>52</v>
      </c>
      <c r="J23" s="2">
        <v>75000</v>
      </c>
      <c r="O23" s="2">
        <v>75000</v>
      </c>
      <c r="P23" s="5" t="s">
        <v>83</v>
      </c>
    </row>
    <row r="24" spans="2:16" x14ac:dyDescent="0.3">
      <c r="B24" s="4">
        <v>150867</v>
      </c>
      <c r="C24" s="5" t="s">
        <v>85</v>
      </c>
      <c r="D24" s="5" t="s">
        <v>86</v>
      </c>
      <c r="E24" s="6">
        <v>29028</v>
      </c>
      <c r="F24" s="7" t="s">
        <v>18</v>
      </c>
      <c r="G24" s="5" t="s">
        <v>25</v>
      </c>
      <c r="H24" s="5" t="s">
        <v>82</v>
      </c>
      <c r="I24" s="5" t="s">
        <v>52</v>
      </c>
      <c r="J24" s="2">
        <v>49000</v>
      </c>
      <c r="O24" s="2">
        <v>49000</v>
      </c>
      <c r="P24" s="5" t="s">
        <v>85</v>
      </c>
    </row>
    <row r="25" spans="2:16" x14ac:dyDescent="0.3">
      <c r="B25" s="4">
        <v>150899</v>
      </c>
      <c r="C25" s="5" t="s">
        <v>87</v>
      </c>
      <c r="D25" s="5" t="s">
        <v>88</v>
      </c>
      <c r="E25" s="6">
        <v>37400</v>
      </c>
      <c r="F25" s="7" t="s">
        <v>32</v>
      </c>
      <c r="G25" s="5" t="s">
        <v>19</v>
      </c>
      <c r="H25" s="5" t="s">
        <v>65</v>
      </c>
      <c r="I25" s="5" t="s">
        <v>34</v>
      </c>
      <c r="J25" s="2">
        <v>50000</v>
      </c>
      <c r="O25" s="2">
        <v>50000</v>
      </c>
      <c r="P25" s="5" t="s">
        <v>87</v>
      </c>
    </row>
    <row r="26" spans="2:16" x14ac:dyDescent="0.3">
      <c r="B26" s="4">
        <v>150975</v>
      </c>
      <c r="C26" s="5" t="s">
        <v>89</v>
      </c>
      <c r="D26" s="5" t="s">
        <v>90</v>
      </c>
      <c r="E26" s="6">
        <v>31478</v>
      </c>
      <c r="F26" s="7" t="s">
        <v>32</v>
      </c>
      <c r="G26" s="5" t="s">
        <v>19</v>
      </c>
      <c r="H26" s="5" t="s">
        <v>82</v>
      </c>
      <c r="I26" s="5" t="s">
        <v>46</v>
      </c>
      <c r="J26" s="2">
        <v>83000</v>
      </c>
      <c r="O26" s="2">
        <v>83000</v>
      </c>
      <c r="P26" s="5" t="s">
        <v>89</v>
      </c>
    </row>
    <row r="27" spans="2:16" x14ac:dyDescent="0.3">
      <c r="B27" s="4">
        <v>150901</v>
      </c>
      <c r="C27" s="5" t="s">
        <v>91</v>
      </c>
      <c r="D27" s="5" t="s">
        <v>92</v>
      </c>
      <c r="E27" s="6">
        <v>32946</v>
      </c>
      <c r="F27" s="7" t="s">
        <v>18</v>
      </c>
      <c r="G27" s="5" t="s">
        <v>19</v>
      </c>
      <c r="H27" s="5" t="s">
        <v>93</v>
      </c>
      <c r="I27" s="5" t="s">
        <v>34</v>
      </c>
      <c r="J27" s="2">
        <v>53000</v>
      </c>
      <c r="O27" s="2">
        <v>53000</v>
      </c>
      <c r="P27" s="5" t="s">
        <v>91</v>
      </c>
    </row>
    <row r="28" spans="2:16" x14ac:dyDescent="0.3">
      <c r="B28" s="4">
        <v>150968</v>
      </c>
      <c r="C28" s="5" t="s">
        <v>94</v>
      </c>
      <c r="D28" s="5" t="s">
        <v>95</v>
      </c>
      <c r="E28" s="6">
        <v>37208</v>
      </c>
      <c r="F28" s="7" t="s">
        <v>32</v>
      </c>
      <c r="G28" s="5" t="s">
        <v>19</v>
      </c>
      <c r="H28" s="5" t="s">
        <v>79</v>
      </c>
      <c r="I28" s="5" t="s">
        <v>34</v>
      </c>
      <c r="J28" s="2">
        <v>65000</v>
      </c>
      <c r="O28" s="2">
        <v>65000</v>
      </c>
      <c r="P28" s="5" t="s">
        <v>94</v>
      </c>
    </row>
    <row r="29" spans="2:16" x14ac:dyDescent="0.3">
      <c r="B29" s="4">
        <v>150773</v>
      </c>
      <c r="C29" s="5" t="s">
        <v>96</v>
      </c>
      <c r="D29" s="5" t="s">
        <v>97</v>
      </c>
      <c r="E29" s="6">
        <v>26860</v>
      </c>
      <c r="F29" s="7" t="s">
        <v>32</v>
      </c>
      <c r="G29" s="5" t="s">
        <v>19</v>
      </c>
      <c r="H29" s="5" t="s">
        <v>82</v>
      </c>
      <c r="I29" s="5" t="s">
        <v>21</v>
      </c>
      <c r="J29" s="2">
        <v>85000</v>
      </c>
      <c r="O29" s="2">
        <v>85000</v>
      </c>
      <c r="P29" s="5" t="s">
        <v>96</v>
      </c>
    </row>
    <row r="30" spans="2:16" x14ac:dyDescent="0.3">
      <c r="B30" s="4">
        <v>150840</v>
      </c>
      <c r="C30" s="5" t="s">
        <v>66</v>
      </c>
      <c r="D30" s="5" t="s">
        <v>98</v>
      </c>
      <c r="E30" s="6">
        <v>23136</v>
      </c>
      <c r="F30" s="7" t="s">
        <v>18</v>
      </c>
      <c r="G30" s="5" t="s">
        <v>19</v>
      </c>
      <c r="H30" s="5" t="s">
        <v>33</v>
      </c>
      <c r="I30" s="5" t="s">
        <v>52</v>
      </c>
      <c r="J30" s="2">
        <v>20000</v>
      </c>
      <c r="O30" s="2">
        <v>20000</v>
      </c>
      <c r="P30" s="5" t="s">
        <v>66</v>
      </c>
    </row>
    <row r="31" spans="2:16" x14ac:dyDescent="0.3">
      <c r="B31" s="4">
        <v>150850</v>
      </c>
      <c r="C31" s="5" t="s">
        <v>57</v>
      </c>
      <c r="D31" s="5" t="s">
        <v>99</v>
      </c>
      <c r="E31" s="6">
        <v>32027</v>
      </c>
      <c r="F31" s="7" t="s">
        <v>32</v>
      </c>
      <c r="G31" s="5" t="s">
        <v>19</v>
      </c>
      <c r="H31" s="5" t="s">
        <v>65</v>
      </c>
      <c r="I31" s="5" t="s">
        <v>52</v>
      </c>
      <c r="J31" s="2">
        <v>47000</v>
      </c>
      <c r="O31" s="2">
        <v>47000</v>
      </c>
      <c r="P31" s="5" t="s">
        <v>57</v>
      </c>
    </row>
    <row r="32" spans="2:16" x14ac:dyDescent="0.3">
      <c r="B32" s="4">
        <v>150962</v>
      </c>
      <c r="C32" s="5" t="s">
        <v>100</v>
      </c>
      <c r="D32" s="5" t="s">
        <v>101</v>
      </c>
      <c r="E32" s="6">
        <v>37773</v>
      </c>
      <c r="F32" s="7" t="s">
        <v>18</v>
      </c>
      <c r="G32" s="5" t="s">
        <v>19</v>
      </c>
      <c r="H32" s="5" t="s">
        <v>41</v>
      </c>
      <c r="I32" s="5" t="s">
        <v>34</v>
      </c>
      <c r="J32" s="2">
        <v>87000</v>
      </c>
      <c r="O32" s="2">
        <v>87000</v>
      </c>
      <c r="P32" s="5" t="s">
        <v>100</v>
      </c>
    </row>
    <row r="33" spans="2:16" x14ac:dyDescent="0.3">
      <c r="B33" s="4">
        <v>150954</v>
      </c>
      <c r="C33" s="5" t="s">
        <v>102</v>
      </c>
      <c r="D33" s="5" t="s">
        <v>101</v>
      </c>
      <c r="E33" s="6">
        <v>35495</v>
      </c>
      <c r="F33" s="7" t="s">
        <v>18</v>
      </c>
      <c r="G33" s="5" t="s">
        <v>19</v>
      </c>
      <c r="H33" s="5" t="s">
        <v>93</v>
      </c>
      <c r="I33" s="5" t="s">
        <v>34</v>
      </c>
      <c r="J33" s="2">
        <v>57000</v>
      </c>
      <c r="O33" s="2">
        <v>57000</v>
      </c>
      <c r="P33" s="5" t="s">
        <v>102</v>
      </c>
    </row>
    <row r="34" spans="2:16" x14ac:dyDescent="0.3">
      <c r="B34" s="4">
        <v>150874</v>
      </c>
      <c r="C34" s="5" t="s">
        <v>103</v>
      </c>
      <c r="D34" s="5" t="s">
        <v>101</v>
      </c>
      <c r="E34" s="6">
        <v>37890</v>
      </c>
      <c r="F34" s="7" t="s">
        <v>18</v>
      </c>
      <c r="G34" s="5" t="s">
        <v>19</v>
      </c>
      <c r="H34" s="5" t="s">
        <v>38</v>
      </c>
      <c r="I34" s="5" t="s">
        <v>52</v>
      </c>
      <c r="J34" s="2">
        <v>27000</v>
      </c>
      <c r="O34" s="2">
        <v>27000</v>
      </c>
      <c r="P34" s="5" t="s">
        <v>103</v>
      </c>
    </row>
    <row r="35" spans="2:16" x14ac:dyDescent="0.3">
      <c r="B35" s="4">
        <v>150798</v>
      </c>
      <c r="C35" s="5" t="s">
        <v>104</v>
      </c>
      <c r="D35" s="5" t="s">
        <v>101</v>
      </c>
      <c r="E35" s="6">
        <v>28276</v>
      </c>
      <c r="F35" s="7" t="s">
        <v>18</v>
      </c>
      <c r="G35" s="5" t="s">
        <v>19</v>
      </c>
      <c r="H35" s="5" t="s">
        <v>26</v>
      </c>
      <c r="I35" s="5" t="s">
        <v>21</v>
      </c>
      <c r="J35" s="2">
        <v>81000</v>
      </c>
      <c r="O35" s="2">
        <v>81000</v>
      </c>
      <c r="P35" s="5" t="s">
        <v>104</v>
      </c>
    </row>
    <row r="36" spans="2:16" x14ac:dyDescent="0.3">
      <c r="B36" s="4">
        <v>150830</v>
      </c>
      <c r="C36" s="5" t="s">
        <v>105</v>
      </c>
      <c r="D36" s="5" t="s">
        <v>106</v>
      </c>
      <c r="E36" s="6">
        <v>29037</v>
      </c>
      <c r="F36" s="7" t="s">
        <v>18</v>
      </c>
      <c r="G36" s="5" t="s">
        <v>19</v>
      </c>
      <c r="H36" s="5" t="s">
        <v>93</v>
      </c>
      <c r="I36" s="5" t="s">
        <v>21</v>
      </c>
      <c r="J36" s="2">
        <v>52000</v>
      </c>
      <c r="O36" s="2">
        <v>52000</v>
      </c>
      <c r="P36" s="5" t="s">
        <v>105</v>
      </c>
    </row>
    <row r="37" spans="2:16" x14ac:dyDescent="0.3">
      <c r="B37" s="4">
        <v>150929</v>
      </c>
      <c r="C37" s="5" t="s">
        <v>107</v>
      </c>
      <c r="D37" s="5" t="s">
        <v>108</v>
      </c>
      <c r="E37" s="6">
        <v>26739</v>
      </c>
      <c r="F37" s="7" t="s">
        <v>32</v>
      </c>
      <c r="G37" s="5" t="s">
        <v>19</v>
      </c>
      <c r="H37" s="5" t="s">
        <v>38</v>
      </c>
      <c r="I37" s="5" t="s">
        <v>34</v>
      </c>
      <c r="J37" s="2">
        <v>58000</v>
      </c>
      <c r="O37" s="2">
        <v>58000</v>
      </c>
      <c r="P37" s="5" t="s">
        <v>107</v>
      </c>
    </row>
    <row r="38" spans="2:16" x14ac:dyDescent="0.3">
      <c r="B38" s="4">
        <v>150982</v>
      </c>
      <c r="C38" s="5" t="s">
        <v>109</v>
      </c>
      <c r="D38" s="5" t="s">
        <v>110</v>
      </c>
      <c r="E38" s="6">
        <v>35574</v>
      </c>
      <c r="F38" s="7" t="s">
        <v>32</v>
      </c>
      <c r="G38" s="5" t="s">
        <v>19</v>
      </c>
      <c r="H38" s="5" t="s">
        <v>38</v>
      </c>
      <c r="I38" s="5" t="s">
        <v>46</v>
      </c>
      <c r="J38" s="2">
        <v>47000</v>
      </c>
      <c r="O38" s="2">
        <v>47000</v>
      </c>
      <c r="P38" s="5" t="s">
        <v>109</v>
      </c>
    </row>
    <row r="39" spans="2:16" x14ac:dyDescent="0.3">
      <c r="B39" s="4">
        <v>150821</v>
      </c>
      <c r="C39" s="5" t="s">
        <v>111</v>
      </c>
      <c r="D39" s="5" t="s">
        <v>112</v>
      </c>
      <c r="E39" s="6">
        <v>29966</v>
      </c>
      <c r="F39" s="7" t="s">
        <v>32</v>
      </c>
      <c r="G39" s="5" t="s">
        <v>25</v>
      </c>
      <c r="H39" s="5" t="s">
        <v>65</v>
      </c>
      <c r="I39" s="5" t="s">
        <v>21</v>
      </c>
      <c r="J39" s="2">
        <v>26000</v>
      </c>
      <c r="O39" s="2">
        <v>26000</v>
      </c>
      <c r="P39" s="5" t="s">
        <v>111</v>
      </c>
    </row>
    <row r="42" spans="2:16" x14ac:dyDescent="0.3">
      <c r="C42" s="235" t="str">
        <f ca="1">_xlfn.FORMULATEXT(M7)</f>
        <v>=VLOOKUP(M12,$O$2:$P$39,2,FALSE)</v>
      </c>
      <c r="D42" s="235"/>
      <c r="E42" s="235"/>
      <c r="F42" s="235"/>
      <c r="G42" s="235"/>
    </row>
  </sheetData>
  <mergeCells count="2">
    <mergeCell ref="L4:M4"/>
    <mergeCell ref="C42:G4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1617-33DD-4564-B8B4-07315429D63B}">
  <dimension ref="B1:J47"/>
  <sheetViews>
    <sheetView workbookViewId="0">
      <selection activeCell="I7" sqref="I7"/>
    </sheetView>
  </sheetViews>
  <sheetFormatPr defaultColWidth="14.44140625" defaultRowHeight="14.4" x14ac:dyDescent="0.3"/>
  <cols>
    <col min="1" max="1" width="8.6640625" customWidth="1"/>
    <col min="2" max="2" width="7.6640625" bestFit="1" customWidth="1"/>
    <col min="3" max="4" width="14.6640625" bestFit="1" customWidth="1"/>
    <col min="5" max="5" width="10.5546875" bestFit="1" customWidth="1"/>
    <col min="6" max="6" width="7.5546875" bestFit="1" customWidth="1"/>
    <col min="7" max="7" width="9.109375" bestFit="1" customWidth="1"/>
    <col min="8" max="8" width="10.44140625" customWidth="1"/>
    <col min="9" max="9" width="21.33203125" bestFit="1" customWidth="1"/>
    <col min="10" max="10" width="12" customWidth="1"/>
    <col min="11" max="25" width="8.6640625" customWidth="1"/>
  </cols>
  <sheetData>
    <row r="1" spans="2:10" x14ac:dyDescent="0.3">
      <c r="C1" s="226" t="s">
        <v>394</v>
      </c>
      <c r="D1" s="226"/>
      <c r="E1" s="226"/>
      <c r="F1" s="226"/>
      <c r="G1" s="226"/>
      <c r="H1" s="226"/>
      <c r="I1" s="226"/>
    </row>
    <row r="2" spans="2:10" x14ac:dyDescent="0.3">
      <c r="C2" s="226" t="s">
        <v>393</v>
      </c>
      <c r="D2" s="226"/>
      <c r="E2" s="226"/>
      <c r="F2" s="226"/>
      <c r="G2" s="226"/>
      <c r="H2" s="226"/>
      <c r="I2" s="226"/>
    </row>
    <row r="3" spans="2:10" x14ac:dyDescent="0.3">
      <c r="C3" s="226" t="s">
        <v>392</v>
      </c>
      <c r="D3" s="226"/>
      <c r="E3" s="226"/>
      <c r="F3" s="226"/>
      <c r="G3" s="226"/>
      <c r="H3" s="226"/>
      <c r="I3" s="226"/>
    </row>
    <row r="5" spans="2:10" x14ac:dyDescent="0.3">
      <c r="B5" s="74" t="s">
        <v>6</v>
      </c>
      <c r="C5" s="74" t="s">
        <v>7</v>
      </c>
      <c r="D5" s="74" t="s">
        <v>8</v>
      </c>
      <c r="E5" s="74" t="s">
        <v>9</v>
      </c>
      <c r="F5" s="74" t="s">
        <v>10</v>
      </c>
      <c r="G5" s="74" t="s">
        <v>11</v>
      </c>
      <c r="H5" s="127" t="s">
        <v>13</v>
      </c>
      <c r="I5" s="74" t="s">
        <v>12</v>
      </c>
      <c r="J5" s="74" t="s">
        <v>391</v>
      </c>
    </row>
    <row r="6" spans="2:10" x14ac:dyDescent="0.3">
      <c r="B6">
        <v>150834</v>
      </c>
      <c r="C6" s="126" t="s">
        <v>16</v>
      </c>
      <c r="D6" s="126" t="s">
        <v>17</v>
      </c>
      <c r="E6">
        <v>31199</v>
      </c>
      <c r="F6" s="126" t="s">
        <v>18</v>
      </c>
      <c r="G6" s="126" t="s">
        <v>19</v>
      </c>
      <c r="H6" t="str">
        <f>IFERROR(VLOOKUP(B6, source_data, MATCH("Region", 'AS10-Source'!$B$1:$E$1, 0), FALSE), "Retired")</f>
        <v>North</v>
      </c>
      <c r="I6" t="str">
        <f>IFERROR(VLOOKUP(B6, source_data, MATCH("Department", 'AS10-Source'!$B$1:$E$1, 0), FALSE), "Retired")</f>
        <v>FLM</v>
      </c>
      <c r="J6">
        <f>IFERROR(VLOOKUP(B6, source_data, MATCH("Salary", 'AS10-Source'!$B$1:$E$1, 0), FALSE), "Retired")</f>
        <v>48000</v>
      </c>
    </row>
    <row r="7" spans="2:10" x14ac:dyDescent="0.3">
      <c r="B7">
        <v>150784</v>
      </c>
      <c r="C7" s="126" t="s">
        <v>23</v>
      </c>
      <c r="D7" s="126" t="s">
        <v>24</v>
      </c>
      <c r="E7">
        <v>28365</v>
      </c>
      <c r="F7" s="126" t="s">
        <v>18</v>
      </c>
      <c r="G7" s="126" t="s">
        <v>25</v>
      </c>
      <c r="H7" t="str">
        <f>IFERROR(VLOOKUP(B7, source_data, MATCH("Region", 'AS10-Source'!$B$1:$E$1, 0), FALSE), "Retired")</f>
        <v>North</v>
      </c>
      <c r="I7" t="str">
        <f>IFERROR(VLOOKUP(B7, source_data, MATCH("Department", 'AS10-Source'!$B$1:$E$1, 0), FALSE), "Retired")</f>
        <v>Digital Marketing</v>
      </c>
      <c r="J7">
        <f>IFERROR(VLOOKUP(B7, source_data, MATCH("Salary", 'AS10-Source'!$B$1:$E$1, 0), FALSE), "Retired")</f>
        <v>35000</v>
      </c>
    </row>
    <row r="8" spans="2:10" x14ac:dyDescent="0.3">
      <c r="B8">
        <v>150791</v>
      </c>
      <c r="C8" s="126" t="s">
        <v>28</v>
      </c>
      <c r="D8" s="126" t="s">
        <v>29</v>
      </c>
      <c r="E8">
        <v>23346</v>
      </c>
      <c r="F8" s="126" t="s">
        <v>18</v>
      </c>
      <c r="G8" s="126" t="s">
        <v>19</v>
      </c>
      <c r="H8" t="str">
        <f>IFERROR(VLOOKUP(B8, source_data, MATCH("Region", 'AS10-Source'!$B$1:$E$1, 0), FALSE), "Retired")</f>
        <v>North</v>
      </c>
      <c r="I8" t="str">
        <f>IFERROR(VLOOKUP(B8, source_data, MATCH("Department", 'AS10-Source'!$B$1:$E$1, 0), FALSE), "Retired")</f>
        <v>Digital Marketing</v>
      </c>
      <c r="J8">
        <f>IFERROR(VLOOKUP(B8, source_data, MATCH("Salary", 'AS10-Source'!$B$1:$E$1, 0), FALSE), "Retired")</f>
        <v>67000</v>
      </c>
    </row>
    <row r="9" spans="2:10" x14ac:dyDescent="0.3">
      <c r="B9">
        <v>150940</v>
      </c>
      <c r="C9" s="126" t="s">
        <v>30</v>
      </c>
      <c r="D9" s="126" t="s">
        <v>31</v>
      </c>
      <c r="E9">
        <v>26906</v>
      </c>
      <c r="F9" s="126" t="s">
        <v>32</v>
      </c>
      <c r="G9" s="126" t="s">
        <v>25</v>
      </c>
      <c r="H9" t="str">
        <f>IFERROR(VLOOKUP(B9, source_data, MATCH("Region", 'AS10-Source'!$B$1:$E$1, 0), FALSE), "Retired")</f>
        <v>South</v>
      </c>
      <c r="I9" t="str">
        <f>IFERROR(VLOOKUP(B9, source_data, MATCH("Department", 'AS10-Source'!$B$1:$E$1, 0), FALSE), "Retired")</f>
        <v>Inside Sales</v>
      </c>
      <c r="J9">
        <f>IFERROR(VLOOKUP(B9, source_data, MATCH("Salary", 'AS10-Source'!$B$1:$E$1, 0), FALSE), "Retired")</f>
        <v>87000</v>
      </c>
    </row>
    <row r="10" spans="2:10" x14ac:dyDescent="0.3">
      <c r="B10">
        <v>150777</v>
      </c>
      <c r="C10" s="126" t="s">
        <v>36</v>
      </c>
      <c r="D10" s="126" t="s">
        <v>37</v>
      </c>
      <c r="E10">
        <v>21123</v>
      </c>
      <c r="F10" s="126" t="s">
        <v>32</v>
      </c>
      <c r="G10" s="126" t="s">
        <v>19</v>
      </c>
      <c r="H10" t="str">
        <f>IFERROR(VLOOKUP(B10, source_data, MATCH("Region", 'AS10-Source'!$B$1:$E$1, 0), FALSE), "Retired")</f>
        <v>North</v>
      </c>
      <c r="I10" t="str">
        <f>IFERROR(VLOOKUP(B10, source_data, MATCH("Department", 'AS10-Source'!$B$1:$E$1, 0), FALSE), "Retired")</f>
        <v>Marketing</v>
      </c>
      <c r="J10">
        <f>IFERROR(VLOOKUP(B10, source_data, MATCH("Salary", 'AS10-Source'!$B$1:$E$1, 0), FALSE), "Retired")</f>
        <v>22000</v>
      </c>
    </row>
    <row r="11" spans="2:10" x14ac:dyDescent="0.3">
      <c r="B11">
        <v>150805</v>
      </c>
      <c r="C11" s="126" t="s">
        <v>28</v>
      </c>
      <c r="D11" s="126" t="s">
        <v>40</v>
      </c>
      <c r="E11">
        <v>26172</v>
      </c>
      <c r="F11" s="126" t="s">
        <v>32</v>
      </c>
      <c r="G11" s="126" t="s">
        <v>19</v>
      </c>
      <c r="H11" t="str">
        <f>IFERROR(VLOOKUP(B11, source_data, MATCH("Region", 'AS10-Source'!$B$1:$E$1, 0), FALSE), "Retired")</f>
        <v>North</v>
      </c>
      <c r="I11" t="str">
        <f>IFERROR(VLOOKUP(B11, source_data, MATCH("Department", 'AS10-Source'!$B$1:$E$1, 0), FALSE), "Retired")</f>
        <v>Director</v>
      </c>
      <c r="J11">
        <f>IFERROR(VLOOKUP(B11, source_data, MATCH("Salary", 'AS10-Source'!$B$1:$E$1, 0), FALSE), "Retired")</f>
        <v>91000</v>
      </c>
    </row>
    <row r="12" spans="2:10" x14ac:dyDescent="0.3">
      <c r="B12">
        <v>150990</v>
      </c>
      <c r="C12" s="126" t="s">
        <v>43</v>
      </c>
      <c r="D12" s="126" t="s">
        <v>44</v>
      </c>
      <c r="E12">
        <v>36400</v>
      </c>
      <c r="F12" s="126" t="s">
        <v>32</v>
      </c>
      <c r="G12" s="126" t="s">
        <v>19</v>
      </c>
      <c r="H12" t="str">
        <f>IFERROR(VLOOKUP(B12, source_data, MATCH("Region", 'AS10-Source'!$B$1:$E$1, 0), FALSE), "Retired")</f>
        <v>Mid West</v>
      </c>
      <c r="I12" t="str">
        <f>IFERROR(VLOOKUP(B12, source_data, MATCH("Department", 'AS10-Source'!$B$1:$E$1, 0), FALSE), "Retired")</f>
        <v>Learning &amp; Development</v>
      </c>
      <c r="J12">
        <f>IFERROR(VLOOKUP(B12, source_data, MATCH("Salary", 'AS10-Source'!$B$1:$E$1, 0), FALSE), "Retired")</f>
        <v>77000</v>
      </c>
    </row>
    <row r="13" spans="2:10" x14ac:dyDescent="0.3">
      <c r="B13">
        <v>150989</v>
      </c>
      <c r="C13" s="126" t="s">
        <v>48</v>
      </c>
      <c r="D13" s="126" t="s">
        <v>44</v>
      </c>
      <c r="E13">
        <v>33113</v>
      </c>
      <c r="F13" s="126" t="s">
        <v>32</v>
      </c>
      <c r="G13" s="126" t="s">
        <v>19</v>
      </c>
      <c r="H13" t="str">
        <f>IFERROR(VLOOKUP(B13, source_data, MATCH("Region", 'AS10-Source'!$B$1:$E$1, 0), FALSE), "Retired")</f>
        <v>Mid West</v>
      </c>
      <c r="I13" t="str">
        <f>IFERROR(VLOOKUP(B13, source_data, MATCH("Department", 'AS10-Source'!$B$1:$E$1, 0), FALSE), "Retired")</f>
        <v>Digital Marketing</v>
      </c>
      <c r="J13">
        <f>IFERROR(VLOOKUP(B13, source_data, MATCH("Salary", 'AS10-Source'!$B$1:$E$1, 0), FALSE), "Retired")</f>
        <v>45000</v>
      </c>
    </row>
    <row r="14" spans="2:10" x14ac:dyDescent="0.3">
      <c r="B14">
        <v>150881</v>
      </c>
      <c r="C14" s="126" t="s">
        <v>50</v>
      </c>
      <c r="D14" s="126" t="s">
        <v>51</v>
      </c>
      <c r="E14">
        <v>30337</v>
      </c>
      <c r="F14" s="126" t="s">
        <v>32</v>
      </c>
      <c r="G14" s="126" t="s">
        <v>25</v>
      </c>
      <c r="H14" t="str">
        <f>IFERROR(VLOOKUP(B14, source_data, MATCH("Region", 'AS10-Source'!$B$1:$E$1, 0), FALSE), "Retired")</f>
        <v>East</v>
      </c>
      <c r="I14" t="str">
        <f>IFERROR(VLOOKUP(B14, source_data, MATCH("Department", 'AS10-Source'!$B$1:$E$1, 0), FALSE), "Retired")</f>
        <v>Digital Marketing</v>
      </c>
      <c r="J14">
        <f>IFERROR(VLOOKUP(B14, source_data, MATCH("Salary", 'AS10-Source'!$B$1:$E$1, 0), FALSE), "Retired")</f>
        <v>92000</v>
      </c>
    </row>
    <row r="15" spans="2:10" x14ac:dyDescent="0.3">
      <c r="B15">
        <v>150814</v>
      </c>
      <c r="C15" s="126" t="s">
        <v>54</v>
      </c>
      <c r="D15" s="126" t="s">
        <v>55</v>
      </c>
      <c r="E15">
        <v>26246</v>
      </c>
      <c r="F15" s="126" t="s">
        <v>32</v>
      </c>
      <c r="G15" s="126" t="s">
        <v>19</v>
      </c>
      <c r="H15" t="str">
        <f>IFERROR(VLOOKUP(B15, source_data, MATCH("Region", 'AS10-Source'!$B$1:$E$1, 0), FALSE), "Retired")</f>
        <v>North</v>
      </c>
      <c r="I15" t="str">
        <f>IFERROR(VLOOKUP(B15, source_data, MATCH("Department", 'AS10-Source'!$B$1:$E$1, 0), FALSE), "Retired")</f>
        <v>Inside Sales</v>
      </c>
      <c r="J15">
        <f>IFERROR(VLOOKUP(B15, source_data, MATCH("Salary", 'AS10-Source'!$B$1:$E$1, 0), FALSE), "Retired")</f>
        <v>50000</v>
      </c>
    </row>
    <row r="16" spans="2:10" x14ac:dyDescent="0.3">
      <c r="B16">
        <v>150937</v>
      </c>
      <c r="C16" s="126" t="s">
        <v>57</v>
      </c>
      <c r="D16" s="126" t="s">
        <v>58</v>
      </c>
      <c r="E16">
        <v>24700</v>
      </c>
      <c r="F16" s="126" t="s">
        <v>32</v>
      </c>
      <c r="G16" s="126" t="s">
        <v>19</v>
      </c>
      <c r="H16" t="str">
        <f>IFERROR(VLOOKUP(B16, source_data, MATCH("Region", 'AS10-Source'!$B$1:$E$1, 0), FALSE), "Retired")</f>
        <v>South</v>
      </c>
      <c r="I16" t="str">
        <f>IFERROR(VLOOKUP(B16, source_data, MATCH("Department", 'AS10-Source'!$B$1:$E$1, 0), FALSE), "Retired")</f>
        <v>Learning &amp; Development</v>
      </c>
      <c r="J16">
        <f>IFERROR(VLOOKUP(B16, source_data, MATCH("Salary", 'AS10-Source'!$B$1:$E$1, 0), FALSE), "Retired")</f>
        <v>37000</v>
      </c>
    </row>
    <row r="17" spans="2:10" x14ac:dyDescent="0.3">
      <c r="B17">
        <v>150888</v>
      </c>
      <c r="C17" s="126" t="s">
        <v>59</v>
      </c>
      <c r="D17" s="126" t="s">
        <v>60</v>
      </c>
      <c r="E17">
        <v>29221</v>
      </c>
      <c r="F17" s="126" t="s">
        <v>32</v>
      </c>
      <c r="G17" s="126" t="s">
        <v>19</v>
      </c>
      <c r="H17" t="str">
        <f>IFERROR(VLOOKUP(B17, source_data, MATCH("Region", 'AS10-Source'!$B$1:$E$1, 0), FALSE), "Retired")</f>
        <v>East</v>
      </c>
      <c r="I17" t="str">
        <f>IFERROR(VLOOKUP(B17, source_data, MATCH("Department", 'AS10-Source'!$B$1:$E$1, 0), FALSE), "Retired")</f>
        <v>Learning &amp; Development</v>
      </c>
      <c r="J17">
        <f>IFERROR(VLOOKUP(B17, source_data, MATCH("Salary", 'AS10-Source'!$B$1:$E$1, 0), FALSE), "Retired")</f>
        <v>43000</v>
      </c>
    </row>
    <row r="18" spans="2:10" x14ac:dyDescent="0.3">
      <c r="B18">
        <v>150865</v>
      </c>
      <c r="C18" s="126" t="s">
        <v>61</v>
      </c>
      <c r="D18" s="126" t="s">
        <v>60</v>
      </c>
      <c r="E18">
        <v>31279</v>
      </c>
      <c r="F18" s="126" t="s">
        <v>18</v>
      </c>
      <c r="G18" s="126" t="s">
        <v>19</v>
      </c>
      <c r="H18" t="str">
        <f>IFERROR(VLOOKUP(B18, source_data, MATCH("Region", 'AS10-Source'!$B$1:$E$1, 0), FALSE), "Retired")</f>
        <v>East</v>
      </c>
      <c r="I18" t="str">
        <f>IFERROR(VLOOKUP(B18, source_data, MATCH("Department", 'AS10-Source'!$B$1:$E$1, 0), FALSE), "Retired")</f>
        <v>CEO</v>
      </c>
      <c r="J18">
        <f>IFERROR(VLOOKUP(B18, source_data, MATCH("Salary", 'AS10-Source'!$B$1:$E$1, 0), FALSE), "Retired")</f>
        <v>90000</v>
      </c>
    </row>
    <row r="19" spans="2:10" x14ac:dyDescent="0.3">
      <c r="B19">
        <v>150858</v>
      </c>
      <c r="C19" s="126" t="s">
        <v>63</v>
      </c>
      <c r="D19" s="126" t="s">
        <v>64</v>
      </c>
      <c r="E19">
        <v>34846</v>
      </c>
      <c r="F19" s="126" t="s">
        <v>32</v>
      </c>
      <c r="G19" s="126" t="s">
        <v>19</v>
      </c>
      <c r="H19" t="str">
        <f>IFERROR(VLOOKUP(B19, source_data, MATCH("Region", 'AS10-Source'!$B$1:$E$1, 0), FALSE), "Retired")</f>
        <v>Retired</v>
      </c>
      <c r="I19" t="str">
        <f>IFERROR(VLOOKUP(B19, source_data, MATCH("Department", 'AS10-Source'!$B$1:$E$1, 0), FALSE), "Retired")</f>
        <v>Retired</v>
      </c>
      <c r="J19" t="str">
        <f>IFERROR(VLOOKUP(B19, source_data, MATCH("Salary", 'AS10-Source'!$B$1:$E$1, 0), FALSE), "Retired")</f>
        <v>Retired</v>
      </c>
    </row>
    <row r="20" spans="2:10" x14ac:dyDescent="0.3">
      <c r="B20">
        <v>150930</v>
      </c>
      <c r="C20" s="126" t="s">
        <v>66</v>
      </c>
      <c r="D20" s="126" t="s">
        <v>67</v>
      </c>
      <c r="E20">
        <v>37027</v>
      </c>
      <c r="F20" s="126" t="s">
        <v>32</v>
      </c>
      <c r="G20" s="126" t="s">
        <v>19</v>
      </c>
      <c r="H20" t="str">
        <f>IFERROR(VLOOKUP(B20, source_data, MATCH("Region", 'AS10-Source'!$B$1:$E$1, 0), FALSE), "Retired")</f>
        <v>South</v>
      </c>
      <c r="I20" t="str">
        <f>IFERROR(VLOOKUP(B20, source_data, MATCH("Department", 'AS10-Source'!$B$1:$E$1, 0), FALSE), "Retired")</f>
        <v>Digital Marketing</v>
      </c>
      <c r="J20">
        <f>IFERROR(VLOOKUP(B20, source_data, MATCH("Salary", 'AS10-Source'!$B$1:$E$1, 0), FALSE), "Retired")</f>
        <v>82000</v>
      </c>
    </row>
    <row r="21" spans="2:10" x14ac:dyDescent="0.3">
      <c r="B21">
        <v>150894</v>
      </c>
      <c r="C21" s="126" t="s">
        <v>69</v>
      </c>
      <c r="D21" s="126" t="s">
        <v>70</v>
      </c>
      <c r="E21">
        <v>37124</v>
      </c>
      <c r="F21" s="126" t="s">
        <v>32</v>
      </c>
      <c r="G21" s="126" t="s">
        <v>19</v>
      </c>
      <c r="H21" t="str">
        <f>IFERROR(VLOOKUP(B21, source_data, MATCH("Region", 'AS10-Source'!$B$1:$E$1, 0), FALSE), "Retired")</f>
        <v>South</v>
      </c>
      <c r="I21" t="str">
        <f>IFERROR(VLOOKUP(B21, source_data, MATCH("Department", 'AS10-Source'!$B$1:$E$1, 0), FALSE), "Retired")</f>
        <v>Inside Sales</v>
      </c>
      <c r="J21">
        <f>IFERROR(VLOOKUP(B21, source_data, MATCH("Salary", 'AS10-Source'!$B$1:$E$1, 0), FALSE), "Retired")</f>
        <v>67000</v>
      </c>
    </row>
    <row r="22" spans="2:10" x14ac:dyDescent="0.3">
      <c r="B22">
        <v>150947</v>
      </c>
      <c r="C22" s="126" t="s">
        <v>71</v>
      </c>
      <c r="D22" s="126" t="s">
        <v>72</v>
      </c>
      <c r="E22">
        <v>33449</v>
      </c>
      <c r="F22" s="126" t="s">
        <v>18</v>
      </c>
      <c r="G22" s="126" t="s">
        <v>19</v>
      </c>
      <c r="H22" t="str">
        <f>IFERROR(VLOOKUP(B22, source_data, MATCH("Region", 'AS10-Source'!$B$1:$E$1, 0), FALSE), "Retired")</f>
        <v>South</v>
      </c>
      <c r="I22" t="str">
        <f>IFERROR(VLOOKUP(B22, source_data, MATCH("Department", 'AS10-Source'!$B$1:$E$1, 0), FALSE), "Retired")</f>
        <v>CCD</v>
      </c>
      <c r="J22">
        <f>IFERROR(VLOOKUP(B22, source_data, MATCH("Salary", 'AS10-Source'!$B$1:$E$1, 0), FALSE), "Retired")</f>
        <v>85000</v>
      </c>
    </row>
    <row r="23" spans="2:10" x14ac:dyDescent="0.3">
      <c r="B23">
        <v>150905</v>
      </c>
      <c r="C23" s="126" t="s">
        <v>73</v>
      </c>
      <c r="D23" s="126" t="s">
        <v>74</v>
      </c>
      <c r="E23">
        <v>30819</v>
      </c>
      <c r="F23" s="126" t="s">
        <v>18</v>
      </c>
      <c r="G23" s="126" t="s">
        <v>25</v>
      </c>
      <c r="H23" t="str">
        <f>IFERROR(VLOOKUP(B23, source_data, MATCH("Region", 'AS10-Source'!$B$1:$E$1, 0), FALSE), "Retired")</f>
        <v>South</v>
      </c>
      <c r="I23" t="str">
        <f>IFERROR(VLOOKUP(B23, source_data, MATCH("Department", 'AS10-Source'!$B$1:$E$1, 0), FALSE), "Retired")</f>
        <v>FLM</v>
      </c>
      <c r="J23">
        <f>IFERROR(VLOOKUP(B23, source_data, MATCH("Salary", 'AS10-Source'!$B$1:$E$1, 0), FALSE), "Retired")</f>
        <v>62000</v>
      </c>
    </row>
    <row r="24" spans="2:10" x14ac:dyDescent="0.3">
      <c r="B24">
        <v>150995</v>
      </c>
      <c r="C24" s="126" t="s">
        <v>75</v>
      </c>
      <c r="D24" s="126" t="s">
        <v>76</v>
      </c>
      <c r="E24">
        <v>35330</v>
      </c>
      <c r="F24" s="126" t="s">
        <v>32</v>
      </c>
      <c r="G24" s="126" t="s">
        <v>19</v>
      </c>
      <c r="H24" t="str">
        <f>IFERROR(VLOOKUP(B24, source_data, MATCH("Region", 'AS10-Source'!$B$1:$E$1, 0), FALSE), "Retired")</f>
        <v>Mid West</v>
      </c>
      <c r="I24" t="str">
        <f>IFERROR(VLOOKUP(B24, source_data, MATCH("Department", 'AS10-Source'!$B$1:$E$1, 0), FALSE), "Retired")</f>
        <v>Inside Sales</v>
      </c>
      <c r="J24">
        <f>IFERROR(VLOOKUP(B24, source_data, MATCH("Salary", 'AS10-Source'!$B$1:$E$1, 0), FALSE), "Retired")</f>
        <v>15000</v>
      </c>
    </row>
    <row r="25" spans="2:10" x14ac:dyDescent="0.3">
      <c r="B25">
        <v>150912</v>
      </c>
      <c r="C25" s="126" t="s">
        <v>77</v>
      </c>
      <c r="D25" s="126" t="s">
        <v>78</v>
      </c>
      <c r="E25">
        <v>37629</v>
      </c>
      <c r="F25" s="126" t="s">
        <v>18</v>
      </c>
      <c r="G25" s="126" t="s">
        <v>19</v>
      </c>
      <c r="H25" t="str">
        <f>IFERROR(VLOOKUP(B25, source_data, MATCH("Region", 'AS10-Source'!$B$1:$E$1, 0), FALSE), "Retired")</f>
        <v>South</v>
      </c>
      <c r="I25" t="str">
        <f>IFERROR(VLOOKUP(B25, source_data, MATCH("Department", 'AS10-Source'!$B$1:$E$1, 0), FALSE), "Retired")</f>
        <v>Operations</v>
      </c>
      <c r="J25">
        <f>IFERROR(VLOOKUP(B25, source_data, MATCH("Salary", 'AS10-Source'!$B$1:$E$1, 0), FALSE), "Retired")</f>
        <v>81000</v>
      </c>
    </row>
    <row r="26" spans="2:10" x14ac:dyDescent="0.3">
      <c r="B26">
        <v>150921</v>
      </c>
      <c r="C26" s="126" t="s">
        <v>80</v>
      </c>
      <c r="D26" s="126" t="s">
        <v>81</v>
      </c>
      <c r="E26">
        <v>38092</v>
      </c>
      <c r="F26" s="126" t="s">
        <v>32</v>
      </c>
      <c r="G26" s="126" t="s">
        <v>19</v>
      </c>
      <c r="H26" t="str">
        <f>IFERROR(VLOOKUP(B26, source_data, MATCH("Region", 'AS10-Source'!$B$1:$E$1, 0), FALSE), "Retired")</f>
        <v>South</v>
      </c>
      <c r="I26" t="str">
        <f>IFERROR(VLOOKUP(B26, source_data, MATCH("Department", 'AS10-Source'!$B$1:$E$1, 0), FALSE), "Retired")</f>
        <v>Finance</v>
      </c>
      <c r="J26">
        <f>IFERROR(VLOOKUP(B26, source_data, MATCH("Salary", 'AS10-Source'!$B$1:$E$1, 0), FALSE), "Retired")</f>
        <v>19000</v>
      </c>
    </row>
    <row r="27" spans="2:10" x14ac:dyDescent="0.3">
      <c r="B27">
        <v>150851</v>
      </c>
      <c r="C27" s="126" t="s">
        <v>83</v>
      </c>
      <c r="D27" s="126" t="s">
        <v>84</v>
      </c>
      <c r="E27">
        <v>29368</v>
      </c>
      <c r="F27" s="126" t="s">
        <v>32</v>
      </c>
      <c r="G27" s="126" t="s">
        <v>25</v>
      </c>
      <c r="H27" t="str">
        <f>IFERROR(VLOOKUP(B27, source_data, MATCH("Region", 'AS10-Source'!$B$1:$E$1, 0), FALSE), "Retired")</f>
        <v>East</v>
      </c>
      <c r="I27" t="str">
        <f>IFERROR(VLOOKUP(B27, source_data, MATCH("Department", 'AS10-Source'!$B$1:$E$1, 0), FALSE), "Retired")</f>
        <v>Inside Sales</v>
      </c>
      <c r="J27">
        <f>IFERROR(VLOOKUP(B27, source_data, MATCH("Salary", 'AS10-Source'!$B$1:$E$1, 0), FALSE), "Retired")</f>
        <v>75000</v>
      </c>
    </row>
    <row r="28" spans="2:10" x14ac:dyDescent="0.3">
      <c r="B28">
        <v>150867</v>
      </c>
      <c r="C28" s="126" t="s">
        <v>85</v>
      </c>
      <c r="D28" s="126" t="s">
        <v>86</v>
      </c>
      <c r="E28">
        <v>29028</v>
      </c>
      <c r="F28" s="126" t="s">
        <v>18</v>
      </c>
      <c r="G28" s="126" t="s">
        <v>25</v>
      </c>
      <c r="H28" t="str">
        <f>IFERROR(VLOOKUP(B28, source_data, MATCH("Region", 'AS10-Source'!$B$1:$E$1, 0), FALSE), "Retired")</f>
        <v>East</v>
      </c>
      <c r="I28" t="str">
        <f>IFERROR(VLOOKUP(B28, source_data, MATCH("Department", 'AS10-Source'!$B$1:$E$1, 0), FALSE), "Retired")</f>
        <v>Finance</v>
      </c>
      <c r="J28">
        <f>IFERROR(VLOOKUP(B28, source_data, MATCH("Salary", 'AS10-Source'!$B$1:$E$1, 0), FALSE), "Retired")</f>
        <v>49000</v>
      </c>
    </row>
    <row r="29" spans="2:10" x14ac:dyDescent="0.3">
      <c r="B29">
        <v>150899</v>
      </c>
      <c r="C29" s="126" t="s">
        <v>87</v>
      </c>
      <c r="D29" s="126" t="s">
        <v>88</v>
      </c>
      <c r="E29">
        <v>37400</v>
      </c>
      <c r="F29" s="126" t="s">
        <v>32</v>
      </c>
      <c r="G29" s="126" t="s">
        <v>19</v>
      </c>
      <c r="H29" t="str">
        <f>IFERROR(VLOOKUP(B29, source_data, MATCH("Region", 'AS10-Source'!$B$1:$E$1, 0), FALSE), "Retired")</f>
        <v>Retired</v>
      </c>
      <c r="I29" t="str">
        <f>IFERROR(VLOOKUP(B29, source_data, MATCH("Department", 'AS10-Source'!$B$1:$E$1, 0), FALSE), "Retired")</f>
        <v>Retired</v>
      </c>
      <c r="J29" t="str">
        <f>IFERROR(VLOOKUP(B29, source_data, MATCH("Salary", 'AS10-Source'!$B$1:$E$1, 0), FALSE), "Retired")</f>
        <v>Retired</v>
      </c>
    </row>
    <row r="30" spans="2:10" x14ac:dyDescent="0.3">
      <c r="B30">
        <v>150975</v>
      </c>
      <c r="C30" s="126" t="s">
        <v>89</v>
      </c>
      <c r="D30" s="126" t="s">
        <v>90</v>
      </c>
      <c r="E30">
        <v>31478</v>
      </c>
      <c r="F30" s="126" t="s">
        <v>32</v>
      </c>
      <c r="G30" s="126" t="s">
        <v>19</v>
      </c>
      <c r="H30" t="str">
        <f>IFERROR(VLOOKUP(B30, source_data, MATCH("Region", 'AS10-Source'!$B$1:$E$1, 0), FALSE), "Retired")</f>
        <v>Mid West</v>
      </c>
      <c r="I30" t="str">
        <f>IFERROR(VLOOKUP(B30, source_data, MATCH("Department", 'AS10-Source'!$B$1:$E$1, 0), FALSE), "Retired")</f>
        <v>Finance</v>
      </c>
      <c r="J30">
        <f>IFERROR(VLOOKUP(B30, source_data, MATCH("Salary", 'AS10-Source'!$B$1:$E$1, 0), FALSE), "Retired")</f>
        <v>83000</v>
      </c>
    </row>
    <row r="31" spans="2:10" x14ac:dyDescent="0.3">
      <c r="B31">
        <v>150901</v>
      </c>
      <c r="C31" s="126" t="s">
        <v>91</v>
      </c>
      <c r="D31" s="126" t="s">
        <v>92</v>
      </c>
      <c r="E31">
        <v>32946</v>
      </c>
      <c r="F31" s="126" t="s">
        <v>18</v>
      </c>
      <c r="G31" s="126" t="s">
        <v>19</v>
      </c>
      <c r="H31" t="str">
        <f>IFERROR(VLOOKUP(B31, source_data, MATCH("Region", 'AS10-Source'!$B$1:$E$1, 0), FALSE), "Retired")</f>
        <v>South</v>
      </c>
      <c r="I31" t="str">
        <f>IFERROR(VLOOKUP(B31, source_data, MATCH("Department", 'AS10-Source'!$B$1:$E$1, 0), FALSE), "Retired")</f>
        <v>Sales</v>
      </c>
      <c r="J31">
        <f>IFERROR(VLOOKUP(B31, source_data, MATCH("Salary", 'AS10-Source'!$B$1:$E$1, 0), FALSE), "Retired")</f>
        <v>53000</v>
      </c>
    </row>
    <row r="32" spans="2:10" x14ac:dyDescent="0.3">
      <c r="B32">
        <v>150968</v>
      </c>
      <c r="C32" s="126" t="s">
        <v>94</v>
      </c>
      <c r="D32" s="126" t="s">
        <v>95</v>
      </c>
      <c r="E32">
        <v>37208</v>
      </c>
      <c r="F32" s="126" t="s">
        <v>32</v>
      </c>
      <c r="G32" s="126" t="s">
        <v>19</v>
      </c>
      <c r="H32" t="str">
        <f>IFERROR(VLOOKUP(B32, source_data, MATCH("Region", 'AS10-Source'!$B$1:$E$1, 0), FALSE), "Retired")</f>
        <v>South</v>
      </c>
      <c r="I32" t="str">
        <f>IFERROR(VLOOKUP(B32, source_data, MATCH("Department", 'AS10-Source'!$B$1:$E$1, 0), FALSE), "Retired")</f>
        <v>Operations</v>
      </c>
      <c r="J32">
        <f>IFERROR(VLOOKUP(B32, source_data, MATCH("Salary", 'AS10-Source'!$B$1:$E$1, 0), FALSE), "Retired")</f>
        <v>65000</v>
      </c>
    </row>
    <row r="33" spans="2:10" x14ac:dyDescent="0.3">
      <c r="B33">
        <v>150773</v>
      </c>
      <c r="C33" s="126" t="s">
        <v>96</v>
      </c>
      <c r="D33" s="126" t="s">
        <v>97</v>
      </c>
      <c r="E33">
        <v>26860</v>
      </c>
      <c r="F33" s="126" t="s">
        <v>32</v>
      </c>
      <c r="G33" s="126" t="s">
        <v>19</v>
      </c>
      <c r="H33" t="str">
        <f>IFERROR(VLOOKUP(B33, source_data, MATCH("Region", 'AS10-Source'!$B$1:$E$1, 0), FALSE), "Retired")</f>
        <v>North</v>
      </c>
      <c r="I33" t="str">
        <f>IFERROR(VLOOKUP(B33, source_data, MATCH("Department", 'AS10-Source'!$B$1:$E$1, 0), FALSE), "Retired")</f>
        <v>Finance</v>
      </c>
      <c r="J33">
        <f>IFERROR(VLOOKUP(B33, source_data, MATCH("Salary", 'AS10-Source'!$B$1:$E$1, 0), FALSE), "Retired")</f>
        <v>85000</v>
      </c>
    </row>
    <row r="34" spans="2:10" x14ac:dyDescent="0.3">
      <c r="B34">
        <v>150840</v>
      </c>
      <c r="C34" s="126" t="s">
        <v>66</v>
      </c>
      <c r="D34" s="126" t="s">
        <v>98</v>
      </c>
      <c r="E34">
        <v>23136</v>
      </c>
      <c r="F34" s="126" t="s">
        <v>18</v>
      </c>
      <c r="G34" s="126" t="s">
        <v>19</v>
      </c>
      <c r="H34" t="str">
        <f>IFERROR(VLOOKUP(B34, source_data, MATCH("Region", 'AS10-Source'!$B$1:$E$1, 0), FALSE), "Retired")</f>
        <v>East</v>
      </c>
      <c r="I34" t="str">
        <f>IFERROR(VLOOKUP(B34, source_data, MATCH("Department", 'AS10-Source'!$B$1:$E$1, 0), FALSE), "Retired")</f>
        <v>Inside Sales</v>
      </c>
      <c r="J34">
        <f>IFERROR(VLOOKUP(B34, source_data, MATCH("Salary", 'AS10-Source'!$B$1:$E$1, 0), FALSE), "Retired")</f>
        <v>20000</v>
      </c>
    </row>
    <row r="35" spans="2:10" x14ac:dyDescent="0.3">
      <c r="B35">
        <v>150850</v>
      </c>
      <c r="C35" s="126" t="s">
        <v>57</v>
      </c>
      <c r="D35" s="126" t="s">
        <v>99</v>
      </c>
      <c r="E35">
        <v>32027</v>
      </c>
      <c r="F35" s="126" t="s">
        <v>32</v>
      </c>
      <c r="G35" s="126" t="s">
        <v>19</v>
      </c>
      <c r="H35" t="str">
        <f>IFERROR(VLOOKUP(B35, source_data, MATCH("Region", 'AS10-Source'!$B$1:$E$1, 0), FALSE), "Retired")</f>
        <v>East</v>
      </c>
      <c r="I35" t="str">
        <f>IFERROR(VLOOKUP(B35, source_data, MATCH("Department", 'AS10-Source'!$B$1:$E$1, 0), FALSE), "Retired")</f>
        <v>CCD</v>
      </c>
      <c r="J35">
        <f>IFERROR(VLOOKUP(B35, source_data, MATCH("Salary", 'AS10-Source'!$B$1:$E$1, 0), FALSE), "Retired")</f>
        <v>47000</v>
      </c>
    </row>
    <row r="36" spans="2:10" x14ac:dyDescent="0.3">
      <c r="B36">
        <v>150962</v>
      </c>
      <c r="C36" s="126" t="s">
        <v>100</v>
      </c>
      <c r="D36" s="126" t="s">
        <v>101</v>
      </c>
      <c r="E36">
        <v>37773</v>
      </c>
      <c r="F36" s="126" t="s">
        <v>18</v>
      </c>
      <c r="G36" s="126" t="s">
        <v>19</v>
      </c>
      <c r="H36" t="str">
        <f>IFERROR(VLOOKUP(B36, source_data, MATCH("Region", 'AS10-Source'!$B$1:$E$1, 0), FALSE), "Retired")</f>
        <v>South</v>
      </c>
      <c r="I36" t="str">
        <f>IFERROR(VLOOKUP(B36, source_data, MATCH("Department", 'AS10-Source'!$B$1:$E$1, 0), FALSE), "Retired")</f>
        <v>Director</v>
      </c>
      <c r="J36">
        <f>IFERROR(VLOOKUP(B36, source_data, MATCH("Salary", 'AS10-Source'!$B$1:$E$1, 0), FALSE), "Retired")</f>
        <v>87000</v>
      </c>
    </row>
    <row r="37" spans="2:10" x14ac:dyDescent="0.3">
      <c r="B37">
        <v>150954</v>
      </c>
      <c r="C37" s="126" t="s">
        <v>102</v>
      </c>
      <c r="D37" s="126" t="s">
        <v>101</v>
      </c>
      <c r="E37">
        <v>35495</v>
      </c>
      <c r="F37" s="126" t="s">
        <v>18</v>
      </c>
      <c r="G37" s="126" t="s">
        <v>19</v>
      </c>
      <c r="H37" t="str">
        <f>IFERROR(VLOOKUP(B37, source_data, MATCH("Region", 'AS10-Source'!$B$1:$E$1, 0), FALSE), "Retired")</f>
        <v>Retired</v>
      </c>
      <c r="I37" t="str">
        <f>IFERROR(VLOOKUP(B37, source_data, MATCH("Department", 'AS10-Source'!$B$1:$E$1, 0), FALSE), "Retired")</f>
        <v>Retired</v>
      </c>
      <c r="J37" t="str">
        <f>IFERROR(VLOOKUP(B37, source_data, MATCH("Salary", 'AS10-Source'!$B$1:$E$1, 0), FALSE), "Retired")</f>
        <v>Retired</v>
      </c>
    </row>
    <row r="38" spans="2:10" x14ac:dyDescent="0.3">
      <c r="B38">
        <v>150874</v>
      </c>
      <c r="C38" s="126" t="s">
        <v>103</v>
      </c>
      <c r="D38" s="126" t="s">
        <v>101</v>
      </c>
      <c r="E38">
        <v>37890</v>
      </c>
      <c r="F38" s="126" t="s">
        <v>18</v>
      </c>
      <c r="G38" s="126" t="s">
        <v>19</v>
      </c>
      <c r="H38" t="str">
        <f>IFERROR(VLOOKUP(B38, source_data, MATCH("Region", 'AS10-Source'!$B$1:$E$1, 0), FALSE), "Retired")</f>
        <v>East</v>
      </c>
      <c r="I38" t="str">
        <f>IFERROR(VLOOKUP(B38, source_data, MATCH("Department", 'AS10-Source'!$B$1:$E$1, 0), FALSE), "Retired")</f>
        <v>Marketing</v>
      </c>
      <c r="J38">
        <f>IFERROR(VLOOKUP(B38, source_data, MATCH("Salary", 'AS10-Source'!$B$1:$E$1, 0), FALSE), "Retired")</f>
        <v>27000</v>
      </c>
    </row>
    <row r="39" spans="2:10" x14ac:dyDescent="0.3">
      <c r="B39">
        <v>150798</v>
      </c>
      <c r="C39" s="126" t="s">
        <v>104</v>
      </c>
      <c r="D39" s="126" t="s">
        <v>101</v>
      </c>
      <c r="E39">
        <v>28276</v>
      </c>
      <c r="F39" s="126" t="s">
        <v>18</v>
      </c>
      <c r="G39" s="126" t="s">
        <v>19</v>
      </c>
      <c r="H39" t="str">
        <f>IFERROR(VLOOKUP(B39, source_data, MATCH("Region", 'AS10-Source'!$B$1:$E$1, 0), FALSE), "Retired")</f>
        <v>North</v>
      </c>
      <c r="I39" t="str">
        <f>IFERROR(VLOOKUP(B39, source_data, MATCH("Department", 'AS10-Source'!$B$1:$E$1, 0), FALSE), "Retired")</f>
        <v>Digital Marketing</v>
      </c>
      <c r="J39">
        <f>IFERROR(VLOOKUP(B39, source_data, MATCH("Salary", 'AS10-Source'!$B$1:$E$1, 0), FALSE), "Retired")</f>
        <v>81000</v>
      </c>
    </row>
    <row r="40" spans="2:10" x14ac:dyDescent="0.3">
      <c r="B40">
        <v>150830</v>
      </c>
      <c r="C40" s="126" t="s">
        <v>105</v>
      </c>
      <c r="D40" s="126" t="s">
        <v>106</v>
      </c>
      <c r="E40">
        <v>29037</v>
      </c>
      <c r="F40" s="126" t="s">
        <v>18</v>
      </c>
      <c r="G40" s="126" t="s">
        <v>19</v>
      </c>
      <c r="H40" t="str">
        <f>IFERROR(VLOOKUP(B40, source_data, MATCH("Region", 'AS10-Source'!$B$1:$E$1, 0), FALSE), "Retired")</f>
        <v>North</v>
      </c>
      <c r="I40" t="str">
        <f>IFERROR(VLOOKUP(B40, source_data, MATCH("Department", 'AS10-Source'!$B$1:$E$1, 0), FALSE), "Retired")</f>
        <v>Sales</v>
      </c>
      <c r="J40">
        <f>IFERROR(VLOOKUP(B40, source_data, MATCH("Salary", 'AS10-Source'!$B$1:$E$1, 0), FALSE), "Retired")</f>
        <v>52000</v>
      </c>
    </row>
    <row r="41" spans="2:10" x14ac:dyDescent="0.3">
      <c r="B41">
        <v>150929</v>
      </c>
      <c r="C41" s="126" t="s">
        <v>107</v>
      </c>
      <c r="D41" s="126" t="s">
        <v>108</v>
      </c>
      <c r="E41">
        <v>26739</v>
      </c>
      <c r="F41" s="126" t="s">
        <v>32</v>
      </c>
      <c r="G41" s="126" t="s">
        <v>19</v>
      </c>
      <c r="H41" t="str">
        <f>IFERROR(VLOOKUP(B41, source_data, MATCH("Region", 'AS10-Source'!$B$1:$E$1, 0), FALSE), "Retired")</f>
        <v>South</v>
      </c>
      <c r="I41" t="str">
        <f>IFERROR(VLOOKUP(B41, source_data, MATCH("Department", 'AS10-Source'!$B$1:$E$1, 0), FALSE), "Retired")</f>
        <v>Marketing</v>
      </c>
      <c r="J41">
        <f>IFERROR(VLOOKUP(B41, source_data, MATCH("Salary", 'AS10-Source'!$B$1:$E$1, 0), FALSE), "Retired")</f>
        <v>58000</v>
      </c>
    </row>
    <row r="42" spans="2:10" x14ac:dyDescent="0.3">
      <c r="B42">
        <v>150982</v>
      </c>
      <c r="C42" s="126" t="s">
        <v>109</v>
      </c>
      <c r="D42" s="126" t="s">
        <v>110</v>
      </c>
      <c r="E42">
        <v>35574</v>
      </c>
      <c r="F42" s="126" t="s">
        <v>32</v>
      </c>
      <c r="G42" s="126" t="s">
        <v>19</v>
      </c>
      <c r="H42" t="str">
        <f>IFERROR(VLOOKUP(B42, source_data, MATCH("Region", 'AS10-Source'!$B$1:$E$1, 0), FALSE), "Retired")</f>
        <v>Mid West</v>
      </c>
      <c r="I42" t="str">
        <f>IFERROR(VLOOKUP(B42, source_data, MATCH("Department", 'AS10-Source'!$B$1:$E$1, 0), FALSE), "Retired")</f>
        <v>Marketing</v>
      </c>
      <c r="J42">
        <f>IFERROR(VLOOKUP(B42, source_data, MATCH("Salary", 'AS10-Source'!$B$1:$E$1, 0), FALSE), "Retired")</f>
        <v>47000</v>
      </c>
    </row>
    <row r="43" spans="2:10" x14ac:dyDescent="0.3">
      <c r="B43">
        <v>150821</v>
      </c>
      <c r="C43" s="126" t="s">
        <v>111</v>
      </c>
      <c r="D43" s="126" t="s">
        <v>112</v>
      </c>
      <c r="E43">
        <v>29966</v>
      </c>
      <c r="F43" s="126" t="s">
        <v>32</v>
      </c>
      <c r="G43" s="126" t="s">
        <v>25</v>
      </c>
      <c r="H43" t="str">
        <f>IFERROR(VLOOKUP(B43, source_data, MATCH("Region", 'AS10-Source'!$B$1:$E$1, 0), FALSE), "Retired")</f>
        <v>North</v>
      </c>
      <c r="I43" t="str">
        <f>IFERROR(VLOOKUP(B43, source_data, MATCH("Department", 'AS10-Source'!$B$1:$E$1, 0), FALSE), "Retired")</f>
        <v>CCD</v>
      </c>
      <c r="J43">
        <f>IFERROR(VLOOKUP(B43, source_data, MATCH("Salary", 'AS10-Source'!$B$1:$E$1, 0), FALSE), "Retired")</f>
        <v>26000</v>
      </c>
    </row>
    <row r="47" spans="2:10" x14ac:dyDescent="0.3">
      <c r="C47" s="235"/>
      <c r="D47" s="235"/>
      <c r="E47" s="235"/>
      <c r="F47" s="235"/>
      <c r="G47" s="235"/>
    </row>
  </sheetData>
  <mergeCells count="4">
    <mergeCell ref="C1:I1"/>
    <mergeCell ref="C2:I2"/>
    <mergeCell ref="C3:I3"/>
    <mergeCell ref="C47:G47"/>
  </mergeCells>
  <conditionalFormatting sqref="B5:J5">
    <cfRule type="containsText" dxfId="0" priority="1" operator="containsText" text="Retired">
      <formula>NOT(ISERROR(SEARCH("Retired",B5)))</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5F1C0-7D56-4DF6-83C3-454B0AE9CCDC}">
  <dimension ref="B1:E36"/>
  <sheetViews>
    <sheetView workbookViewId="0">
      <selection activeCell="E19" sqref="E19"/>
    </sheetView>
  </sheetViews>
  <sheetFormatPr defaultRowHeight="14.4" x14ac:dyDescent="0.3"/>
  <cols>
    <col min="2" max="2" width="7.44140625" bestFit="1" customWidth="1"/>
    <col min="3" max="3" width="21.33203125" bestFit="1" customWidth="1"/>
    <col min="4" max="4" width="8.77734375" bestFit="1" customWidth="1"/>
    <col min="5" max="5" width="6.109375" bestFit="1" customWidth="1"/>
  </cols>
  <sheetData>
    <row r="1" spans="2:5" x14ac:dyDescent="0.3">
      <c r="B1" s="74" t="s">
        <v>6</v>
      </c>
      <c r="C1" s="74" t="s">
        <v>12</v>
      </c>
      <c r="D1" s="74" t="s">
        <v>13</v>
      </c>
      <c r="E1" s="74" t="s">
        <v>391</v>
      </c>
    </row>
    <row r="2" spans="2:5" x14ac:dyDescent="0.3">
      <c r="B2" s="4">
        <v>150773</v>
      </c>
      <c r="C2" s="5" t="s">
        <v>82</v>
      </c>
      <c r="D2" s="5" t="s">
        <v>21</v>
      </c>
      <c r="E2" s="2">
        <v>85000</v>
      </c>
    </row>
    <row r="3" spans="2:5" x14ac:dyDescent="0.3">
      <c r="B3" s="4">
        <v>150777</v>
      </c>
      <c r="C3" s="5" t="s">
        <v>38</v>
      </c>
      <c r="D3" s="5" t="s">
        <v>21</v>
      </c>
      <c r="E3" s="2">
        <v>22000</v>
      </c>
    </row>
    <row r="4" spans="2:5" x14ac:dyDescent="0.3">
      <c r="B4" s="4">
        <v>150784</v>
      </c>
      <c r="C4" s="5" t="s">
        <v>26</v>
      </c>
      <c r="D4" s="5" t="s">
        <v>21</v>
      </c>
      <c r="E4" s="2">
        <v>35000</v>
      </c>
    </row>
    <row r="5" spans="2:5" x14ac:dyDescent="0.3">
      <c r="B5" s="4">
        <v>150791</v>
      </c>
      <c r="C5" s="5" t="s">
        <v>26</v>
      </c>
      <c r="D5" s="5" t="s">
        <v>21</v>
      </c>
      <c r="E5" s="2">
        <v>67000</v>
      </c>
    </row>
    <row r="6" spans="2:5" x14ac:dyDescent="0.3">
      <c r="B6" s="4">
        <v>150798</v>
      </c>
      <c r="C6" s="5" t="s">
        <v>26</v>
      </c>
      <c r="D6" s="5" t="s">
        <v>21</v>
      </c>
      <c r="E6" s="2">
        <v>81000</v>
      </c>
    </row>
    <row r="7" spans="2:5" x14ac:dyDescent="0.3">
      <c r="B7" s="4">
        <v>150805</v>
      </c>
      <c r="C7" s="5" t="s">
        <v>41</v>
      </c>
      <c r="D7" s="5" t="s">
        <v>21</v>
      </c>
      <c r="E7" s="2">
        <v>91000</v>
      </c>
    </row>
    <row r="8" spans="2:5" x14ac:dyDescent="0.3">
      <c r="B8" s="4">
        <v>150814</v>
      </c>
      <c r="C8" s="5" t="s">
        <v>33</v>
      </c>
      <c r="D8" s="5" t="s">
        <v>21</v>
      </c>
      <c r="E8" s="2">
        <v>50000</v>
      </c>
    </row>
    <row r="9" spans="2:5" x14ac:dyDescent="0.3">
      <c r="B9" s="4">
        <v>150821</v>
      </c>
      <c r="C9" s="5" t="s">
        <v>65</v>
      </c>
      <c r="D9" s="5" t="s">
        <v>21</v>
      </c>
      <c r="E9" s="2">
        <v>26000</v>
      </c>
    </row>
    <row r="10" spans="2:5" x14ac:dyDescent="0.3">
      <c r="B10" s="4">
        <v>150830</v>
      </c>
      <c r="C10" s="5" t="s">
        <v>93</v>
      </c>
      <c r="D10" s="5" t="s">
        <v>21</v>
      </c>
      <c r="E10" s="2">
        <v>52000</v>
      </c>
    </row>
    <row r="11" spans="2:5" x14ac:dyDescent="0.3">
      <c r="B11" s="4">
        <v>150834</v>
      </c>
      <c r="C11" s="5" t="s">
        <v>20</v>
      </c>
      <c r="D11" s="5" t="s">
        <v>21</v>
      </c>
      <c r="E11" s="2">
        <v>48000</v>
      </c>
    </row>
    <row r="12" spans="2:5" x14ac:dyDescent="0.3">
      <c r="B12" s="4">
        <v>150840</v>
      </c>
      <c r="C12" s="5" t="s">
        <v>33</v>
      </c>
      <c r="D12" s="5" t="s">
        <v>52</v>
      </c>
      <c r="E12" s="2">
        <v>20000</v>
      </c>
    </row>
    <row r="13" spans="2:5" x14ac:dyDescent="0.3">
      <c r="B13" s="4">
        <v>150850</v>
      </c>
      <c r="C13" s="5" t="s">
        <v>65</v>
      </c>
      <c r="D13" s="5" t="s">
        <v>52</v>
      </c>
      <c r="E13" s="2">
        <v>47000</v>
      </c>
    </row>
    <row r="14" spans="2:5" x14ac:dyDescent="0.3">
      <c r="B14" s="4">
        <v>150851</v>
      </c>
      <c r="C14" s="5" t="s">
        <v>33</v>
      </c>
      <c r="D14" s="5" t="s">
        <v>52</v>
      </c>
      <c r="E14" s="2">
        <v>75000</v>
      </c>
    </row>
    <row r="15" spans="2:5" x14ac:dyDescent="0.3">
      <c r="B15" s="4">
        <v>150865</v>
      </c>
      <c r="C15" s="5" t="s">
        <v>62</v>
      </c>
      <c r="D15" s="5" t="s">
        <v>52</v>
      </c>
      <c r="E15" s="2">
        <v>90000</v>
      </c>
    </row>
    <row r="16" spans="2:5" x14ac:dyDescent="0.3">
      <c r="B16" s="4">
        <v>150867</v>
      </c>
      <c r="C16" s="5" t="s">
        <v>82</v>
      </c>
      <c r="D16" s="5" t="s">
        <v>52</v>
      </c>
      <c r="E16" s="2">
        <v>49000</v>
      </c>
    </row>
    <row r="17" spans="2:5" x14ac:dyDescent="0.3">
      <c r="B17" s="4">
        <v>150874</v>
      </c>
      <c r="C17" s="5" t="s">
        <v>38</v>
      </c>
      <c r="D17" s="5" t="s">
        <v>52</v>
      </c>
      <c r="E17" s="2">
        <v>27000</v>
      </c>
    </row>
    <row r="18" spans="2:5" x14ac:dyDescent="0.3">
      <c r="B18" s="4">
        <v>150881</v>
      </c>
      <c r="C18" s="5" t="s">
        <v>26</v>
      </c>
      <c r="D18" s="5" t="s">
        <v>52</v>
      </c>
      <c r="E18" s="2">
        <v>92000</v>
      </c>
    </row>
    <row r="19" spans="2:5" x14ac:dyDescent="0.3">
      <c r="B19" s="4">
        <v>150888</v>
      </c>
      <c r="C19" s="5" t="s">
        <v>45</v>
      </c>
      <c r="D19" s="5" t="s">
        <v>52</v>
      </c>
      <c r="E19" s="2">
        <v>43000</v>
      </c>
    </row>
    <row r="20" spans="2:5" x14ac:dyDescent="0.3">
      <c r="B20" s="4">
        <v>150894</v>
      </c>
      <c r="C20" s="5" t="s">
        <v>33</v>
      </c>
      <c r="D20" s="5" t="s">
        <v>34</v>
      </c>
      <c r="E20" s="2">
        <v>67000</v>
      </c>
    </row>
    <row r="21" spans="2:5" x14ac:dyDescent="0.3">
      <c r="B21" s="4">
        <v>150901</v>
      </c>
      <c r="C21" s="5" t="s">
        <v>93</v>
      </c>
      <c r="D21" s="5" t="s">
        <v>34</v>
      </c>
      <c r="E21" s="2">
        <v>53000</v>
      </c>
    </row>
    <row r="22" spans="2:5" x14ac:dyDescent="0.3">
      <c r="B22" s="4">
        <v>150905</v>
      </c>
      <c r="C22" s="5" t="s">
        <v>20</v>
      </c>
      <c r="D22" s="5" t="s">
        <v>34</v>
      </c>
      <c r="E22" s="2">
        <v>62000</v>
      </c>
    </row>
    <row r="23" spans="2:5" x14ac:dyDescent="0.3">
      <c r="B23" s="4">
        <v>150912</v>
      </c>
      <c r="C23" s="5" t="s">
        <v>79</v>
      </c>
      <c r="D23" s="5" t="s">
        <v>34</v>
      </c>
      <c r="E23" s="2">
        <v>81000</v>
      </c>
    </row>
    <row r="24" spans="2:5" x14ac:dyDescent="0.3">
      <c r="B24" s="4">
        <v>150921</v>
      </c>
      <c r="C24" s="5" t="s">
        <v>82</v>
      </c>
      <c r="D24" s="5" t="s">
        <v>34</v>
      </c>
      <c r="E24" s="2">
        <v>19000</v>
      </c>
    </row>
    <row r="25" spans="2:5" x14ac:dyDescent="0.3">
      <c r="B25" s="4">
        <v>150929</v>
      </c>
      <c r="C25" s="5" t="s">
        <v>38</v>
      </c>
      <c r="D25" s="5" t="s">
        <v>34</v>
      </c>
      <c r="E25" s="2">
        <v>58000</v>
      </c>
    </row>
    <row r="26" spans="2:5" x14ac:dyDescent="0.3">
      <c r="B26" s="4">
        <v>150930</v>
      </c>
      <c r="C26" s="5" t="s">
        <v>26</v>
      </c>
      <c r="D26" s="5" t="s">
        <v>34</v>
      </c>
      <c r="E26" s="2">
        <v>82000</v>
      </c>
    </row>
    <row r="27" spans="2:5" x14ac:dyDescent="0.3">
      <c r="B27" s="4">
        <v>150937</v>
      </c>
      <c r="C27" s="5" t="s">
        <v>45</v>
      </c>
      <c r="D27" s="5" t="s">
        <v>34</v>
      </c>
      <c r="E27" s="2">
        <v>37000</v>
      </c>
    </row>
    <row r="28" spans="2:5" x14ac:dyDescent="0.3">
      <c r="B28" s="4">
        <v>150940</v>
      </c>
      <c r="C28" s="5" t="s">
        <v>33</v>
      </c>
      <c r="D28" s="5" t="s">
        <v>34</v>
      </c>
      <c r="E28" s="2">
        <v>87000</v>
      </c>
    </row>
    <row r="29" spans="2:5" x14ac:dyDescent="0.3">
      <c r="B29" s="4">
        <v>150947</v>
      </c>
      <c r="C29" s="5" t="s">
        <v>65</v>
      </c>
      <c r="D29" s="5" t="s">
        <v>34</v>
      </c>
      <c r="E29" s="2">
        <v>85000</v>
      </c>
    </row>
    <row r="30" spans="2:5" x14ac:dyDescent="0.3">
      <c r="B30" s="4">
        <v>150962</v>
      </c>
      <c r="C30" s="5" t="s">
        <v>41</v>
      </c>
      <c r="D30" s="5" t="s">
        <v>34</v>
      </c>
      <c r="E30" s="2">
        <v>87000</v>
      </c>
    </row>
    <row r="31" spans="2:5" x14ac:dyDescent="0.3">
      <c r="B31" s="4">
        <v>150968</v>
      </c>
      <c r="C31" s="5" t="s">
        <v>79</v>
      </c>
      <c r="D31" s="5" t="s">
        <v>34</v>
      </c>
      <c r="E31" s="2">
        <v>65000</v>
      </c>
    </row>
    <row r="32" spans="2:5" x14ac:dyDescent="0.3">
      <c r="B32" s="4">
        <v>150975</v>
      </c>
      <c r="C32" s="5" t="s">
        <v>82</v>
      </c>
      <c r="D32" s="5" t="s">
        <v>46</v>
      </c>
      <c r="E32" s="2">
        <v>83000</v>
      </c>
    </row>
    <row r="33" spans="2:5" x14ac:dyDescent="0.3">
      <c r="B33" s="4">
        <v>150982</v>
      </c>
      <c r="C33" s="5" t="s">
        <v>38</v>
      </c>
      <c r="D33" s="5" t="s">
        <v>46</v>
      </c>
      <c r="E33" s="2">
        <v>47000</v>
      </c>
    </row>
    <row r="34" spans="2:5" x14ac:dyDescent="0.3">
      <c r="B34" s="4">
        <v>150989</v>
      </c>
      <c r="C34" s="5" t="s">
        <v>26</v>
      </c>
      <c r="D34" s="5" t="s">
        <v>46</v>
      </c>
      <c r="E34" s="2">
        <v>45000</v>
      </c>
    </row>
    <row r="35" spans="2:5" x14ac:dyDescent="0.3">
      <c r="B35" s="4">
        <v>150990</v>
      </c>
      <c r="C35" s="5" t="s">
        <v>45</v>
      </c>
      <c r="D35" s="5" t="s">
        <v>46</v>
      </c>
      <c r="E35" s="2">
        <v>77000</v>
      </c>
    </row>
    <row r="36" spans="2:5" x14ac:dyDescent="0.3">
      <c r="B36" s="4">
        <v>150995</v>
      </c>
      <c r="C36" s="5" t="s">
        <v>33</v>
      </c>
      <c r="D36" s="5" t="s">
        <v>46</v>
      </c>
      <c r="E36" s="2">
        <v>15000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74371-F090-4747-8ACA-05A1890E6262}">
  <dimension ref="B1:P1000"/>
  <sheetViews>
    <sheetView zoomScale="110" workbookViewId="0">
      <selection activeCell="F36" sqref="F36"/>
    </sheetView>
  </sheetViews>
  <sheetFormatPr defaultColWidth="14.44140625" defaultRowHeight="15" customHeight="1" x14ac:dyDescent="0.3"/>
  <cols>
    <col min="1" max="2" width="8.6640625" customWidth="1"/>
    <col min="3" max="3" width="11.6640625" customWidth="1"/>
    <col min="4" max="6" width="8.6640625" customWidth="1"/>
    <col min="7" max="7" width="13.6640625" customWidth="1"/>
    <col min="8" max="15" width="8.6640625" customWidth="1"/>
    <col min="16" max="16" width="12" bestFit="1" customWidth="1"/>
    <col min="17" max="22" width="8.6640625" customWidth="1"/>
  </cols>
  <sheetData>
    <row r="1" spans="2:16" ht="14.25" customHeight="1" x14ac:dyDescent="0.3"/>
    <row r="2" spans="2:16" ht="14.25" customHeight="1" x14ac:dyDescent="0.3">
      <c r="B2" s="226" t="s">
        <v>399</v>
      </c>
      <c r="C2" s="226"/>
      <c r="D2" s="226"/>
      <c r="E2" s="226"/>
      <c r="F2" s="81"/>
      <c r="G2" s="131" t="s">
        <v>398</v>
      </c>
    </row>
    <row r="3" spans="2:16" ht="14.25" customHeight="1" x14ac:dyDescent="0.3">
      <c r="B3" s="226" t="s">
        <v>397</v>
      </c>
      <c r="C3" s="226"/>
      <c r="D3" s="226"/>
      <c r="E3" s="226"/>
      <c r="F3" s="81"/>
    </row>
    <row r="4" spans="2:16" ht="14.25" customHeight="1" x14ac:dyDescent="0.3"/>
    <row r="5" spans="2:16" ht="14.25" customHeight="1" x14ac:dyDescent="0.3">
      <c r="B5" s="34" t="s">
        <v>283</v>
      </c>
      <c r="C5" s="34" t="s">
        <v>396</v>
      </c>
    </row>
    <row r="6" spans="2:16" ht="14.25" customHeight="1" x14ac:dyDescent="0.3">
      <c r="B6" s="130">
        <v>1990</v>
      </c>
      <c r="C6" s="129">
        <v>2156</v>
      </c>
    </row>
    <row r="7" spans="2:16" ht="14.25" customHeight="1" x14ac:dyDescent="0.3">
      <c r="B7" s="130">
        <v>1991</v>
      </c>
      <c r="C7" s="129">
        <v>3562</v>
      </c>
    </row>
    <row r="8" spans="2:16" ht="14.25" customHeight="1" x14ac:dyDescent="0.3">
      <c r="B8" s="130">
        <v>1992</v>
      </c>
      <c r="C8" s="129">
        <v>7506</v>
      </c>
    </row>
    <row r="9" spans="2:16" ht="14.25" customHeight="1" x14ac:dyDescent="0.3">
      <c r="B9" s="130">
        <v>1993</v>
      </c>
      <c r="C9" s="129">
        <v>6258</v>
      </c>
    </row>
    <row r="10" spans="2:16" ht="14.25" customHeight="1" x14ac:dyDescent="0.3">
      <c r="B10" s="130">
        <v>1994</v>
      </c>
      <c r="C10" s="129">
        <v>6279</v>
      </c>
    </row>
    <row r="11" spans="2:16" ht="14.25" customHeight="1" x14ac:dyDescent="0.3">
      <c r="B11" s="130">
        <v>1995</v>
      </c>
      <c r="C11" s="129">
        <v>1963</v>
      </c>
    </row>
    <row r="12" spans="2:16" ht="14.25" customHeight="1" x14ac:dyDescent="0.3">
      <c r="B12" s="130">
        <v>1996</v>
      </c>
      <c r="C12" s="129">
        <v>6736</v>
      </c>
    </row>
    <row r="13" spans="2:16" ht="14.25" customHeight="1" x14ac:dyDescent="0.3">
      <c r="B13" s="130">
        <v>1997</v>
      </c>
      <c r="C13" s="129">
        <v>3280</v>
      </c>
    </row>
    <row r="14" spans="2:16" ht="14.25" customHeight="1" x14ac:dyDescent="0.3">
      <c r="B14" s="130">
        <v>1998</v>
      </c>
      <c r="C14" s="129">
        <v>8398</v>
      </c>
      <c r="G14" s="132" t="s">
        <v>395</v>
      </c>
    </row>
    <row r="15" spans="2:16" ht="14.25" customHeight="1" x14ac:dyDescent="0.3">
      <c r="B15" s="130">
        <v>1999</v>
      </c>
      <c r="C15" s="129">
        <v>2882</v>
      </c>
    </row>
    <row r="16" spans="2:16" ht="14.25" customHeight="1" x14ac:dyDescent="0.3">
      <c r="B16" s="130">
        <v>2000</v>
      </c>
      <c r="C16" s="129">
        <v>4686</v>
      </c>
      <c r="P16" s="131"/>
    </row>
    <row r="17" spans="2:3" ht="14.25" customHeight="1" x14ac:dyDescent="0.3">
      <c r="B17" s="130">
        <v>2001</v>
      </c>
      <c r="C17" s="129">
        <v>6976</v>
      </c>
    </row>
    <row r="18" spans="2:3" ht="14.25" customHeight="1" x14ac:dyDescent="0.3">
      <c r="B18" s="130">
        <v>2002</v>
      </c>
      <c r="C18" s="129">
        <v>2173</v>
      </c>
    </row>
    <row r="19" spans="2:3" ht="14.25" customHeight="1" x14ac:dyDescent="0.3">
      <c r="B19" s="130">
        <v>2003</v>
      </c>
      <c r="C19" s="129">
        <v>2166</v>
      </c>
    </row>
    <row r="20" spans="2:3" ht="14.25" customHeight="1" x14ac:dyDescent="0.3">
      <c r="B20" s="9">
        <v>2004</v>
      </c>
      <c r="C20" s="128">
        <v>8418</v>
      </c>
    </row>
    <row r="21" spans="2:3" ht="14.25" customHeight="1" x14ac:dyDescent="0.3"/>
    <row r="22" spans="2:3" ht="14.25" customHeight="1" x14ac:dyDescent="0.3"/>
    <row r="23" spans="2:3" ht="14.25" customHeight="1" x14ac:dyDescent="0.3"/>
    <row r="24" spans="2:3" ht="14.25" customHeight="1" x14ac:dyDescent="0.3"/>
    <row r="25" spans="2:3" ht="14.25" customHeight="1" x14ac:dyDescent="0.3"/>
    <row r="26" spans="2:3" ht="14.25" customHeight="1" x14ac:dyDescent="0.3"/>
    <row r="27" spans="2:3" ht="14.25" customHeight="1" x14ac:dyDescent="0.3"/>
    <row r="28" spans="2:3" ht="14.25" customHeight="1" x14ac:dyDescent="0.3"/>
    <row r="29" spans="2:3" ht="14.25" customHeight="1" x14ac:dyDescent="0.3"/>
    <row r="30" spans="2:3" ht="14.25" customHeight="1" x14ac:dyDescent="0.3"/>
    <row r="31" spans="2:3" ht="14.25" customHeight="1" x14ac:dyDescent="0.3"/>
    <row r="32" spans="2:3" ht="14.25" customHeight="1" x14ac:dyDescent="0.3"/>
    <row r="33" customFormat="1" ht="14.25" customHeight="1" x14ac:dyDescent="0.3"/>
    <row r="34" customFormat="1" ht="14.25" customHeight="1" x14ac:dyDescent="0.3"/>
    <row r="35" customFormat="1" ht="14.25" customHeight="1" x14ac:dyDescent="0.3"/>
    <row r="36" customFormat="1" ht="14.25" customHeight="1" x14ac:dyDescent="0.3"/>
    <row r="37" customFormat="1" ht="14.25" customHeight="1" x14ac:dyDescent="0.3"/>
    <row r="38" customFormat="1" ht="14.25" customHeight="1" x14ac:dyDescent="0.3"/>
    <row r="39" customFormat="1" ht="14.25" customHeight="1" x14ac:dyDescent="0.3"/>
    <row r="40" customFormat="1" ht="14.25" customHeight="1" x14ac:dyDescent="0.3"/>
    <row r="41" customFormat="1" ht="14.25" customHeight="1" x14ac:dyDescent="0.3"/>
    <row r="42" customFormat="1" ht="14.25" customHeight="1" x14ac:dyDescent="0.3"/>
    <row r="43" customFormat="1" ht="14.25" customHeight="1" x14ac:dyDescent="0.3"/>
    <row r="44" customFormat="1" ht="14.25" customHeight="1" x14ac:dyDescent="0.3"/>
    <row r="45" customFormat="1" ht="14.25" customHeight="1" x14ac:dyDescent="0.3"/>
    <row r="46" customFormat="1" ht="14.25" customHeight="1" x14ac:dyDescent="0.3"/>
    <row r="47" customFormat="1" ht="14.25" customHeight="1" x14ac:dyDescent="0.3"/>
    <row r="48" customFormat="1" ht="14.25" customHeight="1" x14ac:dyDescent="0.3"/>
    <row r="49" customFormat="1" ht="14.25" customHeight="1" x14ac:dyDescent="0.3"/>
    <row r="50" customFormat="1" ht="14.25" customHeight="1" x14ac:dyDescent="0.3"/>
    <row r="51" customFormat="1" ht="14.25" customHeight="1" x14ac:dyDescent="0.3"/>
    <row r="52" customFormat="1" ht="14.25" customHeight="1" x14ac:dyDescent="0.3"/>
    <row r="53" customFormat="1" ht="14.25" customHeight="1" x14ac:dyDescent="0.3"/>
    <row r="54" customFormat="1" ht="14.25" customHeight="1" x14ac:dyDescent="0.3"/>
    <row r="55" customFormat="1" ht="14.25" customHeight="1" x14ac:dyDescent="0.3"/>
    <row r="56" customFormat="1" ht="14.25" customHeight="1" x14ac:dyDescent="0.3"/>
    <row r="57" customFormat="1" ht="14.25" customHeight="1" x14ac:dyDescent="0.3"/>
    <row r="58" customFormat="1" ht="14.25" customHeight="1" x14ac:dyDescent="0.3"/>
    <row r="59" customFormat="1" ht="14.25" customHeight="1" x14ac:dyDescent="0.3"/>
    <row r="60" customFormat="1" ht="14.25" customHeight="1" x14ac:dyDescent="0.3"/>
    <row r="61" customFormat="1" ht="14.25" customHeight="1" x14ac:dyDescent="0.3"/>
    <row r="62" customFormat="1" ht="14.25" customHeight="1" x14ac:dyDescent="0.3"/>
    <row r="63" customFormat="1" ht="14.25" customHeight="1" x14ac:dyDescent="0.3"/>
    <row r="64" customFormat="1" ht="14.25" customHeight="1" x14ac:dyDescent="0.3"/>
    <row r="65" customFormat="1" ht="14.25" customHeight="1" x14ac:dyDescent="0.3"/>
    <row r="66" customFormat="1" ht="14.25" customHeight="1" x14ac:dyDescent="0.3"/>
    <row r="67" customFormat="1" ht="14.25" customHeight="1" x14ac:dyDescent="0.3"/>
    <row r="68" customFormat="1" ht="14.25" customHeight="1" x14ac:dyDescent="0.3"/>
    <row r="69" customFormat="1" ht="14.25" customHeight="1" x14ac:dyDescent="0.3"/>
    <row r="70" customFormat="1" ht="14.25" customHeight="1" x14ac:dyDescent="0.3"/>
    <row r="71" customFormat="1" ht="14.25" customHeight="1" x14ac:dyDescent="0.3"/>
    <row r="72" customFormat="1" ht="14.25" customHeight="1" x14ac:dyDescent="0.3"/>
    <row r="73" customFormat="1" ht="14.25" customHeight="1" x14ac:dyDescent="0.3"/>
    <row r="74" customFormat="1" ht="14.25" customHeight="1" x14ac:dyDescent="0.3"/>
    <row r="75" customFormat="1" ht="14.25" customHeight="1" x14ac:dyDescent="0.3"/>
    <row r="76" customFormat="1" ht="14.25" customHeight="1" x14ac:dyDescent="0.3"/>
    <row r="77" customFormat="1" ht="14.25" customHeight="1" x14ac:dyDescent="0.3"/>
    <row r="78" customFormat="1" ht="14.25" customHeight="1" x14ac:dyDescent="0.3"/>
    <row r="79" customFormat="1" ht="14.25" customHeight="1" x14ac:dyDescent="0.3"/>
    <row r="80" customFormat="1" ht="14.25" customHeight="1" x14ac:dyDescent="0.3"/>
    <row r="81" customFormat="1" ht="14.25" customHeight="1" x14ac:dyDescent="0.3"/>
    <row r="82" customFormat="1" ht="14.25" customHeight="1" x14ac:dyDescent="0.3"/>
    <row r="83" customFormat="1" ht="14.25" customHeight="1" x14ac:dyDescent="0.3"/>
    <row r="84" customFormat="1" ht="14.25" customHeight="1" x14ac:dyDescent="0.3"/>
    <row r="85" customFormat="1" ht="14.25" customHeight="1" x14ac:dyDescent="0.3"/>
    <row r="86" customFormat="1" ht="14.25" customHeight="1" x14ac:dyDescent="0.3"/>
    <row r="87" customFormat="1" ht="14.25" customHeight="1" x14ac:dyDescent="0.3"/>
    <row r="88" customFormat="1" ht="14.25" customHeight="1" x14ac:dyDescent="0.3"/>
    <row r="89" customFormat="1" ht="14.25" customHeight="1" x14ac:dyDescent="0.3"/>
    <row r="90" customFormat="1" ht="14.25" customHeight="1" x14ac:dyDescent="0.3"/>
    <row r="91" customFormat="1" ht="14.25" customHeight="1" x14ac:dyDescent="0.3"/>
    <row r="92" customFormat="1" ht="14.25" customHeight="1" x14ac:dyDescent="0.3"/>
    <row r="93" customFormat="1" ht="14.25" customHeight="1" x14ac:dyDescent="0.3"/>
    <row r="94" customFormat="1" ht="14.25" customHeight="1" x14ac:dyDescent="0.3"/>
    <row r="95" customFormat="1" ht="14.25" customHeight="1" x14ac:dyDescent="0.3"/>
    <row r="96" customFormat="1" ht="14.25" customHeight="1" x14ac:dyDescent="0.3"/>
    <row r="97" customFormat="1" ht="14.25" customHeight="1" x14ac:dyDescent="0.3"/>
    <row r="98" customFormat="1" ht="14.25" customHeight="1" x14ac:dyDescent="0.3"/>
    <row r="99" customFormat="1" ht="14.25" customHeight="1" x14ac:dyDescent="0.3"/>
    <row r="100" customFormat="1" ht="14.25" customHeight="1" x14ac:dyDescent="0.3"/>
    <row r="101" customFormat="1" ht="14.25" customHeight="1" x14ac:dyDescent="0.3"/>
    <row r="102" customFormat="1" ht="14.25" customHeight="1" x14ac:dyDescent="0.3"/>
    <row r="103" customFormat="1" ht="14.25" customHeight="1" x14ac:dyDescent="0.3"/>
    <row r="104" customFormat="1" ht="14.25" customHeight="1" x14ac:dyDescent="0.3"/>
    <row r="105" customFormat="1" ht="14.25" customHeight="1" x14ac:dyDescent="0.3"/>
    <row r="106" customFormat="1" ht="14.25" customHeight="1" x14ac:dyDescent="0.3"/>
    <row r="107" customFormat="1" ht="14.25" customHeight="1" x14ac:dyDescent="0.3"/>
    <row r="108" customFormat="1" ht="14.25" customHeight="1" x14ac:dyDescent="0.3"/>
    <row r="109" customFormat="1" ht="14.25" customHeight="1" x14ac:dyDescent="0.3"/>
    <row r="110" customFormat="1" ht="14.25" customHeight="1" x14ac:dyDescent="0.3"/>
    <row r="111" customFormat="1" ht="14.25" customHeight="1" x14ac:dyDescent="0.3"/>
    <row r="112" customFormat="1" ht="14.25" customHeight="1" x14ac:dyDescent="0.3"/>
    <row r="113" customFormat="1" ht="14.25" customHeight="1" x14ac:dyDescent="0.3"/>
    <row r="114" customFormat="1" ht="14.25" customHeight="1" x14ac:dyDescent="0.3"/>
    <row r="115" customFormat="1" ht="14.25" customHeight="1" x14ac:dyDescent="0.3"/>
    <row r="116" customFormat="1" ht="14.25" customHeight="1" x14ac:dyDescent="0.3"/>
    <row r="117" customFormat="1" ht="14.25" customHeight="1" x14ac:dyDescent="0.3"/>
    <row r="118" customFormat="1" ht="14.25" customHeight="1" x14ac:dyDescent="0.3"/>
    <row r="119" customFormat="1" ht="14.25" customHeight="1" x14ac:dyDescent="0.3"/>
    <row r="120" customFormat="1" ht="14.25" customHeight="1" x14ac:dyDescent="0.3"/>
    <row r="121" customFormat="1" ht="14.25" customHeight="1" x14ac:dyDescent="0.3"/>
    <row r="122" customFormat="1" ht="14.25" customHeight="1" x14ac:dyDescent="0.3"/>
    <row r="123" customFormat="1" ht="14.25" customHeight="1" x14ac:dyDescent="0.3"/>
    <row r="124" customFormat="1" ht="14.25" customHeight="1" x14ac:dyDescent="0.3"/>
    <row r="125" customFormat="1" ht="14.25" customHeight="1" x14ac:dyDescent="0.3"/>
    <row r="126" customFormat="1" ht="14.25" customHeight="1" x14ac:dyDescent="0.3"/>
    <row r="127" customFormat="1" ht="14.25" customHeight="1" x14ac:dyDescent="0.3"/>
    <row r="128" customFormat="1" ht="14.25" customHeight="1" x14ac:dyDescent="0.3"/>
    <row r="129" customFormat="1" ht="14.25" customHeight="1" x14ac:dyDescent="0.3"/>
    <row r="130" customFormat="1" ht="14.25" customHeight="1" x14ac:dyDescent="0.3"/>
    <row r="131" customFormat="1" ht="14.25" customHeight="1" x14ac:dyDescent="0.3"/>
    <row r="132" customFormat="1" ht="14.25" customHeight="1" x14ac:dyDescent="0.3"/>
    <row r="133" customFormat="1" ht="14.25" customHeight="1" x14ac:dyDescent="0.3"/>
    <row r="134" customFormat="1" ht="14.25" customHeight="1" x14ac:dyDescent="0.3"/>
    <row r="135" customFormat="1" ht="14.25" customHeight="1" x14ac:dyDescent="0.3"/>
    <row r="136" customFormat="1" ht="14.25" customHeight="1" x14ac:dyDescent="0.3"/>
    <row r="137" customFormat="1" ht="14.25" customHeight="1" x14ac:dyDescent="0.3"/>
    <row r="138" customFormat="1" ht="14.25" customHeight="1" x14ac:dyDescent="0.3"/>
    <row r="139" customFormat="1" ht="14.25" customHeight="1" x14ac:dyDescent="0.3"/>
    <row r="140" customFormat="1" ht="14.25" customHeight="1" x14ac:dyDescent="0.3"/>
    <row r="141" customFormat="1" ht="14.25" customHeight="1" x14ac:dyDescent="0.3"/>
    <row r="142" customFormat="1" ht="14.25" customHeight="1" x14ac:dyDescent="0.3"/>
    <row r="143" customFormat="1" ht="14.25" customHeight="1" x14ac:dyDescent="0.3"/>
    <row r="144" customFormat="1" ht="14.25" customHeight="1" x14ac:dyDescent="0.3"/>
    <row r="145" customFormat="1" ht="14.25" customHeight="1" x14ac:dyDescent="0.3"/>
    <row r="146" customFormat="1" ht="14.25" customHeight="1" x14ac:dyDescent="0.3"/>
    <row r="147" customFormat="1" ht="14.25" customHeight="1" x14ac:dyDescent="0.3"/>
    <row r="148" customFormat="1" ht="14.25" customHeight="1" x14ac:dyDescent="0.3"/>
    <row r="149" customFormat="1" ht="14.25" customHeight="1" x14ac:dyDescent="0.3"/>
    <row r="150" customFormat="1" ht="14.25" customHeight="1" x14ac:dyDescent="0.3"/>
    <row r="151" customFormat="1" ht="14.25" customHeight="1" x14ac:dyDescent="0.3"/>
    <row r="152" customFormat="1" ht="14.25" customHeight="1" x14ac:dyDescent="0.3"/>
    <row r="153" customFormat="1" ht="14.25" customHeight="1" x14ac:dyDescent="0.3"/>
    <row r="154" customFormat="1" ht="14.25" customHeight="1" x14ac:dyDescent="0.3"/>
    <row r="155" customFormat="1" ht="14.25" customHeight="1" x14ac:dyDescent="0.3"/>
    <row r="156" customFormat="1" ht="14.25" customHeight="1" x14ac:dyDescent="0.3"/>
    <row r="157" customFormat="1" ht="14.25" customHeight="1" x14ac:dyDescent="0.3"/>
    <row r="158" customFormat="1" ht="14.25" customHeight="1" x14ac:dyDescent="0.3"/>
    <row r="159" customFormat="1" ht="14.25" customHeight="1" x14ac:dyDescent="0.3"/>
    <row r="160" customFormat="1" ht="14.25" customHeight="1" x14ac:dyDescent="0.3"/>
    <row r="161" customFormat="1" ht="14.25" customHeight="1" x14ac:dyDescent="0.3"/>
    <row r="162" customFormat="1" ht="14.25" customHeight="1" x14ac:dyDescent="0.3"/>
    <row r="163" customFormat="1" ht="14.25" customHeight="1" x14ac:dyDescent="0.3"/>
    <row r="164" customFormat="1" ht="14.25" customHeight="1" x14ac:dyDescent="0.3"/>
    <row r="165" customFormat="1" ht="14.25" customHeight="1" x14ac:dyDescent="0.3"/>
    <row r="166" customFormat="1" ht="14.25" customHeight="1" x14ac:dyDescent="0.3"/>
    <row r="167" customFormat="1" ht="14.25" customHeight="1" x14ac:dyDescent="0.3"/>
    <row r="168" customFormat="1" ht="14.25" customHeight="1" x14ac:dyDescent="0.3"/>
    <row r="169" customFormat="1" ht="14.25" customHeight="1" x14ac:dyDescent="0.3"/>
    <row r="170" customFormat="1" ht="14.25" customHeight="1" x14ac:dyDescent="0.3"/>
    <row r="171" customFormat="1" ht="14.25" customHeight="1" x14ac:dyDescent="0.3"/>
    <row r="172" customFormat="1" ht="14.25" customHeight="1" x14ac:dyDescent="0.3"/>
    <row r="173" customFormat="1" ht="14.25" customHeight="1" x14ac:dyDescent="0.3"/>
    <row r="174" customFormat="1" ht="14.25" customHeight="1" x14ac:dyDescent="0.3"/>
    <row r="175" customFormat="1" ht="14.25" customHeight="1" x14ac:dyDescent="0.3"/>
    <row r="176" customFormat="1" ht="14.25" customHeight="1" x14ac:dyDescent="0.3"/>
    <row r="177" customFormat="1" ht="14.25" customHeight="1" x14ac:dyDescent="0.3"/>
    <row r="178" customFormat="1" ht="14.25" customHeight="1" x14ac:dyDescent="0.3"/>
    <row r="179" customFormat="1" ht="14.25" customHeight="1" x14ac:dyDescent="0.3"/>
    <row r="180" customFormat="1" ht="14.25" customHeight="1" x14ac:dyDescent="0.3"/>
    <row r="181" customFormat="1" ht="14.25" customHeight="1" x14ac:dyDescent="0.3"/>
    <row r="182" customFormat="1" ht="14.25" customHeight="1" x14ac:dyDescent="0.3"/>
    <row r="183" customFormat="1" ht="14.25" customHeight="1" x14ac:dyDescent="0.3"/>
    <row r="184" customFormat="1" ht="14.25" customHeight="1" x14ac:dyDescent="0.3"/>
    <row r="185" customFormat="1" ht="14.25" customHeight="1" x14ac:dyDescent="0.3"/>
    <row r="186" customFormat="1" ht="14.25" customHeight="1" x14ac:dyDescent="0.3"/>
    <row r="187" customFormat="1" ht="14.25" customHeight="1" x14ac:dyDescent="0.3"/>
    <row r="188" customFormat="1" ht="14.25" customHeight="1" x14ac:dyDescent="0.3"/>
    <row r="189" customFormat="1" ht="14.25" customHeight="1" x14ac:dyDescent="0.3"/>
    <row r="190" customFormat="1" ht="14.25" customHeight="1" x14ac:dyDescent="0.3"/>
    <row r="191" customFormat="1" ht="14.25" customHeight="1" x14ac:dyDescent="0.3"/>
    <row r="192" customFormat="1" ht="14.25" customHeight="1" x14ac:dyDescent="0.3"/>
    <row r="193" customFormat="1" ht="14.25" customHeight="1" x14ac:dyDescent="0.3"/>
    <row r="194" customFormat="1" ht="14.25" customHeight="1" x14ac:dyDescent="0.3"/>
    <row r="195" customFormat="1" ht="14.25" customHeight="1" x14ac:dyDescent="0.3"/>
    <row r="196" customFormat="1" ht="14.25" customHeight="1" x14ac:dyDescent="0.3"/>
    <row r="197" customFormat="1" ht="14.25" customHeight="1" x14ac:dyDescent="0.3"/>
    <row r="198" customFormat="1" ht="14.25" customHeight="1" x14ac:dyDescent="0.3"/>
    <row r="199" customFormat="1" ht="14.25" customHeight="1" x14ac:dyDescent="0.3"/>
    <row r="200" customFormat="1" ht="14.25" customHeight="1" x14ac:dyDescent="0.3"/>
    <row r="201" customFormat="1" ht="14.25" customHeight="1" x14ac:dyDescent="0.3"/>
    <row r="202" customFormat="1" ht="14.25" customHeight="1" x14ac:dyDescent="0.3"/>
    <row r="203" customFormat="1" ht="14.25" customHeight="1" x14ac:dyDescent="0.3"/>
    <row r="204" customFormat="1" ht="14.25" customHeight="1" x14ac:dyDescent="0.3"/>
    <row r="205" customFormat="1" ht="14.25" customHeight="1" x14ac:dyDescent="0.3"/>
    <row r="206" customFormat="1" ht="14.25" customHeight="1" x14ac:dyDescent="0.3"/>
    <row r="207" customFormat="1" ht="14.25" customHeight="1" x14ac:dyDescent="0.3"/>
    <row r="208" customFormat="1" ht="14.25" customHeight="1" x14ac:dyDescent="0.3"/>
    <row r="209" customFormat="1" ht="14.25" customHeight="1" x14ac:dyDescent="0.3"/>
    <row r="210" customFormat="1" ht="14.25" customHeight="1" x14ac:dyDescent="0.3"/>
    <row r="211" customFormat="1" ht="14.25" customHeight="1" x14ac:dyDescent="0.3"/>
    <row r="212" customFormat="1" ht="14.25" customHeight="1" x14ac:dyDescent="0.3"/>
    <row r="213" customFormat="1" ht="14.25" customHeight="1" x14ac:dyDescent="0.3"/>
    <row r="214" customFormat="1" ht="14.25" customHeight="1" x14ac:dyDescent="0.3"/>
    <row r="215" customFormat="1" ht="14.25" customHeight="1" x14ac:dyDescent="0.3"/>
    <row r="216" customFormat="1" ht="14.25" customHeight="1" x14ac:dyDescent="0.3"/>
    <row r="217" customFormat="1" ht="14.25" customHeight="1" x14ac:dyDescent="0.3"/>
    <row r="218" customFormat="1" ht="14.25" customHeight="1" x14ac:dyDescent="0.3"/>
    <row r="219" customFormat="1" ht="14.25" customHeight="1" x14ac:dyDescent="0.3"/>
    <row r="220" customFormat="1" ht="14.25" customHeight="1" x14ac:dyDescent="0.3"/>
    <row r="221" customFormat="1" ht="14.25" customHeight="1" x14ac:dyDescent="0.3"/>
    <row r="222" customFormat="1" ht="14.25" customHeight="1" x14ac:dyDescent="0.3"/>
    <row r="223" customFormat="1" ht="14.25" customHeight="1" x14ac:dyDescent="0.3"/>
    <row r="224" customFormat="1" ht="14.25" customHeight="1" x14ac:dyDescent="0.3"/>
    <row r="225" customFormat="1" ht="14.25" customHeight="1" x14ac:dyDescent="0.3"/>
    <row r="226" customFormat="1" ht="14.25" customHeight="1" x14ac:dyDescent="0.3"/>
    <row r="227" customFormat="1" ht="14.25" customHeight="1" x14ac:dyDescent="0.3"/>
    <row r="228" customFormat="1" ht="14.25" customHeight="1" x14ac:dyDescent="0.3"/>
    <row r="229" customFormat="1" ht="14.25" customHeight="1" x14ac:dyDescent="0.3"/>
    <row r="230" customFormat="1" ht="14.25" customHeight="1" x14ac:dyDescent="0.3"/>
    <row r="231" customFormat="1" ht="14.25" customHeight="1" x14ac:dyDescent="0.3"/>
    <row r="232" customFormat="1" ht="14.25" customHeight="1" x14ac:dyDescent="0.3"/>
    <row r="233" customFormat="1" ht="14.25" customHeight="1" x14ac:dyDescent="0.3"/>
    <row r="234" customFormat="1" ht="14.25" customHeight="1" x14ac:dyDescent="0.3"/>
    <row r="235" customFormat="1" ht="14.25" customHeight="1" x14ac:dyDescent="0.3"/>
    <row r="236" customFormat="1" ht="14.25" customHeight="1" x14ac:dyDescent="0.3"/>
    <row r="237" customFormat="1" ht="14.25" customHeight="1" x14ac:dyDescent="0.3"/>
    <row r="238" customFormat="1" ht="14.25" customHeight="1" x14ac:dyDescent="0.3"/>
    <row r="239" customFormat="1" ht="14.25" customHeight="1" x14ac:dyDescent="0.3"/>
    <row r="240" customFormat="1" ht="14.25" customHeight="1" x14ac:dyDescent="0.3"/>
    <row r="241" customFormat="1" ht="14.25" customHeight="1" x14ac:dyDescent="0.3"/>
    <row r="242" customFormat="1" ht="14.25" customHeight="1" x14ac:dyDescent="0.3"/>
    <row r="243" customFormat="1" ht="14.25" customHeight="1" x14ac:dyDescent="0.3"/>
    <row r="244" customFormat="1" ht="14.25" customHeight="1" x14ac:dyDescent="0.3"/>
    <row r="245" customFormat="1" ht="14.25" customHeight="1" x14ac:dyDescent="0.3"/>
    <row r="246" customFormat="1" ht="14.25" customHeight="1" x14ac:dyDescent="0.3"/>
    <row r="247" customFormat="1" ht="14.25" customHeight="1" x14ac:dyDescent="0.3"/>
    <row r="248" customFormat="1" ht="14.25" customHeight="1" x14ac:dyDescent="0.3"/>
    <row r="249" customFormat="1" ht="14.25" customHeight="1" x14ac:dyDescent="0.3"/>
    <row r="250" customFormat="1" ht="14.25" customHeight="1" x14ac:dyDescent="0.3"/>
    <row r="251" customFormat="1" ht="14.25" customHeight="1" x14ac:dyDescent="0.3"/>
    <row r="252" customFormat="1" ht="14.25" customHeight="1" x14ac:dyDescent="0.3"/>
    <row r="253" customFormat="1" ht="14.25" customHeight="1" x14ac:dyDescent="0.3"/>
    <row r="254" customFormat="1" ht="14.25" customHeight="1" x14ac:dyDescent="0.3"/>
    <row r="255" customFormat="1" ht="14.25" customHeight="1" x14ac:dyDescent="0.3"/>
    <row r="256" customFormat="1" ht="14.25" customHeight="1" x14ac:dyDescent="0.3"/>
    <row r="257" customFormat="1" ht="14.25" customHeight="1" x14ac:dyDescent="0.3"/>
    <row r="258" customFormat="1" ht="14.25" customHeight="1" x14ac:dyDescent="0.3"/>
    <row r="259" customFormat="1" ht="14.25" customHeight="1" x14ac:dyDescent="0.3"/>
    <row r="260" customFormat="1" ht="14.25" customHeight="1" x14ac:dyDescent="0.3"/>
    <row r="261" customFormat="1" ht="14.25" customHeight="1" x14ac:dyDescent="0.3"/>
    <row r="262" customFormat="1" ht="14.25" customHeight="1" x14ac:dyDescent="0.3"/>
    <row r="263" customFormat="1" ht="14.25" customHeight="1" x14ac:dyDescent="0.3"/>
    <row r="264" customFormat="1" ht="14.25" customHeight="1" x14ac:dyDescent="0.3"/>
    <row r="265" customFormat="1" ht="14.25" customHeight="1" x14ac:dyDescent="0.3"/>
    <row r="266" customFormat="1" ht="14.25" customHeight="1" x14ac:dyDescent="0.3"/>
    <row r="267" customFormat="1" ht="14.25" customHeight="1" x14ac:dyDescent="0.3"/>
    <row r="268" customFormat="1" ht="14.25" customHeight="1" x14ac:dyDescent="0.3"/>
    <row r="269" customFormat="1" ht="14.25" customHeight="1" x14ac:dyDescent="0.3"/>
    <row r="270" customFormat="1" ht="14.25" customHeight="1" x14ac:dyDescent="0.3"/>
    <row r="271" customFormat="1" ht="14.25" customHeight="1" x14ac:dyDescent="0.3"/>
    <row r="272" customFormat="1" ht="14.25" customHeight="1" x14ac:dyDescent="0.3"/>
    <row r="273" customFormat="1" ht="14.25" customHeight="1" x14ac:dyDescent="0.3"/>
    <row r="274" customFormat="1" ht="14.25" customHeight="1" x14ac:dyDescent="0.3"/>
    <row r="275" customFormat="1" ht="14.25" customHeight="1" x14ac:dyDescent="0.3"/>
    <row r="276" customFormat="1" ht="14.25" customHeight="1" x14ac:dyDescent="0.3"/>
    <row r="277" customFormat="1" ht="14.25" customHeight="1" x14ac:dyDescent="0.3"/>
    <row r="278" customFormat="1" ht="14.25" customHeight="1" x14ac:dyDescent="0.3"/>
    <row r="279" customFormat="1" ht="14.25" customHeight="1" x14ac:dyDescent="0.3"/>
    <row r="280" customFormat="1" ht="14.25" customHeight="1" x14ac:dyDescent="0.3"/>
    <row r="281" customFormat="1" ht="14.25" customHeight="1" x14ac:dyDescent="0.3"/>
    <row r="282" customFormat="1" ht="14.25" customHeight="1" x14ac:dyDescent="0.3"/>
    <row r="283" customFormat="1" ht="14.25" customHeight="1" x14ac:dyDescent="0.3"/>
    <row r="284" customFormat="1" ht="14.25" customHeight="1" x14ac:dyDescent="0.3"/>
    <row r="285" customFormat="1" ht="14.25" customHeight="1" x14ac:dyDescent="0.3"/>
    <row r="286" customFormat="1" ht="14.25" customHeight="1" x14ac:dyDescent="0.3"/>
    <row r="287" customFormat="1" ht="14.25" customHeight="1" x14ac:dyDescent="0.3"/>
    <row r="288" customFormat="1" ht="14.25" customHeight="1" x14ac:dyDescent="0.3"/>
    <row r="289" customFormat="1" ht="14.25" customHeight="1" x14ac:dyDescent="0.3"/>
    <row r="290" customFormat="1" ht="14.25" customHeight="1" x14ac:dyDescent="0.3"/>
    <row r="291" customFormat="1" ht="14.25" customHeight="1" x14ac:dyDescent="0.3"/>
    <row r="292" customFormat="1" ht="14.25" customHeight="1" x14ac:dyDescent="0.3"/>
    <row r="293" customFormat="1" ht="14.25" customHeight="1" x14ac:dyDescent="0.3"/>
    <row r="294" customFormat="1" ht="14.25" customHeight="1" x14ac:dyDescent="0.3"/>
    <row r="295" customFormat="1" ht="14.25" customHeight="1" x14ac:dyDescent="0.3"/>
    <row r="296" customFormat="1" ht="14.25" customHeight="1" x14ac:dyDescent="0.3"/>
    <row r="297" customFormat="1" ht="14.25" customHeight="1" x14ac:dyDescent="0.3"/>
    <row r="298" customFormat="1" ht="14.25" customHeight="1" x14ac:dyDescent="0.3"/>
    <row r="299" customFormat="1" ht="14.25" customHeight="1" x14ac:dyDescent="0.3"/>
    <row r="300" customFormat="1" ht="14.25" customHeight="1" x14ac:dyDescent="0.3"/>
    <row r="301" customFormat="1" ht="14.25" customHeight="1" x14ac:dyDescent="0.3"/>
    <row r="302" customFormat="1" ht="14.25" customHeight="1" x14ac:dyDescent="0.3"/>
    <row r="303" customFormat="1" ht="14.25" customHeight="1" x14ac:dyDescent="0.3"/>
    <row r="304" customFormat="1" ht="14.25" customHeight="1" x14ac:dyDescent="0.3"/>
    <row r="305" customFormat="1" ht="14.25" customHeight="1" x14ac:dyDescent="0.3"/>
    <row r="306" customFormat="1" ht="14.25" customHeight="1" x14ac:dyDescent="0.3"/>
    <row r="307" customFormat="1" ht="14.25" customHeight="1" x14ac:dyDescent="0.3"/>
    <row r="308" customFormat="1" ht="14.25" customHeight="1" x14ac:dyDescent="0.3"/>
    <row r="309" customFormat="1" ht="14.25" customHeight="1" x14ac:dyDescent="0.3"/>
    <row r="310" customFormat="1" ht="14.25" customHeight="1" x14ac:dyDescent="0.3"/>
    <row r="311" customFormat="1" ht="14.25" customHeight="1" x14ac:dyDescent="0.3"/>
    <row r="312" customFormat="1" ht="14.25" customHeight="1" x14ac:dyDescent="0.3"/>
    <row r="313" customFormat="1" ht="14.25" customHeight="1" x14ac:dyDescent="0.3"/>
    <row r="314" customFormat="1" ht="14.25" customHeight="1" x14ac:dyDescent="0.3"/>
    <row r="315" customFormat="1" ht="14.25" customHeight="1" x14ac:dyDescent="0.3"/>
    <row r="316" customFormat="1" ht="14.25" customHeight="1" x14ac:dyDescent="0.3"/>
    <row r="317" customFormat="1" ht="14.25" customHeight="1" x14ac:dyDescent="0.3"/>
    <row r="318" customFormat="1" ht="14.25" customHeight="1" x14ac:dyDescent="0.3"/>
    <row r="319" customFormat="1" ht="14.25" customHeight="1" x14ac:dyDescent="0.3"/>
    <row r="320" customFormat="1" ht="14.25" customHeight="1" x14ac:dyDescent="0.3"/>
    <row r="321" customFormat="1" ht="14.25" customHeight="1" x14ac:dyDescent="0.3"/>
    <row r="322" customFormat="1" ht="14.25" customHeight="1" x14ac:dyDescent="0.3"/>
    <row r="323" customFormat="1" ht="14.25" customHeight="1" x14ac:dyDescent="0.3"/>
    <row r="324" customFormat="1" ht="14.25" customHeight="1" x14ac:dyDescent="0.3"/>
    <row r="325" customFormat="1" ht="14.25" customHeight="1" x14ac:dyDescent="0.3"/>
    <row r="326" customFormat="1" ht="14.25" customHeight="1" x14ac:dyDescent="0.3"/>
    <row r="327" customFormat="1" ht="14.25" customHeight="1" x14ac:dyDescent="0.3"/>
    <row r="328" customFormat="1" ht="14.25" customHeight="1" x14ac:dyDescent="0.3"/>
    <row r="329" customFormat="1" ht="14.25" customHeight="1" x14ac:dyDescent="0.3"/>
    <row r="330" customFormat="1" ht="14.25" customHeight="1" x14ac:dyDescent="0.3"/>
    <row r="331" customFormat="1" ht="14.25" customHeight="1" x14ac:dyDescent="0.3"/>
    <row r="332" customFormat="1" ht="14.25" customHeight="1" x14ac:dyDescent="0.3"/>
    <row r="333" customFormat="1" ht="14.25" customHeight="1" x14ac:dyDescent="0.3"/>
    <row r="334" customFormat="1" ht="14.25" customHeight="1" x14ac:dyDescent="0.3"/>
    <row r="335" customFormat="1" ht="14.25" customHeight="1" x14ac:dyDescent="0.3"/>
    <row r="336" customFormat="1" ht="14.25" customHeight="1" x14ac:dyDescent="0.3"/>
    <row r="337" customFormat="1" ht="14.25" customHeight="1" x14ac:dyDescent="0.3"/>
    <row r="338" customFormat="1" ht="14.25" customHeight="1" x14ac:dyDescent="0.3"/>
    <row r="339" customFormat="1" ht="14.25" customHeight="1" x14ac:dyDescent="0.3"/>
    <row r="340" customFormat="1" ht="14.25" customHeight="1" x14ac:dyDescent="0.3"/>
    <row r="341" customFormat="1" ht="14.25" customHeight="1" x14ac:dyDescent="0.3"/>
    <row r="342" customFormat="1" ht="14.25" customHeight="1" x14ac:dyDescent="0.3"/>
    <row r="343" customFormat="1" ht="14.25" customHeight="1" x14ac:dyDescent="0.3"/>
    <row r="344" customFormat="1" ht="14.25" customHeight="1" x14ac:dyDescent="0.3"/>
    <row r="345" customFormat="1" ht="14.25" customHeight="1" x14ac:dyDescent="0.3"/>
    <row r="346" customFormat="1" ht="14.25" customHeight="1" x14ac:dyDescent="0.3"/>
    <row r="347" customFormat="1" ht="14.25" customHeight="1" x14ac:dyDescent="0.3"/>
    <row r="348" customFormat="1" ht="14.25" customHeight="1" x14ac:dyDescent="0.3"/>
    <row r="349" customFormat="1" ht="14.25" customHeight="1" x14ac:dyDescent="0.3"/>
    <row r="350" customFormat="1" ht="14.25" customHeight="1" x14ac:dyDescent="0.3"/>
    <row r="351" customFormat="1" ht="14.25" customHeight="1" x14ac:dyDescent="0.3"/>
    <row r="352" customFormat="1" ht="14.25" customHeight="1" x14ac:dyDescent="0.3"/>
    <row r="353" customFormat="1" ht="14.25" customHeight="1" x14ac:dyDescent="0.3"/>
    <row r="354" customFormat="1" ht="14.25" customHeight="1" x14ac:dyDescent="0.3"/>
    <row r="355" customFormat="1" ht="14.25" customHeight="1" x14ac:dyDescent="0.3"/>
    <row r="356" customFormat="1" ht="14.25" customHeight="1" x14ac:dyDescent="0.3"/>
    <row r="357" customFormat="1" ht="14.25" customHeight="1" x14ac:dyDescent="0.3"/>
    <row r="358" customFormat="1" ht="14.25" customHeight="1" x14ac:dyDescent="0.3"/>
    <row r="359" customFormat="1" ht="14.25" customHeight="1" x14ac:dyDescent="0.3"/>
    <row r="360" customFormat="1" ht="14.25" customHeight="1" x14ac:dyDescent="0.3"/>
    <row r="361" customFormat="1" ht="14.25" customHeight="1" x14ac:dyDescent="0.3"/>
    <row r="362" customFormat="1" ht="14.25" customHeight="1" x14ac:dyDescent="0.3"/>
    <row r="363" customFormat="1" ht="14.25" customHeight="1" x14ac:dyDescent="0.3"/>
    <row r="364" customFormat="1" ht="14.25" customHeight="1" x14ac:dyDescent="0.3"/>
    <row r="365" customFormat="1" ht="14.25" customHeight="1" x14ac:dyDescent="0.3"/>
    <row r="366" customFormat="1" ht="14.25" customHeight="1" x14ac:dyDescent="0.3"/>
    <row r="367" customFormat="1" ht="14.25" customHeight="1" x14ac:dyDescent="0.3"/>
    <row r="368" customFormat="1" ht="14.25" customHeight="1" x14ac:dyDescent="0.3"/>
    <row r="369" customFormat="1" ht="14.25" customHeight="1" x14ac:dyDescent="0.3"/>
    <row r="370" customFormat="1" ht="14.25" customHeight="1" x14ac:dyDescent="0.3"/>
    <row r="371" customFormat="1" ht="14.25" customHeight="1" x14ac:dyDescent="0.3"/>
    <row r="372" customFormat="1" ht="14.25" customHeight="1" x14ac:dyDescent="0.3"/>
    <row r="373" customFormat="1" ht="14.25" customHeight="1" x14ac:dyDescent="0.3"/>
    <row r="374" customFormat="1" ht="14.25" customHeight="1" x14ac:dyDescent="0.3"/>
    <row r="375" customFormat="1" ht="14.25" customHeight="1" x14ac:dyDescent="0.3"/>
    <row r="376" customFormat="1" ht="14.25" customHeight="1" x14ac:dyDescent="0.3"/>
    <row r="377" customFormat="1" ht="14.25" customHeight="1" x14ac:dyDescent="0.3"/>
    <row r="378" customFormat="1" ht="14.25" customHeight="1" x14ac:dyDescent="0.3"/>
    <row r="379" customFormat="1" ht="14.25" customHeight="1" x14ac:dyDescent="0.3"/>
    <row r="380" customFormat="1" ht="14.25" customHeight="1" x14ac:dyDescent="0.3"/>
    <row r="381" customFormat="1" ht="14.25" customHeight="1" x14ac:dyDescent="0.3"/>
    <row r="382" customFormat="1" ht="14.25" customHeight="1" x14ac:dyDescent="0.3"/>
    <row r="383" customFormat="1" ht="14.25" customHeight="1" x14ac:dyDescent="0.3"/>
    <row r="384" customFormat="1" ht="14.25" customHeight="1" x14ac:dyDescent="0.3"/>
    <row r="385" customFormat="1" ht="14.25" customHeight="1" x14ac:dyDescent="0.3"/>
    <row r="386" customFormat="1" ht="14.25" customHeight="1" x14ac:dyDescent="0.3"/>
    <row r="387" customFormat="1" ht="14.25" customHeight="1" x14ac:dyDescent="0.3"/>
    <row r="388" customFormat="1" ht="14.25" customHeight="1" x14ac:dyDescent="0.3"/>
    <row r="389" customFormat="1" ht="14.25" customHeight="1" x14ac:dyDescent="0.3"/>
    <row r="390" customFormat="1" ht="14.25" customHeight="1" x14ac:dyDescent="0.3"/>
    <row r="391" customFormat="1" ht="14.25" customHeight="1" x14ac:dyDescent="0.3"/>
    <row r="392" customFormat="1" ht="14.25" customHeight="1" x14ac:dyDescent="0.3"/>
    <row r="393" customFormat="1" ht="14.25" customHeight="1" x14ac:dyDescent="0.3"/>
    <row r="394" customFormat="1" ht="14.25" customHeight="1" x14ac:dyDescent="0.3"/>
    <row r="395" customFormat="1" ht="14.25" customHeight="1" x14ac:dyDescent="0.3"/>
    <row r="396" customFormat="1" ht="14.25" customHeight="1" x14ac:dyDescent="0.3"/>
    <row r="397" customFormat="1" ht="14.25" customHeight="1" x14ac:dyDescent="0.3"/>
    <row r="398" customFormat="1" ht="14.25" customHeight="1" x14ac:dyDescent="0.3"/>
    <row r="399" customFormat="1" ht="14.25" customHeight="1" x14ac:dyDescent="0.3"/>
    <row r="400" customFormat="1" ht="14.25" customHeight="1" x14ac:dyDescent="0.3"/>
    <row r="401" customFormat="1" ht="14.25" customHeight="1" x14ac:dyDescent="0.3"/>
    <row r="402" customFormat="1" ht="14.25" customHeight="1" x14ac:dyDescent="0.3"/>
    <row r="403" customFormat="1" ht="14.25" customHeight="1" x14ac:dyDescent="0.3"/>
    <row r="404" customFormat="1" ht="14.25" customHeight="1" x14ac:dyDescent="0.3"/>
    <row r="405" customFormat="1" ht="14.25" customHeight="1" x14ac:dyDescent="0.3"/>
    <row r="406" customFormat="1" ht="14.25" customHeight="1" x14ac:dyDescent="0.3"/>
    <row r="407" customFormat="1" ht="14.25" customHeight="1" x14ac:dyDescent="0.3"/>
    <row r="408" customFormat="1" ht="14.25" customHeight="1" x14ac:dyDescent="0.3"/>
    <row r="409" customFormat="1" ht="14.25" customHeight="1" x14ac:dyDescent="0.3"/>
    <row r="410" customFormat="1" ht="14.25" customHeight="1" x14ac:dyDescent="0.3"/>
    <row r="411" customFormat="1" ht="14.25" customHeight="1" x14ac:dyDescent="0.3"/>
    <row r="412" customFormat="1" ht="14.25" customHeight="1" x14ac:dyDescent="0.3"/>
    <row r="413" customFormat="1" ht="14.25" customHeight="1" x14ac:dyDescent="0.3"/>
    <row r="414" customFormat="1" ht="14.25" customHeight="1" x14ac:dyDescent="0.3"/>
    <row r="415" customFormat="1" ht="14.25" customHeight="1" x14ac:dyDescent="0.3"/>
    <row r="416" customFormat="1" ht="14.25" customHeight="1" x14ac:dyDescent="0.3"/>
    <row r="417" customFormat="1" ht="14.25" customHeight="1" x14ac:dyDescent="0.3"/>
    <row r="418" customFormat="1" ht="14.25" customHeight="1" x14ac:dyDescent="0.3"/>
    <row r="419" customFormat="1" ht="14.25" customHeight="1" x14ac:dyDescent="0.3"/>
    <row r="420" customFormat="1" ht="14.25" customHeight="1" x14ac:dyDescent="0.3"/>
    <row r="421" customFormat="1" ht="14.25" customHeight="1" x14ac:dyDescent="0.3"/>
    <row r="422" customFormat="1" ht="14.25" customHeight="1" x14ac:dyDescent="0.3"/>
    <row r="423" customFormat="1" ht="14.25" customHeight="1" x14ac:dyDescent="0.3"/>
    <row r="424" customFormat="1" ht="14.25" customHeight="1" x14ac:dyDescent="0.3"/>
    <row r="425" customFormat="1" ht="14.25" customHeight="1" x14ac:dyDescent="0.3"/>
    <row r="426" customFormat="1" ht="14.25" customHeight="1" x14ac:dyDescent="0.3"/>
    <row r="427" customFormat="1" ht="14.25" customHeight="1" x14ac:dyDescent="0.3"/>
    <row r="428" customFormat="1" ht="14.25" customHeight="1" x14ac:dyDescent="0.3"/>
    <row r="429" customFormat="1" ht="14.25" customHeight="1" x14ac:dyDescent="0.3"/>
    <row r="430" customFormat="1" ht="14.25" customHeight="1" x14ac:dyDescent="0.3"/>
    <row r="431" customFormat="1" ht="14.25" customHeight="1" x14ac:dyDescent="0.3"/>
    <row r="432" customFormat="1" ht="14.25" customHeight="1" x14ac:dyDescent="0.3"/>
    <row r="433" customFormat="1" ht="14.25" customHeight="1" x14ac:dyDescent="0.3"/>
    <row r="434" customFormat="1" ht="14.25" customHeight="1" x14ac:dyDescent="0.3"/>
    <row r="435" customFormat="1" ht="14.25" customHeight="1" x14ac:dyDescent="0.3"/>
    <row r="436" customFormat="1" ht="14.25" customHeight="1" x14ac:dyDescent="0.3"/>
    <row r="437" customFormat="1" ht="14.25" customHeight="1" x14ac:dyDescent="0.3"/>
    <row r="438" customFormat="1" ht="14.25" customHeight="1" x14ac:dyDescent="0.3"/>
    <row r="439" customFormat="1" ht="14.25" customHeight="1" x14ac:dyDescent="0.3"/>
    <row r="440" customFormat="1" ht="14.25" customHeight="1" x14ac:dyDescent="0.3"/>
    <row r="441" customFormat="1" ht="14.25" customHeight="1" x14ac:dyDescent="0.3"/>
    <row r="442" customFormat="1" ht="14.25" customHeight="1" x14ac:dyDescent="0.3"/>
    <row r="443" customFormat="1" ht="14.25" customHeight="1" x14ac:dyDescent="0.3"/>
    <row r="444" customFormat="1" ht="14.25" customHeight="1" x14ac:dyDescent="0.3"/>
    <row r="445" customFormat="1" ht="14.25" customHeight="1" x14ac:dyDescent="0.3"/>
    <row r="446" customFormat="1" ht="14.25" customHeight="1" x14ac:dyDescent="0.3"/>
    <row r="447" customFormat="1" ht="14.25" customHeight="1" x14ac:dyDescent="0.3"/>
    <row r="448" customFormat="1" ht="14.25" customHeight="1" x14ac:dyDescent="0.3"/>
    <row r="449" customFormat="1" ht="14.25" customHeight="1" x14ac:dyDescent="0.3"/>
    <row r="450" customFormat="1" ht="14.25" customHeight="1" x14ac:dyDescent="0.3"/>
    <row r="451" customFormat="1" ht="14.25" customHeight="1" x14ac:dyDescent="0.3"/>
    <row r="452" customFormat="1" ht="14.25" customHeight="1" x14ac:dyDescent="0.3"/>
    <row r="453" customFormat="1" ht="14.25" customHeight="1" x14ac:dyDescent="0.3"/>
    <row r="454" customFormat="1" ht="14.25" customHeight="1" x14ac:dyDescent="0.3"/>
    <row r="455" customFormat="1" ht="14.25" customHeight="1" x14ac:dyDescent="0.3"/>
    <row r="456" customFormat="1" ht="14.25" customHeight="1" x14ac:dyDescent="0.3"/>
    <row r="457" customFormat="1" ht="14.25" customHeight="1" x14ac:dyDescent="0.3"/>
    <row r="458" customFormat="1" ht="14.25" customHeight="1" x14ac:dyDescent="0.3"/>
    <row r="459" customFormat="1" ht="14.25" customHeight="1" x14ac:dyDescent="0.3"/>
    <row r="460" customFormat="1" ht="14.25" customHeight="1" x14ac:dyDescent="0.3"/>
    <row r="461" customFormat="1" ht="14.25" customHeight="1" x14ac:dyDescent="0.3"/>
    <row r="462" customFormat="1" ht="14.25" customHeight="1" x14ac:dyDescent="0.3"/>
    <row r="463" customFormat="1" ht="14.25" customHeight="1" x14ac:dyDescent="0.3"/>
    <row r="464" customFormat="1" ht="14.25" customHeight="1" x14ac:dyDescent="0.3"/>
    <row r="465" customFormat="1" ht="14.25" customHeight="1" x14ac:dyDescent="0.3"/>
    <row r="466" customFormat="1" ht="14.25" customHeight="1" x14ac:dyDescent="0.3"/>
    <row r="467" customFormat="1" ht="14.25" customHeight="1" x14ac:dyDescent="0.3"/>
    <row r="468" customFormat="1" ht="14.25" customHeight="1" x14ac:dyDescent="0.3"/>
    <row r="469" customFormat="1" ht="14.25" customHeight="1" x14ac:dyDescent="0.3"/>
    <row r="470" customFormat="1" ht="14.25" customHeight="1" x14ac:dyDescent="0.3"/>
    <row r="471" customFormat="1" ht="14.25" customHeight="1" x14ac:dyDescent="0.3"/>
    <row r="472" customFormat="1" ht="14.25" customHeight="1" x14ac:dyDescent="0.3"/>
    <row r="473" customFormat="1" ht="14.25" customHeight="1" x14ac:dyDescent="0.3"/>
    <row r="474" customFormat="1" ht="14.25" customHeight="1" x14ac:dyDescent="0.3"/>
    <row r="475" customFormat="1" ht="14.25" customHeight="1" x14ac:dyDescent="0.3"/>
    <row r="476" customFormat="1" ht="14.25" customHeight="1" x14ac:dyDescent="0.3"/>
    <row r="477" customFormat="1" ht="14.25" customHeight="1" x14ac:dyDescent="0.3"/>
    <row r="478" customFormat="1" ht="14.25" customHeight="1" x14ac:dyDescent="0.3"/>
    <row r="479" customFormat="1" ht="14.25" customHeight="1" x14ac:dyDescent="0.3"/>
    <row r="480" customFormat="1" ht="14.25" customHeight="1" x14ac:dyDescent="0.3"/>
    <row r="481" customFormat="1" ht="14.25" customHeight="1" x14ac:dyDescent="0.3"/>
    <row r="482" customFormat="1" ht="14.25" customHeight="1" x14ac:dyDescent="0.3"/>
    <row r="483" customFormat="1" ht="14.25" customHeight="1" x14ac:dyDescent="0.3"/>
    <row r="484" customFormat="1" ht="14.25" customHeight="1" x14ac:dyDescent="0.3"/>
    <row r="485" customFormat="1" ht="14.25" customHeight="1" x14ac:dyDescent="0.3"/>
    <row r="486" customFormat="1" ht="14.25" customHeight="1" x14ac:dyDescent="0.3"/>
    <row r="487" customFormat="1" ht="14.25" customHeight="1" x14ac:dyDescent="0.3"/>
    <row r="488" customFormat="1" ht="14.25" customHeight="1" x14ac:dyDescent="0.3"/>
    <row r="489" customFormat="1" ht="14.25" customHeight="1" x14ac:dyDescent="0.3"/>
    <row r="490" customFormat="1" ht="14.25" customHeight="1" x14ac:dyDescent="0.3"/>
    <row r="491" customFormat="1" ht="14.25" customHeight="1" x14ac:dyDescent="0.3"/>
    <row r="492" customFormat="1" ht="14.25" customHeight="1" x14ac:dyDescent="0.3"/>
    <row r="493" customFormat="1" ht="14.25" customHeight="1" x14ac:dyDescent="0.3"/>
    <row r="494" customFormat="1" ht="14.25" customHeight="1" x14ac:dyDescent="0.3"/>
    <row r="495" customFormat="1" ht="14.25" customHeight="1" x14ac:dyDescent="0.3"/>
    <row r="496" customFormat="1" ht="14.25" customHeight="1" x14ac:dyDescent="0.3"/>
    <row r="497" customFormat="1" ht="14.25" customHeight="1" x14ac:dyDescent="0.3"/>
    <row r="498" customFormat="1" ht="14.25" customHeight="1" x14ac:dyDescent="0.3"/>
    <row r="499" customFormat="1" ht="14.25" customHeight="1" x14ac:dyDescent="0.3"/>
    <row r="500" customFormat="1" ht="14.25" customHeight="1" x14ac:dyDescent="0.3"/>
    <row r="501" customFormat="1" ht="14.25" customHeight="1" x14ac:dyDescent="0.3"/>
    <row r="502" customFormat="1" ht="14.25" customHeight="1" x14ac:dyDescent="0.3"/>
    <row r="503" customFormat="1" ht="14.25" customHeight="1" x14ac:dyDescent="0.3"/>
    <row r="504" customFormat="1" ht="14.25" customHeight="1" x14ac:dyDescent="0.3"/>
    <row r="505" customFormat="1" ht="14.25" customHeight="1" x14ac:dyDescent="0.3"/>
    <row r="506" customFormat="1" ht="14.25" customHeight="1" x14ac:dyDescent="0.3"/>
    <row r="507" customFormat="1" ht="14.25" customHeight="1" x14ac:dyDescent="0.3"/>
    <row r="508" customFormat="1" ht="14.25" customHeight="1" x14ac:dyDescent="0.3"/>
    <row r="509" customFormat="1" ht="14.25" customHeight="1" x14ac:dyDescent="0.3"/>
    <row r="510" customFormat="1" ht="14.25" customHeight="1" x14ac:dyDescent="0.3"/>
    <row r="511" customFormat="1" ht="14.25" customHeight="1" x14ac:dyDescent="0.3"/>
    <row r="512" customFormat="1" ht="14.25" customHeight="1" x14ac:dyDescent="0.3"/>
    <row r="513" customFormat="1" ht="14.25" customHeight="1" x14ac:dyDescent="0.3"/>
    <row r="514" customFormat="1" ht="14.25" customHeight="1" x14ac:dyDescent="0.3"/>
    <row r="515" customFormat="1" ht="14.25" customHeight="1" x14ac:dyDescent="0.3"/>
    <row r="516" customFormat="1" ht="14.25" customHeight="1" x14ac:dyDescent="0.3"/>
    <row r="517" customFormat="1" ht="14.25" customHeight="1" x14ac:dyDescent="0.3"/>
    <row r="518" customFormat="1" ht="14.25" customHeight="1" x14ac:dyDescent="0.3"/>
    <row r="519" customFormat="1" ht="14.25" customHeight="1" x14ac:dyDescent="0.3"/>
    <row r="520" customFormat="1" ht="14.25" customHeight="1" x14ac:dyDescent="0.3"/>
    <row r="521" customFormat="1" ht="14.25" customHeight="1" x14ac:dyDescent="0.3"/>
    <row r="522" customFormat="1" ht="14.25" customHeight="1" x14ac:dyDescent="0.3"/>
    <row r="523" customFormat="1" ht="14.25" customHeight="1" x14ac:dyDescent="0.3"/>
    <row r="524" customFormat="1" ht="14.25" customHeight="1" x14ac:dyDescent="0.3"/>
    <row r="525" customFormat="1" ht="14.25" customHeight="1" x14ac:dyDescent="0.3"/>
    <row r="526" customFormat="1" ht="14.25" customHeight="1" x14ac:dyDescent="0.3"/>
    <row r="527" customFormat="1" ht="14.25" customHeight="1" x14ac:dyDescent="0.3"/>
    <row r="528" customFormat="1" ht="14.25" customHeight="1" x14ac:dyDescent="0.3"/>
    <row r="529" customFormat="1" ht="14.25" customHeight="1" x14ac:dyDescent="0.3"/>
    <row r="530" customFormat="1" ht="14.25" customHeight="1" x14ac:dyDescent="0.3"/>
    <row r="531" customFormat="1" ht="14.25" customHeight="1" x14ac:dyDescent="0.3"/>
    <row r="532" customFormat="1" ht="14.25" customHeight="1" x14ac:dyDescent="0.3"/>
    <row r="533" customFormat="1" ht="14.25" customHeight="1" x14ac:dyDescent="0.3"/>
    <row r="534" customFormat="1" ht="14.25" customHeight="1" x14ac:dyDescent="0.3"/>
    <row r="535" customFormat="1" ht="14.25" customHeight="1" x14ac:dyDescent="0.3"/>
    <row r="536" customFormat="1" ht="14.25" customHeight="1" x14ac:dyDescent="0.3"/>
    <row r="537" customFormat="1" ht="14.25" customHeight="1" x14ac:dyDescent="0.3"/>
    <row r="538" customFormat="1" ht="14.25" customHeight="1" x14ac:dyDescent="0.3"/>
    <row r="539" customFormat="1" ht="14.25" customHeight="1" x14ac:dyDescent="0.3"/>
    <row r="540" customFormat="1" ht="14.25" customHeight="1" x14ac:dyDescent="0.3"/>
    <row r="541" customFormat="1" ht="14.25" customHeight="1" x14ac:dyDescent="0.3"/>
    <row r="542" customFormat="1" ht="14.25" customHeight="1" x14ac:dyDescent="0.3"/>
    <row r="543" customFormat="1" ht="14.25" customHeight="1" x14ac:dyDescent="0.3"/>
    <row r="544" customFormat="1" ht="14.25" customHeight="1" x14ac:dyDescent="0.3"/>
    <row r="545" customFormat="1" ht="14.25" customHeight="1" x14ac:dyDescent="0.3"/>
    <row r="546" customFormat="1" ht="14.25" customHeight="1" x14ac:dyDescent="0.3"/>
    <row r="547" customFormat="1" ht="14.25" customHeight="1" x14ac:dyDescent="0.3"/>
    <row r="548" customFormat="1" ht="14.25" customHeight="1" x14ac:dyDescent="0.3"/>
    <row r="549" customFormat="1" ht="14.25" customHeight="1" x14ac:dyDescent="0.3"/>
    <row r="550" customFormat="1" ht="14.25" customHeight="1" x14ac:dyDescent="0.3"/>
    <row r="551" customFormat="1" ht="14.25" customHeight="1" x14ac:dyDescent="0.3"/>
    <row r="552" customFormat="1" ht="14.25" customHeight="1" x14ac:dyDescent="0.3"/>
    <row r="553" customFormat="1" ht="14.25" customHeight="1" x14ac:dyDescent="0.3"/>
    <row r="554" customFormat="1" ht="14.25" customHeight="1" x14ac:dyDescent="0.3"/>
    <row r="555" customFormat="1" ht="14.25" customHeight="1" x14ac:dyDescent="0.3"/>
    <row r="556" customFormat="1" ht="14.25" customHeight="1" x14ac:dyDescent="0.3"/>
    <row r="557" customFormat="1" ht="14.25" customHeight="1" x14ac:dyDescent="0.3"/>
    <row r="558" customFormat="1" ht="14.25" customHeight="1" x14ac:dyDescent="0.3"/>
    <row r="559" customFormat="1" ht="14.25" customHeight="1" x14ac:dyDescent="0.3"/>
    <row r="560" customFormat="1" ht="14.25" customHeight="1" x14ac:dyDescent="0.3"/>
    <row r="561" customFormat="1" ht="14.25" customHeight="1" x14ac:dyDescent="0.3"/>
    <row r="562" customFormat="1" ht="14.25" customHeight="1" x14ac:dyDescent="0.3"/>
    <row r="563" customFormat="1" ht="14.25" customHeight="1" x14ac:dyDescent="0.3"/>
    <row r="564" customFormat="1" ht="14.25" customHeight="1" x14ac:dyDescent="0.3"/>
    <row r="565" customFormat="1" ht="14.25" customHeight="1" x14ac:dyDescent="0.3"/>
    <row r="566" customFormat="1" ht="14.25" customHeight="1" x14ac:dyDescent="0.3"/>
    <row r="567" customFormat="1" ht="14.25" customHeight="1" x14ac:dyDescent="0.3"/>
    <row r="568" customFormat="1" ht="14.25" customHeight="1" x14ac:dyDescent="0.3"/>
    <row r="569" customFormat="1" ht="14.25" customHeight="1" x14ac:dyDescent="0.3"/>
    <row r="570" customFormat="1" ht="14.25" customHeight="1" x14ac:dyDescent="0.3"/>
    <row r="571" customFormat="1" ht="14.25" customHeight="1" x14ac:dyDescent="0.3"/>
    <row r="572" customFormat="1" ht="14.25" customHeight="1" x14ac:dyDescent="0.3"/>
    <row r="573" customFormat="1" ht="14.25" customHeight="1" x14ac:dyDescent="0.3"/>
    <row r="574" customFormat="1" ht="14.25" customHeight="1" x14ac:dyDescent="0.3"/>
    <row r="575" customFormat="1" ht="14.25" customHeight="1" x14ac:dyDescent="0.3"/>
    <row r="576" customFormat="1" ht="14.25" customHeight="1" x14ac:dyDescent="0.3"/>
    <row r="577" customFormat="1" ht="14.25" customHeight="1" x14ac:dyDescent="0.3"/>
    <row r="578" customFormat="1" ht="14.25" customHeight="1" x14ac:dyDescent="0.3"/>
    <row r="579" customFormat="1" ht="14.25" customHeight="1" x14ac:dyDescent="0.3"/>
    <row r="580" customFormat="1" ht="14.25" customHeight="1" x14ac:dyDescent="0.3"/>
    <row r="581" customFormat="1" ht="14.25" customHeight="1" x14ac:dyDescent="0.3"/>
    <row r="582" customFormat="1" ht="14.25" customHeight="1" x14ac:dyDescent="0.3"/>
    <row r="583" customFormat="1" ht="14.25" customHeight="1" x14ac:dyDescent="0.3"/>
    <row r="584" customFormat="1" ht="14.25" customHeight="1" x14ac:dyDescent="0.3"/>
    <row r="585" customFormat="1" ht="14.25" customHeight="1" x14ac:dyDescent="0.3"/>
    <row r="586" customFormat="1" ht="14.25" customHeight="1" x14ac:dyDescent="0.3"/>
    <row r="587" customFormat="1" ht="14.25" customHeight="1" x14ac:dyDescent="0.3"/>
    <row r="588" customFormat="1" ht="14.25" customHeight="1" x14ac:dyDescent="0.3"/>
    <row r="589" customFormat="1" ht="14.25" customHeight="1" x14ac:dyDescent="0.3"/>
    <row r="590" customFormat="1" ht="14.25" customHeight="1" x14ac:dyDescent="0.3"/>
    <row r="591" customFormat="1" ht="14.25" customHeight="1" x14ac:dyDescent="0.3"/>
    <row r="592" customFormat="1" ht="14.25" customHeight="1" x14ac:dyDescent="0.3"/>
    <row r="593" customFormat="1" ht="14.25" customHeight="1" x14ac:dyDescent="0.3"/>
    <row r="594" customFormat="1" ht="14.25" customHeight="1" x14ac:dyDescent="0.3"/>
    <row r="595" customFormat="1" ht="14.25" customHeight="1" x14ac:dyDescent="0.3"/>
    <row r="596" customFormat="1" ht="14.25" customHeight="1" x14ac:dyDescent="0.3"/>
    <row r="597" customFormat="1" ht="14.25" customHeight="1" x14ac:dyDescent="0.3"/>
    <row r="598" customFormat="1" ht="14.25" customHeight="1" x14ac:dyDescent="0.3"/>
    <row r="599" customFormat="1" ht="14.25" customHeight="1" x14ac:dyDescent="0.3"/>
    <row r="600" customFormat="1" ht="14.25" customHeight="1" x14ac:dyDescent="0.3"/>
    <row r="601" customFormat="1" ht="14.25" customHeight="1" x14ac:dyDescent="0.3"/>
    <row r="602" customFormat="1" ht="14.25" customHeight="1" x14ac:dyDescent="0.3"/>
    <row r="603" customFormat="1" ht="14.25" customHeight="1" x14ac:dyDescent="0.3"/>
    <row r="604" customFormat="1" ht="14.25" customHeight="1" x14ac:dyDescent="0.3"/>
    <row r="605" customFormat="1" ht="14.25" customHeight="1" x14ac:dyDescent="0.3"/>
    <row r="606" customFormat="1" ht="14.25" customHeight="1" x14ac:dyDescent="0.3"/>
    <row r="607" customFormat="1" ht="14.25" customHeight="1" x14ac:dyDescent="0.3"/>
    <row r="608" customFormat="1" ht="14.25" customHeight="1" x14ac:dyDescent="0.3"/>
    <row r="609" customFormat="1" ht="14.25" customHeight="1" x14ac:dyDescent="0.3"/>
    <row r="610" customFormat="1" ht="14.25" customHeight="1" x14ac:dyDescent="0.3"/>
    <row r="611" customFormat="1" ht="14.25" customHeight="1" x14ac:dyDescent="0.3"/>
    <row r="612" customFormat="1" ht="14.25" customHeight="1" x14ac:dyDescent="0.3"/>
    <row r="613" customFormat="1" ht="14.25" customHeight="1" x14ac:dyDescent="0.3"/>
    <row r="614" customFormat="1" ht="14.25" customHeight="1" x14ac:dyDescent="0.3"/>
    <row r="615" customFormat="1" ht="14.25" customHeight="1" x14ac:dyDescent="0.3"/>
    <row r="616" customFormat="1" ht="14.25" customHeight="1" x14ac:dyDescent="0.3"/>
    <row r="617" customFormat="1" ht="14.25" customHeight="1" x14ac:dyDescent="0.3"/>
    <row r="618" customFormat="1" ht="14.25" customHeight="1" x14ac:dyDescent="0.3"/>
    <row r="619" customFormat="1" ht="14.25" customHeight="1" x14ac:dyDescent="0.3"/>
    <row r="620" customFormat="1" ht="14.25" customHeight="1" x14ac:dyDescent="0.3"/>
    <row r="621" customFormat="1" ht="14.25" customHeight="1" x14ac:dyDescent="0.3"/>
    <row r="622" customFormat="1" ht="14.25" customHeight="1" x14ac:dyDescent="0.3"/>
    <row r="623" customFormat="1" ht="14.25" customHeight="1" x14ac:dyDescent="0.3"/>
    <row r="624" customFormat="1" ht="14.25" customHeight="1" x14ac:dyDescent="0.3"/>
    <row r="625" customFormat="1" ht="14.25" customHeight="1" x14ac:dyDescent="0.3"/>
    <row r="626" customFormat="1" ht="14.25" customHeight="1" x14ac:dyDescent="0.3"/>
    <row r="627" customFormat="1" ht="14.25" customHeight="1" x14ac:dyDescent="0.3"/>
    <row r="628" customFormat="1" ht="14.25" customHeight="1" x14ac:dyDescent="0.3"/>
    <row r="629" customFormat="1" ht="14.25" customHeight="1" x14ac:dyDescent="0.3"/>
    <row r="630" customFormat="1" ht="14.25" customHeight="1" x14ac:dyDescent="0.3"/>
    <row r="631" customFormat="1" ht="14.25" customHeight="1" x14ac:dyDescent="0.3"/>
    <row r="632" customFormat="1" ht="14.25" customHeight="1" x14ac:dyDescent="0.3"/>
    <row r="633" customFormat="1" ht="14.25" customHeight="1" x14ac:dyDescent="0.3"/>
    <row r="634" customFormat="1" ht="14.25" customHeight="1" x14ac:dyDescent="0.3"/>
    <row r="635" customFormat="1" ht="14.25" customHeight="1" x14ac:dyDescent="0.3"/>
    <row r="636" customFormat="1" ht="14.25" customHeight="1" x14ac:dyDescent="0.3"/>
    <row r="637" customFormat="1" ht="14.25" customHeight="1" x14ac:dyDescent="0.3"/>
    <row r="638" customFormat="1" ht="14.25" customHeight="1" x14ac:dyDescent="0.3"/>
    <row r="639" customFormat="1" ht="14.25" customHeight="1" x14ac:dyDescent="0.3"/>
    <row r="640" customFormat="1" ht="14.25" customHeight="1" x14ac:dyDescent="0.3"/>
    <row r="641" customFormat="1" ht="14.25" customHeight="1" x14ac:dyDescent="0.3"/>
    <row r="642" customFormat="1" ht="14.25" customHeight="1" x14ac:dyDescent="0.3"/>
    <row r="643" customFormat="1" ht="14.25" customHeight="1" x14ac:dyDescent="0.3"/>
    <row r="644" customFormat="1" ht="14.25" customHeight="1" x14ac:dyDescent="0.3"/>
    <row r="645" customFormat="1" ht="14.25" customHeight="1" x14ac:dyDescent="0.3"/>
    <row r="646" customFormat="1" ht="14.25" customHeight="1" x14ac:dyDescent="0.3"/>
    <row r="647" customFormat="1" ht="14.25" customHeight="1" x14ac:dyDescent="0.3"/>
    <row r="648" customFormat="1" ht="14.25" customHeight="1" x14ac:dyDescent="0.3"/>
    <row r="649" customFormat="1" ht="14.25" customHeight="1" x14ac:dyDescent="0.3"/>
    <row r="650" customFormat="1" ht="14.25" customHeight="1" x14ac:dyDescent="0.3"/>
    <row r="651" customFormat="1" ht="14.25" customHeight="1" x14ac:dyDescent="0.3"/>
    <row r="652" customFormat="1" ht="14.25" customHeight="1" x14ac:dyDescent="0.3"/>
    <row r="653" customFormat="1" ht="14.25" customHeight="1" x14ac:dyDescent="0.3"/>
    <row r="654" customFormat="1" ht="14.25" customHeight="1" x14ac:dyDescent="0.3"/>
    <row r="655" customFormat="1" ht="14.25" customHeight="1" x14ac:dyDescent="0.3"/>
    <row r="656" customFormat="1" ht="14.25" customHeight="1" x14ac:dyDescent="0.3"/>
    <row r="657" customFormat="1" ht="14.25" customHeight="1" x14ac:dyDescent="0.3"/>
    <row r="658" customFormat="1" ht="14.25" customHeight="1" x14ac:dyDescent="0.3"/>
    <row r="659" customFormat="1" ht="14.25" customHeight="1" x14ac:dyDescent="0.3"/>
    <row r="660" customFormat="1" ht="14.25" customHeight="1" x14ac:dyDescent="0.3"/>
    <row r="661" customFormat="1" ht="14.25" customHeight="1" x14ac:dyDescent="0.3"/>
    <row r="662" customFormat="1" ht="14.25" customHeight="1" x14ac:dyDescent="0.3"/>
    <row r="663" customFormat="1" ht="14.25" customHeight="1" x14ac:dyDescent="0.3"/>
    <row r="664" customFormat="1" ht="14.25" customHeight="1" x14ac:dyDescent="0.3"/>
    <row r="665" customFormat="1" ht="14.25" customHeight="1" x14ac:dyDescent="0.3"/>
    <row r="666" customFormat="1" ht="14.25" customHeight="1" x14ac:dyDescent="0.3"/>
    <row r="667" customFormat="1" ht="14.25" customHeight="1" x14ac:dyDescent="0.3"/>
    <row r="668" customFormat="1" ht="14.25" customHeight="1" x14ac:dyDescent="0.3"/>
    <row r="669" customFormat="1" ht="14.25" customHeight="1" x14ac:dyDescent="0.3"/>
    <row r="670" customFormat="1" ht="14.25" customHeight="1" x14ac:dyDescent="0.3"/>
    <row r="671" customFormat="1" ht="14.25" customHeight="1" x14ac:dyDescent="0.3"/>
    <row r="672" customFormat="1" ht="14.25" customHeight="1" x14ac:dyDescent="0.3"/>
    <row r="673" customFormat="1" ht="14.25" customHeight="1" x14ac:dyDescent="0.3"/>
    <row r="674" customFormat="1" ht="14.25" customHeight="1" x14ac:dyDescent="0.3"/>
    <row r="675" customFormat="1" ht="14.25" customHeight="1" x14ac:dyDescent="0.3"/>
    <row r="676" customFormat="1" ht="14.25" customHeight="1" x14ac:dyDescent="0.3"/>
    <row r="677" customFormat="1" ht="14.25" customHeight="1" x14ac:dyDescent="0.3"/>
    <row r="678" customFormat="1" ht="14.25" customHeight="1" x14ac:dyDescent="0.3"/>
    <row r="679" customFormat="1" ht="14.25" customHeight="1" x14ac:dyDescent="0.3"/>
    <row r="680" customFormat="1" ht="14.25" customHeight="1" x14ac:dyDescent="0.3"/>
    <row r="681" customFormat="1" ht="14.25" customHeight="1" x14ac:dyDescent="0.3"/>
    <row r="682" customFormat="1" ht="14.25" customHeight="1" x14ac:dyDescent="0.3"/>
    <row r="683" customFormat="1" ht="14.25" customHeight="1" x14ac:dyDescent="0.3"/>
    <row r="684" customFormat="1" ht="14.25" customHeight="1" x14ac:dyDescent="0.3"/>
    <row r="685" customFormat="1" ht="14.25" customHeight="1" x14ac:dyDescent="0.3"/>
    <row r="686" customFormat="1" ht="14.25" customHeight="1" x14ac:dyDescent="0.3"/>
    <row r="687" customFormat="1" ht="14.25" customHeight="1" x14ac:dyDescent="0.3"/>
    <row r="688" customFormat="1" ht="14.25" customHeight="1" x14ac:dyDescent="0.3"/>
    <row r="689" customFormat="1" ht="14.25" customHeight="1" x14ac:dyDescent="0.3"/>
    <row r="690" customFormat="1" ht="14.25" customHeight="1" x14ac:dyDescent="0.3"/>
    <row r="691" customFormat="1" ht="14.25" customHeight="1" x14ac:dyDescent="0.3"/>
    <row r="692" customFormat="1" ht="14.25" customHeight="1" x14ac:dyDescent="0.3"/>
    <row r="693" customFormat="1" ht="14.25" customHeight="1" x14ac:dyDescent="0.3"/>
    <row r="694" customFormat="1" ht="14.25" customHeight="1" x14ac:dyDescent="0.3"/>
    <row r="695" customFormat="1" ht="14.25" customHeight="1" x14ac:dyDescent="0.3"/>
    <row r="696" customFormat="1" ht="14.25" customHeight="1" x14ac:dyDescent="0.3"/>
    <row r="697" customFormat="1" ht="14.25" customHeight="1" x14ac:dyDescent="0.3"/>
    <row r="698" customFormat="1" ht="14.25" customHeight="1" x14ac:dyDescent="0.3"/>
    <row r="699" customFormat="1" ht="14.25" customHeight="1" x14ac:dyDescent="0.3"/>
    <row r="700" customFormat="1" ht="14.25" customHeight="1" x14ac:dyDescent="0.3"/>
    <row r="701" customFormat="1" ht="14.25" customHeight="1" x14ac:dyDescent="0.3"/>
    <row r="702" customFormat="1" ht="14.25" customHeight="1" x14ac:dyDescent="0.3"/>
    <row r="703" customFormat="1" ht="14.25" customHeight="1" x14ac:dyDescent="0.3"/>
    <row r="704" customFormat="1" ht="14.25" customHeight="1" x14ac:dyDescent="0.3"/>
    <row r="705" customFormat="1" ht="14.25" customHeight="1" x14ac:dyDescent="0.3"/>
    <row r="706" customFormat="1" ht="14.25" customHeight="1" x14ac:dyDescent="0.3"/>
    <row r="707" customFormat="1" ht="14.25" customHeight="1" x14ac:dyDescent="0.3"/>
    <row r="708" customFormat="1" ht="14.25" customHeight="1" x14ac:dyDescent="0.3"/>
    <row r="709" customFormat="1" ht="14.25" customHeight="1" x14ac:dyDescent="0.3"/>
    <row r="710" customFormat="1" ht="14.25" customHeight="1" x14ac:dyDescent="0.3"/>
    <row r="711" customFormat="1" ht="14.25" customHeight="1" x14ac:dyDescent="0.3"/>
    <row r="712" customFormat="1" ht="14.25" customHeight="1" x14ac:dyDescent="0.3"/>
    <row r="713" customFormat="1" ht="14.25" customHeight="1" x14ac:dyDescent="0.3"/>
    <row r="714" customFormat="1" ht="14.25" customHeight="1" x14ac:dyDescent="0.3"/>
    <row r="715" customFormat="1" ht="14.25" customHeight="1" x14ac:dyDescent="0.3"/>
    <row r="716" customFormat="1" ht="14.25" customHeight="1" x14ac:dyDescent="0.3"/>
    <row r="717" customFormat="1" ht="14.25" customHeight="1" x14ac:dyDescent="0.3"/>
    <row r="718" customFormat="1" ht="14.25" customHeight="1" x14ac:dyDescent="0.3"/>
    <row r="719" customFormat="1" ht="14.25" customHeight="1" x14ac:dyDescent="0.3"/>
    <row r="720" customFormat="1" ht="14.25" customHeight="1" x14ac:dyDescent="0.3"/>
    <row r="721" customFormat="1" ht="14.25" customHeight="1" x14ac:dyDescent="0.3"/>
    <row r="722" customFormat="1" ht="14.25" customHeight="1" x14ac:dyDescent="0.3"/>
    <row r="723" customFormat="1" ht="14.25" customHeight="1" x14ac:dyDescent="0.3"/>
    <row r="724" customFormat="1" ht="14.25" customHeight="1" x14ac:dyDescent="0.3"/>
    <row r="725" customFormat="1" ht="14.25" customHeight="1" x14ac:dyDescent="0.3"/>
    <row r="726" customFormat="1" ht="14.25" customHeight="1" x14ac:dyDescent="0.3"/>
    <row r="727" customFormat="1" ht="14.25" customHeight="1" x14ac:dyDescent="0.3"/>
    <row r="728" customFormat="1" ht="14.25" customHeight="1" x14ac:dyDescent="0.3"/>
    <row r="729" customFormat="1" ht="14.25" customHeight="1" x14ac:dyDescent="0.3"/>
    <row r="730" customFormat="1" ht="14.25" customHeight="1" x14ac:dyDescent="0.3"/>
    <row r="731" customFormat="1" ht="14.25" customHeight="1" x14ac:dyDescent="0.3"/>
    <row r="732" customFormat="1" ht="14.25" customHeight="1" x14ac:dyDescent="0.3"/>
    <row r="733" customFormat="1" ht="14.25" customHeight="1" x14ac:dyDescent="0.3"/>
    <row r="734" customFormat="1" ht="14.25" customHeight="1" x14ac:dyDescent="0.3"/>
    <row r="735" customFormat="1" ht="14.25" customHeight="1" x14ac:dyDescent="0.3"/>
    <row r="736" customFormat="1" ht="14.25" customHeight="1" x14ac:dyDescent="0.3"/>
    <row r="737" customFormat="1" ht="14.25" customHeight="1" x14ac:dyDescent="0.3"/>
    <row r="738" customFormat="1" ht="14.25" customHeight="1" x14ac:dyDescent="0.3"/>
    <row r="739" customFormat="1" ht="14.25" customHeight="1" x14ac:dyDescent="0.3"/>
    <row r="740" customFormat="1" ht="14.25" customHeight="1" x14ac:dyDescent="0.3"/>
    <row r="741" customFormat="1" ht="14.25" customHeight="1" x14ac:dyDescent="0.3"/>
    <row r="742" customFormat="1" ht="14.25" customHeight="1" x14ac:dyDescent="0.3"/>
    <row r="743" customFormat="1" ht="14.25" customHeight="1" x14ac:dyDescent="0.3"/>
    <row r="744" customFormat="1" ht="14.25" customHeight="1" x14ac:dyDescent="0.3"/>
    <row r="745" customFormat="1" ht="14.25" customHeight="1" x14ac:dyDescent="0.3"/>
    <row r="746" customFormat="1" ht="14.25" customHeight="1" x14ac:dyDescent="0.3"/>
    <row r="747" customFormat="1" ht="14.25" customHeight="1" x14ac:dyDescent="0.3"/>
    <row r="748" customFormat="1" ht="14.25" customHeight="1" x14ac:dyDescent="0.3"/>
    <row r="749" customFormat="1" ht="14.25" customHeight="1" x14ac:dyDescent="0.3"/>
    <row r="750" customFormat="1" ht="14.25" customHeight="1" x14ac:dyDescent="0.3"/>
    <row r="751" customFormat="1" ht="14.25" customHeight="1" x14ac:dyDescent="0.3"/>
    <row r="752" customFormat="1" ht="14.25" customHeight="1" x14ac:dyDescent="0.3"/>
    <row r="753" customFormat="1" ht="14.25" customHeight="1" x14ac:dyDescent="0.3"/>
    <row r="754" customFormat="1" ht="14.25" customHeight="1" x14ac:dyDescent="0.3"/>
    <row r="755" customFormat="1" ht="14.25" customHeight="1" x14ac:dyDescent="0.3"/>
    <row r="756" customFormat="1" ht="14.25" customHeight="1" x14ac:dyDescent="0.3"/>
    <row r="757" customFormat="1" ht="14.25" customHeight="1" x14ac:dyDescent="0.3"/>
    <row r="758" customFormat="1" ht="14.25" customHeight="1" x14ac:dyDescent="0.3"/>
    <row r="759" customFormat="1" ht="14.25" customHeight="1" x14ac:dyDescent="0.3"/>
    <row r="760" customFormat="1" ht="14.25" customHeight="1" x14ac:dyDescent="0.3"/>
    <row r="761" customFormat="1" ht="14.25" customHeight="1" x14ac:dyDescent="0.3"/>
    <row r="762" customFormat="1" ht="14.25" customHeight="1" x14ac:dyDescent="0.3"/>
    <row r="763" customFormat="1" ht="14.25" customHeight="1" x14ac:dyDescent="0.3"/>
    <row r="764" customFormat="1" ht="14.25" customHeight="1" x14ac:dyDescent="0.3"/>
    <row r="765" customFormat="1" ht="14.25" customHeight="1" x14ac:dyDescent="0.3"/>
    <row r="766" customFormat="1" ht="14.25" customHeight="1" x14ac:dyDescent="0.3"/>
    <row r="767" customFormat="1" ht="14.25" customHeight="1" x14ac:dyDescent="0.3"/>
    <row r="768" customFormat="1" ht="14.25" customHeight="1" x14ac:dyDescent="0.3"/>
    <row r="769" customFormat="1" ht="14.25" customHeight="1" x14ac:dyDescent="0.3"/>
    <row r="770" customFormat="1" ht="14.25" customHeight="1" x14ac:dyDescent="0.3"/>
    <row r="771" customFormat="1" ht="14.25" customHeight="1" x14ac:dyDescent="0.3"/>
    <row r="772" customFormat="1" ht="14.25" customHeight="1" x14ac:dyDescent="0.3"/>
    <row r="773" customFormat="1" ht="14.25" customHeight="1" x14ac:dyDescent="0.3"/>
    <row r="774" customFormat="1" ht="14.25" customHeight="1" x14ac:dyDescent="0.3"/>
    <row r="775" customFormat="1" ht="14.25" customHeight="1" x14ac:dyDescent="0.3"/>
    <row r="776" customFormat="1" ht="14.25" customHeight="1" x14ac:dyDescent="0.3"/>
    <row r="777" customFormat="1" ht="14.25" customHeight="1" x14ac:dyDescent="0.3"/>
    <row r="778" customFormat="1" ht="14.25" customHeight="1" x14ac:dyDescent="0.3"/>
    <row r="779" customFormat="1" ht="14.25" customHeight="1" x14ac:dyDescent="0.3"/>
    <row r="780" customFormat="1" ht="14.25" customHeight="1" x14ac:dyDescent="0.3"/>
    <row r="781" customFormat="1" ht="14.25" customHeight="1" x14ac:dyDescent="0.3"/>
    <row r="782" customFormat="1" ht="14.25" customHeight="1" x14ac:dyDescent="0.3"/>
    <row r="783" customFormat="1" ht="14.25" customHeight="1" x14ac:dyDescent="0.3"/>
    <row r="784" customFormat="1" ht="14.25" customHeight="1" x14ac:dyDescent="0.3"/>
    <row r="785" customFormat="1" ht="14.25" customHeight="1" x14ac:dyDescent="0.3"/>
    <row r="786" customFormat="1" ht="14.25" customHeight="1" x14ac:dyDescent="0.3"/>
    <row r="787" customFormat="1" ht="14.25" customHeight="1" x14ac:dyDescent="0.3"/>
    <row r="788" customFormat="1" ht="14.25" customHeight="1" x14ac:dyDescent="0.3"/>
    <row r="789" customFormat="1" ht="14.25" customHeight="1" x14ac:dyDescent="0.3"/>
    <row r="790" customFormat="1" ht="14.25" customHeight="1" x14ac:dyDescent="0.3"/>
    <row r="791" customFormat="1" ht="14.25" customHeight="1" x14ac:dyDescent="0.3"/>
    <row r="792" customFormat="1" ht="14.25" customHeight="1" x14ac:dyDescent="0.3"/>
    <row r="793" customFormat="1" ht="14.25" customHeight="1" x14ac:dyDescent="0.3"/>
    <row r="794" customFormat="1" ht="14.25" customHeight="1" x14ac:dyDescent="0.3"/>
    <row r="795" customFormat="1" ht="14.25" customHeight="1" x14ac:dyDescent="0.3"/>
    <row r="796" customFormat="1" ht="14.25" customHeight="1" x14ac:dyDescent="0.3"/>
    <row r="797" customFormat="1" ht="14.25" customHeight="1" x14ac:dyDescent="0.3"/>
    <row r="798" customFormat="1" ht="14.25" customHeight="1" x14ac:dyDescent="0.3"/>
    <row r="799" customFormat="1" ht="14.25" customHeight="1" x14ac:dyDescent="0.3"/>
    <row r="800" customFormat="1" ht="14.25" customHeight="1" x14ac:dyDescent="0.3"/>
    <row r="801" customFormat="1" ht="14.25" customHeight="1" x14ac:dyDescent="0.3"/>
    <row r="802" customFormat="1" ht="14.25" customHeight="1" x14ac:dyDescent="0.3"/>
    <row r="803" customFormat="1" ht="14.25" customHeight="1" x14ac:dyDescent="0.3"/>
    <row r="804" customFormat="1" ht="14.25" customHeight="1" x14ac:dyDescent="0.3"/>
    <row r="805" customFormat="1" ht="14.25" customHeight="1" x14ac:dyDescent="0.3"/>
    <row r="806" customFormat="1" ht="14.25" customHeight="1" x14ac:dyDescent="0.3"/>
    <row r="807" customFormat="1" ht="14.25" customHeight="1" x14ac:dyDescent="0.3"/>
    <row r="808" customFormat="1" ht="14.25" customHeight="1" x14ac:dyDescent="0.3"/>
    <row r="809" customFormat="1" ht="14.25" customHeight="1" x14ac:dyDescent="0.3"/>
    <row r="810" customFormat="1" ht="14.25" customHeight="1" x14ac:dyDescent="0.3"/>
    <row r="811" customFormat="1" ht="14.25" customHeight="1" x14ac:dyDescent="0.3"/>
    <row r="812" customFormat="1" ht="14.25" customHeight="1" x14ac:dyDescent="0.3"/>
    <row r="813" customFormat="1" ht="14.25" customHeight="1" x14ac:dyDescent="0.3"/>
    <row r="814" customFormat="1" ht="14.25" customHeight="1" x14ac:dyDescent="0.3"/>
    <row r="815" customFormat="1" ht="14.25" customHeight="1" x14ac:dyDescent="0.3"/>
    <row r="816" customFormat="1" ht="14.25" customHeight="1" x14ac:dyDescent="0.3"/>
    <row r="817" customFormat="1" ht="14.25" customHeight="1" x14ac:dyDescent="0.3"/>
    <row r="818" customFormat="1" ht="14.25" customHeight="1" x14ac:dyDescent="0.3"/>
    <row r="819" customFormat="1" ht="14.25" customHeight="1" x14ac:dyDescent="0.3"/>
    <row r="820" customFormat="1" ht="14.25" customHeight="1" x14ac:dyDescent="0.3"/>
    <row r="821" customFormat="1" ht="14.25" customHeight="1" x14ac:dyDescent="0.3"/>
    <row r="822" customFormat="1" ht="14.25" customHeight="1" x14ac:dyDescent="0.3"/>
    <row r="823" customFormat="1" ht="14.25" customHeight="1" x14ac:dyDescent="0.3"/>
    <row r="824" customFormat="1" ht="14.25" customHeight="1" x14ac:dyDescent="0.3"/>
    <row r="825" customFormat="1" ht="14.25" customHeight="1" x14ac:dyDescent="0.3"/>
    <row r="826" customFormat="1" ht="14.25" customHeight="1" x14ac:dyDescent="0.3"/>
    <row r="827" customFormat="1" ht="14.25" customHeight="1" x14ac:dyDescent="0.3"/>
    <row r="828" customFormat="1" ht="14.25" customHeight="1" x14ac:dyDescent="0.3"/>
    <row r="829" customFormat="1" ht="14.25" customHeight="1" x14ac:dyDescent="0.3"/>
    <row r="830" customFormat="1" ht="14.25" customHeight="1" x14ac:dyDescent="0.3"/>
    <row r="831" customFormat="1" ht="14.25" customHeight="1" x14ac:dyDescent="0.3"/>
    <row r="832" customFormat="1" ht="14.25" customHeight="1" x14ac:dyDescent="0.3"/>
    <row r="833" customFormat="1" ht="14.25" customHeight="1" x14ac:dyDescent="0.3"/>
    <row r="834" customFormat="1" ht="14.25" customHeight="1" x14ac:dyDescent="0.3"/>
    <row r="835" customFormat="1" ht="14.25" customHeight="1" x14ac:dyDescent="0.3"/>
    <row r="836" customFormat="1" ht="14.25" customHeight="1" x14ac:dyDescent="0.3"/>
    <row r="837" customFormat="1" ht="14.25" customHeight="1" x14ac:dyDescent="0.3"/>
    <row r="838" customFormat="1" ht="14.25" customHeight="1" x14ac:dyDescent="0.3"/>
    <row r="839" customFormat="1" ht="14.25" customHeight="1" x14ac:dyDescent="0.3"/>
    <row r="840" customFormat="1" ht="14.25" customHeight="1" x14ac:dyDescent="0.3"/>
    <row r="841" customFormat="1" ht="14.25" customHeight="1" x14ac:dyDescent="0.3"/>
    <row r="842" customFormat="1" ht="14.25" customHeight="1" x14ac:dyDescent="0.3"/>
    <row r="843" customFormat="1" ht="14.25" customHeight="1" x14ac:dyDescent="0.3"/>
    <row r="844" customFormat="1" ht="14.25" customHeight="1" x14ac:dyDescent="0.3"/>
    <row r="845" customFormat="1" ht="14.25" customHeight="1" x14ac:dyDescent="0.3"/>
    <row r="846" customFormat="1" ht="14.25" customHeight="1" x14ac:dyDescent="0.3"/>
    <row r="847" customFormat="1" ht="14.25" customHeight="1" x14ac:dyDescent="0.3"/>
    <row r="848" customFormat="1" ht="14.25" customHeight="1" x14ac:dyDescent="0.3"/>
    <row r="849" customFormat="1" ht="14.25" customHeight="1" x14ac:dyDescent="0.3"/>
    <row r="850" customFormat="1" ht="14.25" customHeight="1" x14ac:dyDescent="0.3"/>
    <row r="851" customFormat="1" ht="14.25" customHeight="1" x14ac:dyDescent="0.3"/>
    <row r="852" customFormat="1" ht="14.25" customHeight="1" x14ac:dyDescent="0.3"/>
    <row r="853" customFormat="1" ht="14.25" customHeight="1" x14ac:dyDescent="0.3"/>
    <row r="854" customFormat="1" ht="14.25" customHeight="1" x14ac:dyDescent="0.3"/>
    <row r="855" customFormat="1" ht="14.25" customHeight="1" x14ac:dyDescent="0.3"/>
    <row r="856" customFormat="1" ht="14.25" customHeight="1" x14ac:dyDescent="0.3"/>
    <row r="857" customFormat="1" ht="14.25" customHeight="1" x14ac:dyDescent="0.3"/>
    <row r="858" customFormat="1" ht="14.25" customHeight="1" x14ac:dyDescent="0.3"/>
    <row r="859" customFormat="1" ht="14.25" customHeight="1" x14ac:dyDescent="0.3"/>
    <row r="860" customFormat="1" ht="14.25" customHeight="1" x14ac:dyDescent="0.3"/>
    <row r="861" customFormat="1" ht="14.25" customHeight="1" x14ac:dyDescent="0.3"/>
    <row r="862" customFormat="1" ht="14.25" customHeight="1" x14ac:dyDescent="0.3"/>
    <row r="863" customFormat="1" ht="14.25" customHeight="1" x14ac:dyDescent="0.3"/>
    <row r="864" customFormat="1" ht="14.25" customHeight="1" x14ac:dyDescent="0.3"/>
    <row r="865" customFormat="1" ht="14.25" customHeight="1" x14ac:dyDescent="0.3"/>
    <row r="866" customFormat="1" ht="14.25" customHeight="1" x14ac:dyDescent="0.3"/>
    <row r="867" customFormat="1" ht="14.25" customHeight="1" x14ac:dyDescent="0.3"/>
    <row r="868" customFormat="1" ht="14.25" customHeight="1" x14ac:dyDescent="0.3"/>
    <row r="869" customFormat="1" ht="14.25" customHeight="1" x14ac:dyDescent="0.3"/>
    <row r="870" customFormat="1" ht="14.25" customHeight="1" x14ac:dyDescent="0.3"/>
    <row r="871" customFormat="1" ht="14.25" customHeight="1" x14ac:dyDescent="0.3"/>
    <row r="872" customFormat="1" ht="14.25" customHeight="1" x14ac:dyDescent="0.3"/>
    <row r="873" customFormat="1" ht="14.25" customHeight="1" x14ac:dyDescent="0.3"/>
    <row r="874" customFormat="1" ht="14.25" customHeight="1" x14ac:dyDescent="0.3"/>
    <row r="875" customFormat="1" ht="14.25" customHeight="1" x14ac:dyDescent="0.3"/>
    <row r="876" customFormat="1" ht="14.25" customHeight="1" x14ac:dyDescent="0.3"/>
    <row r="877" customFormat="1" ht="14.25" customHeight="1" x14ac:dyDescent="0.3"/>
    <row r="878" customFormat="1" ht="14.25" customHeight="1" x14ac:dyDescent="0.3"/>
    <row r="879" customFormat="1" ht="14.25" customHeight="1" x14ac:dyDescent="0.3"/>
    <row r="880" customFormat="1" ht="14.25" customHeight="1" x14ac:dyDescent="0.3"/>
    <row r="881" customFormat="1" ht="14.25" customHeight="1" x14ac:dyDescent="0.3"/>
    <row r="882" customFormat="1" ht="14.25" customHeight="1" x14ac:dyDescent="0.3"/>
    <row r="883" customFormat="1" ht="14.25" customHeight="1" x14ac:dyDescent="0.3"/>
    <row r="884" customFormat="1" ht="14.25" customHeight="1" x14ac:dyDescent="0.3"/>
    <row r="885" customFormat="1" ht="14.25" customHeight="1" x14ac:dyDescent="0.3"/>
    <row r="886" customFormat="1" ht="14.25" customHeight="1" x14ac:dyDescent="0.3"/>
    <row r="887" customFormat="1" ht="14.25" customHeight="1" x14ac:dyDescent="0.3"/>
    <row r="888" customFormat="1" ht="14.25" customHeight="1" x14ac:dyDescent="0.3"/>
    <row r="889" customFormat="1" ht="14.25" customHeight="1" x14ac:dyDescent="0.3"/>
    <row r="890" customFormat="1" ht="14.25" customHeight="1" x14ac:dyDescent="0.3"/>
    <row r="891" customFormat="1" ht="14.25" customHeight="1" x14ac:dyDescent="0.3"/>
    <row r="892" customFormat="1" ht="14.25" customHeight="1" x14ac:dyDescent="0.3"/>
    <row r="893" customFormat="1" ht="14.25" customHeight="1" x14ac:dyDescent="0.3"/>
    <row r="894" customFormat="1" ht="14.25" customHeight="1" x14ac:dyDescent="0.3"/>
    <row r="895" customFormat="1" ht="14.25" customHeight="1" x14ac:dyDescent="0.3"/>
    <row r="896" customFormat="1" ht="14.25" customHeight="1" x14ac:dyDescent="0.3"/>
    <row r="897" customFormat="1" ht="14.25" customHeight="1" x14ac:dyDescent="0.3"/>
    <row r="898" customFormat="1" ht="14.25" customHeight="1" x14ac:dyDescent="0.3"/>
    <row r="899" customFormat="1" ht="14.25" customHeight="1" x14ac:dyDescent="0.3"/>
    <row r="900" customFormat="1" ht="14.25" customHeight="1" x14ac:dyDescent="0.3"/>
    <row r="901" customFormat="1" ht="14.25" customHeight="1" x14ac:dyDescent="0.3"/>
    <row r="902" customFormat="1" ht="14.25" customHeight="1" x14ac:dyDescent="0.3"/>
    <row r="903" customFormat="1" ht="14.25" customHeight="1" x14ac:dyDescent="0.3"/>
    <row r="904" customFormat="1" ht="14.25" customHeight="1" x14ac:dyDescent="0.3"/>
    <row r="905" customFormat="1" ht="14.25" customHeight="1" x14ac:dyDescent="0.3"/>
    <row r="906" customFormat="1" ht="14.25" customHeight="1" x14ac:dyDescent="0.3"/>
    <row r="907" customFormat="1" ht="14.25" customHeight="1" x14ac:dyDescent="0.3"/>
    <row r="908" customFormat="1" ht="14.25" customHeight="1" x14ac:dyDescent="0.3"/>
    <row r="909" customFormat="1" ht="14.25" customHeight="1" x14ac:dyDescent="0.3"/>
    <row r="910" customFormat="1" ht="14.25" customHeight="1" x14ac:dyDescent="0.3"/>
    <row r="911" customFormat="1" ht="14.25" customHeight="1" x14ac:dyDescent="0.3"/>
    <row r="912" customFormat="1" ht="14.25" customHeight="1" x14ac:dyDescent="0.3"/>
    <row r="913" customFormat="1" ht="14.25" customHeight="1" x14ac:dyDescent="0.3"/>
    <row r="914" customFormat="1" ht="14.25" customHeight="1" x14ac:dyDescent="0.3"/>
    <row r="915" customFormat="1" ht="14.25" customHeight="1" x14ac:dyDescent="0.3"/>
    <row r="916" customFormat="1" ht="14.25" customHeight="1" x14ac:dyDescent="0.3"/>
    <row r="917" customFormat="1" ht="14.25" customHeight="1" x14ac:dyDescent="0.3"/>
    <row r="918" customFormat="1" ht="14.25" customHeight="1" x14ac:dyDescent="0.3"/>
    <row r="919" customFormat="1" ht="14.25" customHeight="1" x14ac:dyDescent="0.3"/>
    <row r="920" customFormat="1" ht="14.25" customHeight="1" x14ac:dyDescent="0.3"/>
    <row r="921" customFormat="1" ht="14.25" customHeight="1" x14ac:dyDescent="0.3"/>
    <row r="922" customFormat="1" ht="14.25" customHeight="1" x14ac:dyDescent="0.3"/>
    <row r="923" customFormat="1" ht="14.25" customHeight="1" x14ac:dyDescent="0.3"/>
    <row r="924" customFormat="1" ht="14.25" customHeight="1" x14ac:dyDescent="0.3"/>
    <row r="925" customFormat="1" ht="14.25" customHeight="1" x14ac:dyDescent="0.3"/>
    <row r="926" customFormat="1" ht="14.25" customHeight="1" x14ac:dyDescent="0.3"/>
    <row r="927" customFormat="1" ht="14.25" customHeight="1" x14ac:dyDescent="0.3"/>
    <row r="928" customFormat="1" ht="14.25" customHeight="1" x14ac:dyDescent="0.3"/>
    <row r="929" customFormat="1" ht="14.25" customHeight="1" x14ac:dyDescent="0.3"/>
    <row r="930" customFormat="1" ht="14.25" customHeight="1" x14ac:dyDescent="0.3"/>
    <row r="931" customFormat="1" ht="14.25" customHeight="1" x14ac:dyDescent="0.3"/>
    <row r="932" customFormat="1" ht="14.25" customHeight="1" x14ac:dyDescent="0.3"/>
    <row r="933" customFormat="1" ht="14.25" customHeight="1" x14ac:dyDescent="0.3"/>
    <row r="934" customFormat="1" ht="14.25" customHeight="1" x14ac:dyDescent="0.3"/>
    <row r="935" customFormat="1" ht="14.25" customHeight="1" x14ac:dyDescent="0.3"/>
    <row r="936" customFormat="1" ht="14.25" customHeight="1" x14ac:dyDescent="0.3"/>
    <row r="937" customFormat="1" ht="14.25" customHeight="1" x14ac:dyDescent="0.3"/>
    <row r="938" customFormat="1" ht="14.25" customHeight="1" x14ac:dyDescent="0.3"/>
    <row r="939" customFormat="1" ht="14.25" customHeight="1" x14ac:dyDescent="0.3"/>
    <row r="940" customFormat="1" ht="14.25" customHeight="1" x14ac:dyDescent="0.3"/>
    <row r="941" customFormat="1" ht="14.25" customHeight="1" x14ac:dyDescent="0.3"/>
    <row r="942" customFormat="1" ht="14.25" customHeight="1" x14ac:dyDescent="0.3"/>
    <row r="943" customFormat="1" ht="14.25" customHeight="1" x14ac:dyDescent="0.3"/>
    <row r="944" customFormat="1" ht="14.25" customHeight="1" x14ac:dyDescent="0.3"/>
    <row r="945" customFormat="1" ht="14.25" customHeight="1" x14ac:dyDescent="0.3"/>
    <row r="946" customFormat="1" ht="14.25" customHeight="1" x14ac:dyDescent="0.3"/>
    <row r="947" customFormat="1" ht="14.25" customHeight="1" x14ac:dyDescent="0.3"/>
    <row r="948" customFormat="1" ht="14.25" customHeight="1" x14ac:dyDescent="0.3"/>
    <row r="949" customFormat="1" ht="14.25" customHeight="1" x14ac:dyDescent="0.3"/>
    <row r="950" customFormat="1" ht="14.25" customHeight="1" x14ac:dyDescent="0.3"/>
    <row r="951" customFormat="1" ht="14.25" customHeight="1" x14ac:dyDescent="0.3"/>
    <row r="952" customFormat="1" ht="14.25" customHeight="1" x14ac:dyDescent="0.3"/>
    <row r="953" customFormat="1" ht="14.25" customHeight="1" x14ac:dyDescent="0.3"/>
    <row r="954" customFormat="1" ht="14.25" customHeight="1" x14ac:dyDescent="0.3"/>
    <row r="955" customFormat="1" ht="14.25" customHeight="1" x14ac:dyDescent="0.3"/>
    <row r="956" customFormat="1" ht="14.25" customHeight="1" x14ac:dyDescent="0.3"/>
    <row r="957" customFormat="1" ht="14.25" customHeight="1" x14ac:dyDescent="0.3"/>
    <row r="958" customFormat="1" ht="14.25" customHeight="1" x14ac:dyDescent="0.3"/>
    <row r="959" customFormat="1" ht="14.25" customHeight="1" x14ac:dyDescent="0.3"/>
    <row r="960" customFormat="1" ht="14.25" customHeight="1" x14ac:dyDescent="0.3"/>
    <row r="961" customFormat="1" ht="14.25" customHeight="1" x14ac:dyDescent="0.3"/>
    <row r="962" customFormat="1" ht="14.25" customHeight="1" x14ac:dyDescent="0.3"/>
    <row r="963" customFormat="1" ht="14.25" customHeight="1" x14ac:dyDescent="0.3"/>
    <row r="964" customFormat="1" ht="14.25" customHeight="1" x14ac:dyDescent="0.3"/>
    <row r="965" customFormat="1" ht="14.25" customHeight="1" x14ac:dyDescent="0.3"/>
    <row r="966" customFormat="1" ht="14.25" customHeight="1" x14ac:dyDescent="0.3"/>
    <row r="967" customFormat="1" ht="14.25" customHeight="1" x14ac:dyDescent="0.3"/>
    <row r="968" customFormat="1" ht="14.25" customHeight="1" x14ac:dyDescent="0.3"/>
    <row r="969" customFormat="1" ht="14.25" customHeight="1" x14ac:dyDescent="0.3"/>
    <row r="970" customFormat="1" ht="14.25" customHeight="1" x14ac:dyDescent="0.3"/>
    <row r="971" customFormat="1" ht="14.25" customHeight="1" x14ac:dyDescent="0.3"/>
    <row r="972" customFormat="1" ht="14.25" customHeight="1" x14ac:dyDescent="0.3"/>
    <row r="973" customFormat="1" ht="14.25" customHeight="1" x14ac:dyDescent="0.3"/>
    <row r="974" customFormat="1" ht="14.25" customHeight="1" x14ac:dyDescent="0.3"/>
    <row r="975" customFormat="1" ht="14.25" customHeight="1" x14ac:dyDescent="0.3"/>
    <row r="976" customFormat="1" ht="14.25" customHeight="1" x14ac:dyDescent="0.3"/>
    <row r="977" customFormat="1" ht="14.25" customHeight="1" x14ac:dyDescent="0.3"/>
    <row r="978" customFormat="1" ht="14.25" customHeight="1" x14ac:dyDescent="0.3"/>
    <row r="979" customFormat="1" ht="14.25" customHeight="1" x14ac:dyDescent="0.3"/>
    <row r="980" customFormat="1" ht="14.25" customHeight="1" x14ac:dyDescent="0.3"/>
    <row r="981" customFormat="1" ht="14.25" customHeight="1" x14ac:dyDescent="0.3"/>
    <row r="982" customFormat="1" ht="14.25" customHeight="1" x14ac:dyDescent="0.3"/>
    <row r="983" customFormat="1" ht="14.25" customHeight="1" x14ac:dyDescent="0.3"/>
    <row r="984" customFormat="1" ht="14.25" customHeight="1" x14ac:dyDescent="0.3"/>
    <row r="985" customFormat="1" ht="14.25" customHeight="1" x14ac:dyDescent="0.3"/>
    <row r="986" customFormat="1" ht="14.25" customHeight="1" x14ac:dyDescent="0.3"/>
    <row r="987" customFormat="1" ht="14.25" customHeight="1" x14ac:dyDescent="0.3"/>
    <row r="988" customFormat="1" ht="14.25" customHeight="1" x14ac:dyDescent="0.3"/>
    <row r="989" customFormat="1" ht="14.25" customHeight="1" x14ac:dyDescent="0.3"/>
    <row r="990" customFormat="1" ht="14.25" customHeight="1" x14ac:dyDescent="0.3"/>
    <row r="991" customFormat="1" ht="14.25" customHeight="1" x14ac:dyDescent="0.3"/>
    <row r="992" customFormat="1" ht="14.25" customHeight="1" x14ac:dyDescent="0.3"/>
    <row r="993" customFormat="1" ht="14.25" customHeight="1" x14ac:dyDescent="0.3"/>
    <row r="994" customFormat="1" ht="14.25" customHeight="1" x14ac:dyDescent="0.3"/>
    <row r="995" customFormat="1" ht="14.25" customHeight="1" x14ac:dyDescent="0.3"/>
    <row r="996" customFormat="1" ht="14.25" customHeight="1" x14ac:dyDescent="0.3"/>
    <row r="997" customFormat="1" ht="14.25" customHeight="1" x14ac:dyDescent="0.3"/>
    <row r="998" customFormat="1" ht="14.25" customHeight="1" x14ac:dyDescent="0.3"/>
    <row r="999" customFormat="1" ht="14.25" customHeight="1" x14ac:dyDescent="0.3"/>
    <row r="1000" customFormat="1" ht="14.25" customHeight="1" x14ac:dyDescent="0.3"/>
  </sheetData>
  <mergeCells count="2">
    <mergeCell ref="B2:E2"/>
    <mergeCell ref="B3:E3"/>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F8B15-AAA7-4F42-9282-5F35DC2B3AAA}">
  <dimension ref="B1:P1000"/>
  <sheetViews>
    <sheetView zoomScale="107" zoomScaleNormal="107" workbookViewId="0">
      <selection activeCell="H22" sqref="H22"/>
    </sheetView>
  </sheetViews>
  <sheetFormatPr defaultColWidth="14.44140625" defaultRowHeight="15" customHeight="1" x14ac:dyDescent="0.3"/>
  <cols>
    <col min="1" max="1" width="8.6640625" customWidth="1"/>
    <col min="2" max="2" width="10.33203125" bestFit="1" customWidth="1"/>
    <col min="3" max="3" width="11.6640625" customWidth="1"/>
    <col min="4" max="4" width="12.6640625" bestFit="1" customWidth="1"/>
    <col min="5" max="7" width="8.6640625" customWidth="1"/>
    <col min="8" max="8" width="13.5546875" customWidth="1"/>
    <col min="9" max="13" width="8.6640625" customWidth="1"/>
    <col min="14" max="14" width="14.21875" bestFit="1" customWidth="1"/>
    <col min="15" max="15" width="10.88671875" customWidth="1"/>
    <col min="16" max="16" width="9.5546875" customWidth="1"/>
    <col min="17" max="26" width="8.6640625" customWidth="1"/>
  </cols>
  <sheetData>
    <row r="1" spans="2:16" ht="14.25" customHeight="1" x14ac:dyDescent="0.3"/>
    <row r="2" spans="2:16" ht="14.25" customHeight="1" x14ac:dyDescent="0.3">
      <c r="B2" s="226" t="s">
        <v>403</v>
      </c>
      <c r="C2" s="226"/>
      <c r="D2" s="226"/>
      <c r="E2" s="226"/>
    </row>
    <row r="3" spans="2:16" ht="14.25" customHeight="1" x14ac:dyDescent="0.3">
      <c r="B3" s="226" t="s">
        <v>397</v>
      </c>
      <c r="C3" s="226"/>
      <c r="D3" s="226"/>
      <c r="E3" s="226"/>
      <c r="G3" s="131" t="s">
        <v>398</v>
      </c>
      <c r="N3" s="132" t="s">
        <v>395</v>
      </c>
    </row>
    <row r="4" spans="2:16" ht="14.25" customHeight="1" x14ac:dyDescent="0.3"/>
    <row r="5" spans="2:16" ht="14.25" customHeight="1" x14ac:dyDescent="0.3">
      <c r="B5" s="137" t="s">
        <v>283</v>
      </c>
      <c r="C5" s="137" t="s">
        <v>396</v>
      </c>
      <c r="D5" s="137" t="s">
        <v>402</v>
      </c>
      <c r="E5" s="136" t="s">
        <v>401</v>
      </c>
    </row>
    <row r="6" spans="2:16" ht="14.25" customHeight="1" x14ac:dyDescent="0.3">
      <c r="B6" s="79">
        <v>38353</v>
      </c>
      <c r="C6" s="133">
        <v>528</v>
      </c>
      <c r="D6" s="134"/>
      <c r="E6" s="14"/>
    </row>
    <row r="7" spans="2:16" ht="14.25" customHeight="1" x14ac:dyDescent="0.3">
      <c r="B7" s="79">
        <v>38718</v>
      </c>
      <c r="C7" s="133">
        <v>4550</v>
      </c>
      <c r="D7" s="135">
        <f>SUM($C$6:C7)</f>
        <v>5078</v>
      </c>
      <c r="E7" s="134">
        <f t="shared" ref="E7:E23" si="0">D7/$D$23</f>
        <v>6.5615712624370076E-2</v>
      </c>
    </row>
    <row r="8" spans="2:16" ht="14.25" customHeight="1" x14ac:dyDescent="0.3">
      <c r="B8" s="79">
        <v>39083</v>
      </c>
      <c r="C8" s="133">
        <v>8189</v>
      </c>
      <c r="D8" s="135">
        <f>SUM($C$6:C8)</f>
        <v>13267</v>
      </c>
      <c r="E8" s="134">
        <f t="shared" si="0"/>
        <v>0.17143041736658482</v>
      </c>
    </row>
    <row r="9" spans="2:16" ht="14.25" customHeight="1" x14ac:dyDescent="0.3">
      <c r="B9" s="79">
        <v>39448</v>
      </c>
      <c r="C9" s="133">
        <v>1730</v>
      </c>
      <c r="D9" s="135">
        <f>SUM($C$6:C9)</f>
        <v>14997</v>
      </c>
      <c r="E9" s="134">
        <f t="shared" si="0"/>
        <v>0.19378472670887711</v>
      </c>
    </row>
    <row r="10" spans="2:16" ht="14.25" customHeight="1" x14ac:dyDescent="0.3">
      <c r="B10" s="79">
        <v>39814</v>
      </c>
      <c r="C10" s="133">
        <v>5262</v>
      </c>
      <c r="D10" s="135">
        <f>SUM($C$6:C10)</f>
        <v>20259</v>
      </c>
      <c r="E10" s="134">
        <f t="shared" si="0"/>
        <v>0.26177800749450836</v>
      </c>
    </row>
    <row r="11" spans="2:16" ht="14.25" customHeight="1" x14ac:dyDescent="0.3">
      <c r="B11" s="79">
        <v>40179</v>
      </c>
      <c r="C11" s="133">
        <v>2172</v>
      </c>
      <c r="D11" s="135">
        <f>SUM($C$6:C11)</f>
        <v>22431</v>
      </c>
      <c r="E11" s="134">
        <f t="shared" si="0"/>
        <v>0.28984364905026488</v>
      </c>
    </row>
    <row r="12" spans="2:16" ht="14.25" customHeight="1" x14ac:dyDescent="0.3">
      <c r="B12" s="79">
        <v>40544</v>
      </c>
      <c r="C12" s="133">
        <v>4384</v>
      </c>
      <c r="D12" s="135">
        <f>SUM($C$6:C12)</f>
        <v>26815</v>
      </c>
      <c r="E12" s="134">
        <f t="shared" si="0"/>
        <v>0.34649179480553044</v>
      </c>
    </row>
    <row r="13" spans="2:16" ht="14.25" customHeight="1" x14ac:dyDescent="0.3">
      <c r="B13" s="79">
        <v>40909</v>
      </c>
      <c r="C13" s="133">
        <v>8709</v>
      </c>
      <c r="D13" s="135">
        <f>SUM($C$6:C13)</f>
        <v>35524</v>
      </c>
      <c r="E13" s="134">
        <f t="shared" si="0"/>
        <v>0.45902571391652669</v>
      </c>
    </row>
    <row r="14" spans="2:16" ht="14.25" customHeight="1" x14ac:dyDescent="0.3">
      <c r="B14" s="79">
        <v>41275</v>
      </c>
      <c r="C14" s="133">
        <v>3618</v>
      </c>
      <c r="D14" s="135">
        <f>SUM($C$6:C14)</f>
        <v>39142</v>
      </c>
      <c r="E14" s="134">
        <f t="shared" si="0"/>
        <v>0.50577594004393334</v>
      </c>
    </row>
    <row r="15" spans="2:16" ht="14.25" customHeight="1" x14ac:dyDescent="0.3">
      <c r="B15" s="79">
        <v>41640</v>
      </c>
      <c r="C15" s="133">
        <v>6372</v>
      </c>
      <c r="D15" s="135">
        <f>SUM($C$6:C15)</f>
        <v>45514</v>
      </c>
      <c r="E15" s="134">
        <f t="shared" si="0"/>
        <v>0.58811215919369431</v>
      </c>
      <c r="P15" s="131"/>
    </row>
    <row r="16" spans="2:16" ht="14.25" customHeight="1" x14ac:dyDescent="0.3">
      <c r="B16" s="79">
        <v>42005</v>
      </c>
      <c r="C16" s="133">
        <v>3456</v>
      </c>
      <c r="D16" s="135">
        <f>SUM($C$6:C16)</f>
        <v>48970</v>
      </c>
      <c r="E16" s="134">
        <f t="shared" si="0"/>
        <v>0.6327690916139036</v>
      </c>
    </row>
    <row r="17" spans="2:5" ht="14.25" customHeight="1" x14ac:dyDescent="0.3">
      <c r="B17" s="79">
        <v>42370</v>
      </c>
      <c r="C17" s="133">
        <v>7478</v>
      </c>
      <c r="D17" s="135">
        <f>SUM($C$6:C17)</f>
        <v>56448</v>
      </c>
      <c r="E17" s="134">
        <f t="shared" si="0"/>
        <v>0.72939656286341903</v>
      </c>
    </row>
    <row r="18" spans="2:5" ht="14.25" customHeight="1" x14ac:dyDescent="0.3">
      <c r="B18" s="79">
        <v>42736</v>
      </c>
      <c r="C18" s="133">
        <v>4649</v>
      </c>
      <c r="D18" s="135">
        <f>SUM($C$6:C18)</f>
        <v>61097</v>
      </c>
      <c r="E18" s="134">
        <f t="shared" si="0"/>
        <v>0.78946892363354437</v>
      </c>
    </row>
    <row r="19" spans="2:5" ht="14.25" customHeight="1" x14ac:dyDescent="0.3">
      <c r="B19" s="79">
        <v>43101</v>
      </c>
      <c r="C19" s="133">
        <v>5831</v>
      </c>
      <c r="D19" s="135">
        <f>SUM($C$6:C19)</f>
        <v>66928</v>
      </c>
      <c r="E19" s="134">
        <f t="shared" si="0"/>
        <v>0.86481457552655383</v>
      </c>
    </row>
    <row r="20" spans="2:5" ht="14.25" customHeight="1" x14ac:dyDescent="0.3">
      <c r="B20" s="79">
        <v>43466</v>
      </c>
      <c r="C20" s="133">
        <v>1599</v>
      </c>
      <c r="D20" s="135">
        <f>SUM($C$6:C20)</f>
        <v>68527</v>
      </c>
      <c r="E20" s="134">
        <f t="shared" si="0"/>
        <v>0.88547615971055693</v>
      </c>
    </row>
    <row r="21" spans="2:5" ht="14.25" customHeight="1" x14ac:dyDescent="0.3">
      <c r="B21" s="79">
        <v>43831</v>
      </c>
      <c r="C21" s="133">
        <v>3695</v>
      </c>
      <c r="D21" s="135">
        <f>SUM($C$6:C21)</f>
        <v>72222</v>
      </c>
      <c r="E21" s="134">
        <f t="shared" si="0"/>
        <v>0.93322134642718702</v>
      </c>
    </row>
    <row r="22" spans="2:5" ht="14.25" customHeight="1" x14ac:dyDescent="0.3">
      <c r="B22" s="79">
        <v>44197</v>
      </c>
      <c r="C22" s="133">
        <v>1678</v>
      </c>
      <c r="D22" s="135">
        <f>SUM($C$6:C22)</f>
        <v>73900</v>
      </c>
      <c r="E22" s="134">
        <f t="shared" si="0"/>
        <v>0.95490373433260112</v>
      </c>
    </row>
    <row r="23" spans="2:5" ht="14.25" customHeight="1" x14ac:dyDescent="0.3">
      <c r="B23" s="79">
        <v>44562</v>
      </c>
      <c r="C23" s="133">
        <v>3490</v>
      </c>
      <c r="D23" s="135">
        <f>SUM($C$6:C23)</f>
        <v>77390</v>
      </c>
      <c r="E23" s="134">
        <f t="shared" si="0"/>
        <v>1</v>
      </c>
    </row>
    <row r="24" spans="2:5" ht="14.25" customHeight="1" x14ac:dyDescent="0.3"/>
    <row r="25" spans="2:5" ht="14.25" customHeight="1" x14ac:dyDescent="0.3">
      <c r="B25" s="78" t="s">
        <v>400</v>
      </c>
      <c r="C25" s="133">
        <f>SUM(C6:C23)</f>
        <v>77390</v>
      </c>
    </row>
    <row r="26" spans="2:5" ht="14.25" customHeight="1" x14ac:dyDescent="0.3"/>
    <row r="27" spans="2:5" ht="14.25" customHeight="1" x14ac:dyDescent="0.3"/>
    <row r="28" spans="2:5" ht="14.25" customHeight="1" x14ac:dyDescent="0.3"/>
    <row r="29" spans="2:5" ht="14.25" customHeight="1" x14ac:dyDescent="0.3"/>
    <row r="30" spans="2:5" ht="14.25" customHeight="1" x14ac:dyDescent="0.3"/>
    <row r="31" spans="2:5" ht="14.25" customHeight="1" x14ac:dyDescent="0.3"/>
    <row r="32" spans="2:5" ht="14.25" customHeight="1" x14ac:dyDescent="0.3"/>
    <row r="33" customFormat="1" ht="14.25" customHeight="1" x14ac:dyDescent="0.3"/>
    <row r="34" customFormat="1" ht="14.25" customHeight="1" x14ac:dyDescent="0.3"/>
    <row r="35" customFormat="1" ht="14.25" customHeight="1" x14ac:dyDescent="0.3"/>
    <row r="36" customFormat="1" ht="14.25" customHeight="1" x14ac:dyDescent="0.3"/>
    <row r="37" customFormat="1" ht="14.25" customHeight="1" x14ac:dyDescent="0.3"/>
    <row r="38" customFormat="1" ht="14.25" customHeight="1" x14ac:dyDescent="0.3"/>
    <row r="39" customFormat="1" ht="14.25" customHeight="1" x14ac:dyDescent="0.3"/>
    <row r="40" customFormat="1" ht="14.25" customHeight="1" x14ac:dyDescent="0.3"/>
    <row r="41" customFormat="1" ht="14.25" customHeight="1" x14ac:dyDescent="0.3"/>
    <row r="42" customFormat="1" ht="14.25" customHeight="1" x14ac:dyDescent="0.3"/>
    <row r="43" customFormat="1" ht="14.25" customHeight="1" x14ac:dyDescent="0.3"/>
    <row r="44" customFormat="1" ht="14.25" customHeight="1" x14ac:dyDescent="0.3"/>
    <row r="45" customFormat="1" ht="14.25" customHeight="1" x14ac:dyDescent="0.3"/>
    <row r="46" customFormat="1" ht="14.25" customHeight="1" x14ac:dyDescent="0.3"/>
    <row r="47" customFormat="1" ht="14.25" customHeight="1" x14ac:dyDescent="0.3"/>
    <row r="48" customFormat="1" ht="14.25" customHeight="1" x14ac:dyDescent="0.3"/>
    <row r="49" customFormat="1" ht="14.25" customHeight="1" x14ac:dyDescent="0.3"/>
    <row r="50" customFormat="1" ht="14.25" customHeight="1" x14ac:dyDescent="0.3"/>
    <row r="51" customFormat="1" ht="14.25" customHeight="1" x14ac:dyDescent="0.3"/>
    <row r="52" customFormat="1" ht="14.25" customHeight="1" x14ac:dyDescent="0.3"/>
    <row r="53" customFormat="1" ht="14.25" customHeight="1" x14ac:dyDescent="0.3"/>
    <row r="54" customFormat="1" ht="14.25" customHeight="1" x14ac:dyDescent="0.3"/>
    <row r="55" customFormat="1" ht="14.25" customHeight="1" x14ac:dyDescent="0.3"/>
    <row r="56" customFormat="1" ht="14.25" customHeight="1" x14ac:dyDescent="0.3"/>
    <row r="57" customFormat="1" ht="14.25" customHeight="1" x14ac:dyDescent="0.3"/>
    <row r="58" customFormat="1" ht="14.25" customHeight="1" x14ac:dyDescent="0.3"/>
    <row r="59" customFormat="1" ht="14.25" customHeight="1" x14ac:dyDescent="0.3"/>
    <row r="60" customFormat="1" ht="14.25" customHeight="1" x14ac:dyDescent="0.3"/>
    <row r="61" customFormat="1" ht="14.25" customHeight="1" x14ac:dyDescent="0.3"/>
    <row r="62" customFormat="1" ht="14.25" customHeight="1" x14ac:dyDescent="0.3"/>
    <row r="63" customFormat="1" ht="14.25" customHeight="1" x14ac:dyDescent="0.3"/>
    <row r="64" customFormat="1" ht="14.25" customHeight="1" x14ac:dyDescent="0.3"/>
    <row r="65" customFormat="1" ht="14.25" customHeight="1" x14ac:dyDescent="0.3"/>
    <row r="66" customFormat="1" ht="14.25" customHeight="1" x14ac:dyDescent="0.3"/>
    <row r="67" customFormat="1" ht="14.25" customHeight="1" x14ac:dyDescent="0.3"/>
    <row r="68" customFormat="1" ht="14.25" customHeight="1" x14ac:dyDescent="0.3"/>
    <row r="69" customFormat="1" ht="14.25" customHeight="1" x14ac:dyDescent="0.3"/>
    <row r="70" customFormat="1" ht="14.25" customHeight="1" x14ac:dyDescent="0.3"/>
    <row r="71" customFormat="1" ht="14.25" customHeight="1" x14ac:dyDescent="0.3"/>
    <row r="72" customFormat="1" ht="14.25" customHeight="1" x14ac:dyDescent="0.3"/>
    <row r="73" customFormat="1" ht="14.25" customHeight="1" x14ac:dyDescent="0.3"/>
    <row r="74" customFormat="1" ht="14.25" customHeight="1" x14ac:dyDescent="0.3"/>
    <row r="75" customFormat="1" ht="14.25" customHeight="1" x14ac:dyDescent="0.3"/>
    <row r="76" customFormat="1" ht="14.25" customHeight="1" x14ac:dyDescent="0.3"/>
    <row r="77" customFormat="1" ht="14.25" customHeight="1" x14ac:dyDescent="0.3"/>
    <row r="78" customFormat="1" ht="14.25" customHeight="1" x14ac:dyDescent="0.3"/>
    <row r="79" customFormat="1" ht="14.25" customHeight="1" x14ac:dyDescent="0.3"/>
    <row r="80" customFormat="1" ht="14.25" customHeight="1" x14ac:dyDescent="0.3"/>
    <row r="81" customFormat="1" ht="14.25" customHeight="1" x14ac:dyDescent="0.3"/>
    <row r="82" customFormat="1" ht="14.25" customHeight="1" x14ac:dyDescent="0.3"/>
    <row r="83" customFormat="1" ht="14.25" customHeight="1" x14ac:dyDescent="0.3"/>
    <row r="84" customFormat="1" ht="14.25" customHeight="1" x14ac:dyDescent="0.3"/>
    <row r="85" customFormat="1" ht="14.25" customHeight="1" x14ac:dyDescent="0.3"/>
    <row r="86" customFormat="1" ht="14.25" customHeight="1" x14ac:dyDescent="0.3"/>
    <row r="87" customFormat="1" ht="14.25" customHeight="1" x14ac:dyDescent="0.3"/>
    <row r="88" customFormat="1" ht="14.25" customHeight="1" x14ac:dyDescent="0.3"/>
    <row r="89" customFormat="1" ht="14.25" customHeight="1" x14ac:dyDescent="0.3"/>
    <row r="90" customFormat="1" ht="14.25" customHeight="1" x14ac:dyDescent="0.3"/>
    <row r="91" customFormat="1" ht="14.25" customHeight="1" x14ac:dyDescent="0.3"/>
    <row r="92" customFormat="1" ht="14.25" customHeight="1" x14ac:dyDescent="0.3"/>
    <row r="93" customFormat="1" ht="14.25" customHeight="1" x14ac:dyDescent="0.3"/>
    <row r="94" customFormat="1" ht="14.25" customHeight="1" x14ac:dyDescent="0.3"/>
    <row r="95" customFormat="1" ht="14.25" customHeight="1" x14ac:dyDescent="0.3"/>
    <row r="96" customFormat="1" ht="14.25" customHeight="1" x14ac:dyDescent="0.3"/>
    <row r="97" customFormat="1" ht="14.25" customHeight="1" x14ac:dyDescent="0.3"/>
    <row r="98" customFormat="1" ht="14.25" customHeight="1" x14ac:dyDescent="0.3"/>
    <row r="99" customFormat="1" ht="14.25" customHeight="1" x14ac:dyDescent="0.3"/>
    <row r="100" customFormat="1" ht="14.25" customHeight="1" x14ac:dyDescent="0.3"/>
    <row r="101" customFormat="1" ht="14.25" customHeight="1" x14ac:dyDescent="0.3"/>
    <row r="102" customFormat="1" ht="14.25" customHeight="1" x14ac:dyDescent="0.3"/>
    <row r="103" customFormat="1" ht="14.25" customHeight="1" x14ac:dyDescent="0.3"/>
    <row r="104" customFormat="1" ht="14.25" customHeight="1" x14ac:dyDescent="0.3"/>
    <row r="105" customFormat="1" ht="14.25" customHeight="1" x14ac:dyDescent="0.3"/>
    <row r="106" customFormat="1" ht="14.25" customHeight="1" x14ac:dyDescent="0.3"/>
    <row r="107" customFormat="1" ht="14.25" customHeight="1" x14ac:dyDescent="0.3"/>
    <row r="108" customFormat="1" ht="14.25" customHeight="1" x14ac:dyDescent="0.3"/>
    <row r="109" customFormat="1" ht="14.25" customHeight="1" x14ac:dyDescent="0.3"/>
    <row r="110" customFormat="1" ht="14.25" customHeight="1" x14ac:dyDescent="0.3"/>
    <row r="111" customFormat="1" ht="14.25" customHeight="1" x14ac:dyDescent="0.3"/>
    <row r="112" customFormat="1" ht="14.25" customHeight="1" x14ac:dyDescent="0.3"/>
    <row r="113" customFormat="1" ht="14.25" customHeight="1" x14ac:dyDescent="0.3"/>
    <row r="114" customFormat="1" ht="14.25" customHeight="1" x14ac:dyDescent="0.3"/>
    <row r="115" customFormat="1" ht="14.25" customHeight="1" x14ac:dyDescent="0.3"/>
    <row r="116" customFormat="1" ht="14.25" customHeight="1" x14ac:dyDescent="0.3"/>
    <row r="117" customFormat="1" ht="14.25" customHeight="1" x14ac:dyDescent="0.3"/>
    <row r="118" customFormat="1" ht="14.25" customHeight="1" x14ac:dyDescent="0.3"/>
    <row r="119" customFormat="1" ht="14.25" customHeight="1" x14ac:dyDescent="0.3"/>
    <row r="120" customFormat="1" ht="14.25" customHeight="1" x14ac:dyDescent="0.3"/>
    <row r="121" customFormat="1" ht="14.25" customHeight="1" x14ac:dyDescent="0.3"/>
    <row r="122" customFormat="1" ht="14.25" customHeight="1" x14ac:dyDescent="0.3"/>
    <row r="123" customFormat="1" ht="14.25" customHeight="1" x14ac:dyDescent="0.3"/>
    <row r="124" customFormat="1" ht="14.25" customHeight="1" x14ac:dyDescent="0.3"/>
    <row r="125" customFormat="1" ht="14.25" customHeight="1" x14ac:dyDescent="0.3"/>
    <row r="126" customFormat="1" ht="14.25" customHeight="1" x14ac:dyDescent="0.3"/>
    <row r="127" customFormat="1" ht="14.25" customHeight="1" x14ac:dyDescent="0.3"/>
    <row r="128" customFormat="1" ht="14.25" customHeight="1" x14ac:dyDescent="0.3"/>
    <row r="129" customFormat="1" ht="14.25" customHeight="1" x14ac:dyDescent="0.3"/>
    <row r="130" customFormat="1" ht="14.25" customHeight="1" x14ac:dyDescent="0.3"/>
    <row r="131" customFormat="1" ht="14.25" customHeight="1" x14ac:dyDescent="0.3"/>
    <row r="132" customFormat="1" ht="14.25" customHeight="1" x14ac:dyDescent="0.3"/>
    <row r="133" customFormat="1" ht="14.25" customHeight="1" x14ac:dyDescent="0.3"/>
    <row r="134" customFormat="1" ht="14.25" customHeight="1" x14ac:dyDescent="0.3"/>
    <row r="135" customFormat="1" ht="14.25" customHeight="1" x14ac:dyDescent="0.3"/>
    <row r="136" customFormat="1" ht="14.25" customHeight="1" x14ac:dyDescent="0.3"/>
    <row r="137" customFormat="1" ht="14.25" customHeight="1" x14ac:dyDescent="0.3"/>
    <row r="138" customFormat="1" ht="14.25" customHeight="1" x14ac:dyDescent="0.3"/>
    <row r="139" customFormat="1" ht="14.25" customHeight="1" x14ac:dyDescent="0.3"/>
    <row r="140" customFormat="1" ht="14.25" customHeight="1" x14ac:dyDescent="0.3"/>
    <row r="141" customFormat="1" ht="14.25" customHeight="1" x14ac:dyDescent="0.3"/>
    <row r="142" customFormat="1" ht="14.25" customHeight="1" x14ac:dyDescent="0.3"/>
    <row r="143" customFormat="1" ht="14.25" customHeight="1" x14ac:dyDescent="0.3"/>
    <row r="144" customFormat="1" ht="14.25" customHeight="1" x14ac:dyDescent="0.3"/>
    <row r="145" customFormat="1" ht="14.25" customHeight="1" x14ac:dyDescent="0.3"/>
    <row r="146" customFormat="1" ht="14.25" customHeight="1" x14ac:dyDescent="0.3"/>
    <row r="147" customFormat="1" ht="14.25" customHeight="1" x14ac:dyDescent="0.3"/>
    <row r="148" customFormat="1" ht="14.25" customHeight="1" x14ac:dyDescent="0.3"/>
    <row r="149" customFormat="1" ht="14.25" customHeight="1" x14ac:dyDescent="0.3"/>
    <row r="150" customFormat="1" ht="14.25" customHeight="1" x14ac:dyDescent="0.3"/>
    <row r="151" customFormat="1" ht="14.25" customHeight="1" x14ac:dyDescent="0.3"/>
    <row r="152" customFormat="1" ht="14.25" customHeight="1" x14ac:dyDescent="0.3"/>
    <row r="153" customFormat="1" ht="14.25" customHeight="1" x14ac:dyDescent="0.3"/>
    <row r="154" customFormat="1" ht="14.25" customHeight="1" x14ac:dyDescent="0.3"/>
    <row r="155" customFormat="1" ht="14.25" customHeight="1" x14ac:dyDescent="0.3"/>
    <row r="156" customFormat="1" ht="14.25" customHeight="1" x14ac:dyDescent="0.3"/>
    <row r="157" customFormat="1" ht="14.25" customHeight="1" x14ac:dyDescent="0.3"/>
    <row r="158" customFormat="1" ht="14.25" customHeight="1" x14ac:dyDescent="0.3"/>
    <row r="159" customFormat="1" ht="14.25" customHeight="1" x14ac:dyDescent="0.3"/>
    <row r="160" customFormat="1" ht="14.25" customHeight="1" x14ac:dyDescent="0.3"/>
    <row r="161" customFormat="1" ht="14.25" customHeight="1" x14ac:dyDescent="0.3"/>
    <row r="162" customFormat="1" ht="14.25" customHeight="1" x14ac:dyDescent="0.3"/>
    <row r="163" customFormat="1" ht="14.25" customHeight="1" x14ac:dyDescent="0.3"/>
    <row r="164" customFormat="1" ht="14.25" customHeight="1" x14ac:dyDescent="0.3"/>
    <row r="165" customFormat="1" ht="14.25" customHeight="1" x14ac:dyDescent="0.3"/>
    <row r="166" customFormat="1" ht="14.25" customHeight="1" x14ac:dyDescent="0.3"/>
    <row r="167" customFormat="1" ht="14.25" customHeight="1" x14ac:dyDescent="0.3"/>
    <row r="168" customFormat="1" ht="14.25" customHeight="1" x14ac:dyDescent="0.3"/>
    <row r="169" customFormat="1" ht="14.25" customHeight="1" x14ac:dyDescent="0.3"/>
    <row r="170" customFormat="1" ht="14.25" customHeight="1" x14ac:dyDescent="0.3"/>
    <row r="171" customFormat="1" ht="14.25" customHeight="1" x14ac:dyDescent="0.3"/>
    <row r="172" customFormat="1" ht="14.25" customHeight="1" x14ac:dyDescent="0.3"/>
    <row r="173" customFormat="1" ht="14.25" customHeight="1" x14ac:dyDescent="0.3"/>
    <row r="174" customFormat="1" ht="14.25" customHeight="1" x14ac:dyDescent="0.3"/>
    <row r="175" customFormat="1" ht="14.25" customHeight="1" x14ac:dyDescent="0.3"/>
    <row r="176" customFormat="1" ht="14.25" customHeight="1" x14ac:dyDescent="0.3"/>
    <row r="177" customFormat="1" ht="14.25" customHeight="1" x14ac:dyDescent="0.3"/>
    <row r="178" customFormat="1" ht="14.25" customHeight="1" x14ac:dyDescent="0.3"/>
    <row r="179" customFormat="1" ht="14.25" customHeight="1" x14ac:dyDescent="0.3"/>
    <row r="180" customFormat="1" ht="14.25" customHeight="1" x14ac:dyDescent="0.3"/>
    <row r="181" customFormat="1" ht="14.25" customHeight="1" x14ac:dyDescent="0.3"/>
    <row r="182" customFormat="1" ht="14.25" customHeight="1" x14ac:dyDescent="0.3"/>
    <row r="183" customFormat="1" ht="14.25" customHeight="1" x14ac:dyDescent="0.3"/>
    <row r="184" customFormat="1" ht="14.25" customHeight="1" x14ac:dyDescent="0.3"/>
    <row r="185" customFormat="1" ht="14.25" customHeight="1" x14ac:dyDescent="0.3"/>
    <row r="186" customFormat="1" ht="14.25" customHeight="1" x14ac:dyDescent="0.3"/>
    <row r="187" customFormat="1" ht="14.25" customHeight="1" x14ac:dyDescent="0.3"/>
    <row r="188" customFormat="1" ht="14.25" customHeight="1" x14ac:dyDescent="0.3"/>
    <row r="189" customFormat="1" ht="14.25" customHeight="1" x14ac:dyDescent="0.3"/>
    <row r="190" customFormat="1" ht="14.25" customHeight="1" x14ac:dyDescent="0.3"/>
    <row r="191" customFormat="1" ht="14.25" customHeight="1" x14ac:dyDescent="0.3"/>
    <row r="192" customFormat="1" ht="14.25" customHeight="1" x14ac:dyDescent="0.3"/>
    <row r="193" customFormat="1" ht="14.25" customHeight="1" x14ac:dyDescent="0.3"/>
    <row r="194" customFormat="1" ht="14.25" customHeight="1" x14ac:dyDescent="0.3"/>
    <row r="195" customFormat="1" ht="14.25" customHeight="1" x14ac:dyDescent="0.3"/>
    <row r="196" customFormat="1" ht="14.25" customHeight="1" x14ac:dyDescent="0.3"/>
    <row r="197" customFormat="1" ht="14.25" customHeight="1" x14ac:dyDescent="0.3"/>
    <row r="198" customFormat="1" ht="14.25" customHeight="1" x14ac:dyDescent="0.3"/>
    <row r="199" customFormat="1" ht="14.25" customHeight="1" x14ac:dyDescent="0.3"/>
    <row r="200" customFormat="1" ht="14.25" customHeight="1" x14ac:dyDescent="0.3"/>
    <row r="201" customFormat="1" ht="14.25" customHeight="1" x14ac:dyDescent="0.3"/>
    <row r="202" customFormat="1" ht="14.25" customHeight="1" x14ac:dyDescent="0.3"/>
    <row r="203" customFormat="1" ht="14.25" customHeight="1" x14ac:dyDescent="0.3"/>
    <row r="204" customFormat="1" ht="14.25" customHeight="1" x14ac:dyDescent="0.3"/>
    <row r="205" customFormat="1" ht="14.25" customHeight="1" x14ac:dyDescent="0.3"/>
    <row r="206" customFormat="1" ht="14.25" customHeight="1" x14ac:dyDescent="0.3"/>
    <row r="207" customFormat="1" ht="14.25" customHeight="1" x14ac:dyDescent="0.3"/>
    <row r="208" customFormat="1" ht="14.25" customHeight="1" x14ac:dyDescent="0.3"/>
    <row r="209" customFormat="1" ht="14.25" customHeight="1" x14ac:dyDescent="0.3"/>
    <row r="210" customFormat="1" ht="14.25" customHeight="1" x14ac:dyDescent="0.3"/>
    <row r="211" customFormat="1" ht="14.25" customHeight="1" x14ac:dyDescent="0.3"/>
    <row r="212" customFormat="1" ht="14.25" customHeight="1" x14ac:dyDescent="0.3"/>
    <row r="213" customFormat="1" ht="14.25" customHeight="1" x14ac:dyDescent="0.3"/>
    <row r="214" customFormat="1" ht="14.25" customHeight="1" x14ac:dyDescent="0.3"/>
    <row r="215" customFormat="1" ht="14.25" customHeight="1" x14ac:dyDescent="0.3"/>
    <row r="216" customFormat="1" ht="14.25" customHeight="1" x14ac:dyDescent="0.3"/>
    <row r="217" customFormat="1" ht="14.25" customHeight="1" x14ac:dyDescent="0.3"/>
    <row r="218" customFormat="1" ht="14.25" customHeight="1" x14ac:dyDescent="0.3"/>
    <row r="219" customFormat="1" ht="14.25" customHeight="1" x14ac:dyDescent="0.3"/>
    <row r="220" customFormat="1" ht="14.25" customHeight="1" x14ac:dyDescent="0.3"/>
    <row r="221" customFormat="1" ht="14.25" customHeight="1" x14ac:dyDescent="0.3"/>
    <row r="222" customFormat="1" ht="14.25" customHeight="1" x14ac:dyDescent="0.3"/>
    <row r="223" customFormat="1" ht="14.25" customHeight="1" x14ac:dyDescent="0.3"/>
    <row r="224" customFormat="1" ht="14.25" customHeight="1" x14ac:dyDescent="0.3"/>
    <row r="225" customFormat="1" ht="14.25" customHeight="1" x14ac:dyDescent="0.3"/>
    <row r="226" customFormat="1" ht="14.25" customHeight="1" x14ac:dyDescent="0.3"/>
    <row r="227" customFormat="1" ht="14.25" customHeight="1" x14ac:dyDescent="0.3"/>
    <row r="228" customFormat="1" ht="14.25" customHeight="1" x14ac:dyDescent="0.3"/>
    <row r="229" customFormat="1" ht="14.25" customHeight="1" x14ac:dyDescent="0.3"/>
    <row r="230" customFormat="1" ht="14.25" customHeight="1" x14ac:dyDescent="0.3"/>
    <row r="231" customFormat="1" ht="14.25" customHeight="1" x14ac:dyDescent="0.3"/>
    <row r="232" customFormat="1" ht="14.25" customHeight="1" x14ac:dyDescent="0.3"/>
    <row r="233" customFormat="1" ht="14.25" customHeight="1" x14ac:dyDescent="0.3"/>
    <row r="234" customFormat="1" ht="14.25" customHeight="1" x14ac:dyDescent="0.3"/>
    <row r="235" customFormat="1" ht="14.25" customHeight="1" x14ac:dyDescent="0.3"/>
    <row r="236" customFormat="1" ht="14.25" customHeight="1" x14ac:dyDescent="0.3"/>
    <row r="237" customFormat="1" ht="14.25" customHeight="1" x14ac:dyDescent="0.3"/>
    <row r="238" customFormat="1" ht="14.25" customHeight="1" x14ac:dyDescent="0.3"/>
    <row r="239" customFormat="1" ht="14.25" customHeight="1" x14ac:dyDescent="0.3"/>
    <row r="240" customFormat="1" ht="14.25" customHeight="1" x14ac:dyDescent="0.3"/>
    <row r="241" customFormat="1" ht="14.25" customHeight="1" x14ac:dyDescent="0.3"/>
    <row r="242" customFormat="1" ht="14.25" customHeight="1" x14ac:dyDescent="0.3"/>
    <row r="243" customFormat="1" ht="14.25" customHeight="1" x14ac:dyDescent="0.3"/>
    <row r="244" customFormat="1" ht="14.25" customHeight="1" x14ac:dyDescent="0.3"/>
    <row r="245" customFormat="1" ht="14.25" customHeight="1" x14ac:dyDescent="0.3"/>
    <row r="246" customFormat="1" ht="14.25" customHeight="1" x14ac:dyDescent="0.3"/>
    <row r="247" customFormat="1" ht="14.25" customHeight="1" x14ac:dyDescent="0.3"/>
    <row r="248" customFormat="1" ht="14.25" customHeight="1" x14ac:dyDescent="0.3"/>
    <row r="249" customFormat="1" ht="14.25" customHeight="1" x14ac:dyDescent="0.3"/>
    <row r="250" customFormat="1" ht="14.25" customHeight="1" x14ac:dyDescent="0.3"/>
    <row r="251" customFormat="1" ht="14.25" customHeight="1" x14ac:dyDescent="0.3"/>
    <row r="252" customFormat="1" ht="14.25" customHeight="1" x14ac:dyDescent="0.3"/>
    <row r="253" customFormat="1" ht="14.25" customHeight="1" x14ac:dyDescent="0.3"/>
    <row r="254" customFormat="1" ht="14.25" customHeight="1" x14ac:dyDescent="0.3"/>
    <row r="255" customFormat="1" ht="14.25" customHeight="1" x14ac:dyDescent="0.3"/>
    <row r="256" customFormat="1" ht="14.25" customHeight="1" x14ac:dyDescent="0.3"/>
    <row r="257" customFormat="1" ht="14.25" customHeight="1" x14ac:dyDescent="0.3"/>
    <row r="258" customFormat="1" ht="14.25" customHeight="1" x14ac:dyDescent="0.3"/>
    <row r="259" customFormat="1" ht="14.25" customHeight="1" x14ac:dyDescent="0.3"/>
    <row r="260" customFormat="1" ht="14.25" customHeight="1" x14ac:dyDescent="0.3"/>
    <row r="261" customFormat="1" ht="14.25" customHeight="1" x14ac:dyDescent="0.3"/>
    <row r="262" customFormat="1" ht="14.25" customHeight="1" x14ac:dyDescent="0.3"/>
    <row r="263" customFormat="1" ht="14.25" customHeight="1" x14ac:dyDescent="0.3"/>
    <row r="264" customFormat="1" ht="14.25" customHeight="1" x14ac:dyDescent="0.3"/>
    <row r="265" customFormat="1" ht="14.25" customHeight="1" x14ac:dyDescent="0.3"/>
    <row r="266" customFormat="1" ht="14.25" customHeight="1" x14ac:dyDescent="0.3"/>
    <row r="267" customFormat="1" ht="14.25" customHeight="1" x14ac:dyDescent="0.3"/>
    <row r="268" customFormat="1" ht="14.25" customHeight="1" x14ac:dyDescent="0.3"/>
    <row r="269" customFormat="1" ht="14.25" customHeight="1" x14ac:dyDescent="0.3"/>
    <row r="270" customFormat="1" ht="14.25" customHeight="1" x14ac:dyDescent="0.3"/>
    <row r="271" customFormat="1" ht="14.25" customHeight="1" x14ac:dyDescent="0.3"/>
    <row r="272" customFormat="1" ht="14.25" customHeight="1" x14ac:dyDescent="0.3"/>
    <row r="273" customFormat="1" ht="14.25" customHeight="1" x14ac:dyDescent="0.3"/>
    <row r="274" customFormat="1" ht="14.25" customHeight="1" x14ac:dyDescent="0.3"/>
    <row r="275" customFormat="1" ht="14.25" customHeight="1" x14ac:dyDescent="0.3"/>
    <row r="276" customFormat="1" ht="14.25" customHeight="1" x14ac:dyDescent="0.3"/>
    <row r="277" customFormat="1" ht="14.25" customHeight="1" x14ac:dyDescent="0.3"/>
    <row r="278" customFormat="1" ht="14.25" customHeight="1" x14ac:dyDescent="0.3"/>
    <row r="279" customFormat="1" ht="14.25" customHeight="1" x14ac:dyDescent="0.3"/>
    <row r="280" customFormat="1" ht="14.25" customHeight="1" x14ac:dyDescent="0.3"/>
    <row r="281" customFormat="1" ht="14.25" customHeight="1" x14ac:dyDescent="0.3"/>
    <row r="282" customFormat="1" ht="14.25" customHeight="1" x14ac:dyDescent="0.3"/>
    <row r="283" customFormat="1" ht="14.25" customHeight="1" x14ac:dyDescent="0.3"/>
    <row r="284" customFormat="1" ht="14.25" customHeight="1" x14ac:dyDescent="0.3"/>
    <row r="285" customFormat="1" ht="14.25" customHeight="1" x14ac:dyDescent="0.3"/>
    <row r="286" customFormat="1" ht="14.25" customHeight="1" x14ac:dyDescent="0.3"/>
    <row r="287" customFormat="1" ht="14.25" customHeight="1" x14ac:dyDescent="0.3"/>
    <row r="288" customFormat="1" ht="14.25" customHeight="1" x14ac:dyDescent="0.3"/>
    <row r="289" customFormat="1" ht="14.25" customHeight="1" x14ac:dyDescent="0.3"/>
    <row r="290" customFormat="1" ht="14.25" customHeight="1" x14ac:dyDescent="0.3"/>
    <row r="291" customFormat="1" ht="14.25" customHeight="1" x14ac:dyDescent="0.3"/>
    <row r="292" customFormat="1" ht="14.25" customHeight="1" x14ac:dyDescent="0.3"/>
    <row r="293" customFormat="1" ht="14.25" customHeight="1" x14ac:dyDescent="0.3"/>
    <row r="294" customFormat="1" ht="14.25" customHeight="1" x14ac:dyDescent="0.3"/>
    <row r="295" customFormat="1" ht="14.25" customHeight="1" x14ac:dyDescent="0.3"/>
    <row r="296" customFormat="1" ht="14.25" customHeight="1" x14ac:dyDescent="0.3"/>
    <row r="297" customFormat="1" ht="14.25" customHeight="1" x14ac:dyDescent="0.3"/>
    <row r="298" customFormat="1" ht="14.25" customHeight="1" x14ac:dyDescent="0.3"/>
    <row r="299" customFormat="1" ht="14.25" customHeight="1" x14ac:dyDescent="0.3"/>
    <row r="300" customFormat="1" ht="14.25" customHeight="1" x14ac:dyDescent="0.3"/>
    <row r="301" customFormat="1" ht="14.25" customHeight="1" x14ac:dyDescent="0.3"/>
    <row r="302" customFormat="1" ht="14.25" customHeight="1" x14ac:dyDescent="0.3"/>
    <row r="303" customFormat="1" ht="14.25" customHeight="1" x14ac:dyDescent="0.3"/>
    <row r="304" customFormat="1" ht="14.25" customHeight="1" x14ac:dyDescent="0.3"/>
    <row r="305" customFormat="1" ht="14.25" customHeight="1" x14ac:dyDescent="0.3"/>
    <row r="306" customFormat="1" ht="14.25" customHeight="1" x14ac:dyDescent="0.3"/>
    <row r="307" customFormat="1" ht="14.25" customHeight="1" x14ac:dyDescent="0.3"/>
    <row r="308" customFormat="1" ht="14.25" customHeight="1" x14ac:dyDescent="0.3"/>
    <row r="309" customFormat="1" ht="14.25" customHeight="1" x14ac:dyDescent="0.3"/>
    <row r="310" customFormat="1" ht="14.25" customHeight="1" x14ac:dyDescent="0.3"/>
    <row r="311" customFormat="1" ht="14.25" customHeight="1" x14ac:dyDescent="0.3"/>
    <row r="312" customFormat="1" ht="14.25" customHeight="1" x14ac:dyDescent="0.3"/>
    <row r="313" customFormat="1" ht="14.25" customHeight="1" x14ac:dyDescent="0.3"/>
    <row r="314" customFormat="1" ht="14.25" customHeight="1" x14ac:dyDescent="0.3"/>
    <row r="315" customFormat="1" ht="14.25" customHeight="1" x14ac:dyDescent="0.3"/>
    <row r="316" customFormat="1" ht="14.25" customHeight="1" x14ac:dyDescent="0.3"/>
    <row r="317" customFormat="1" ht="14.25" customHeight="1" x14ac:dyDescent="0.3"/>
    <row r="318" customFormat="1" ht="14.25" customHeight="1" x14ac:dyDescent="0.3"/>
    <row r="319" customFormat="1" ht="14.25" customHeight="1" x14ac:dyDescent="0.3"/>
    <row r="320" customFormat="1" ht="14.25" customHeight="1" x14ac:dyDescent="0.3"/>
    <row r="321" customFormat="1" ht="14.25" customHeight="1" x14ac:dyDescent="0.3"/>
    <row r="322" customFormat="1" ht="14.25" customHeight="1" x14ac:dyDescent="0.3"/>
    <row r="323" customFormat="1" ht="14.25" customHeight="1" x14ac:dyDescent="0.3"/>
    <row r="324" customFormat="1" ht="14.25" customHeight="1" x14ac:dyDescent="0.3"/>
    <row r="325" customFormat="1" ht="14.25" customHeight="1" x14ac:dyDescent="0.3"/>
    <row r="326" customFormat="1" ht="14.25" customHeight="1" x14ac:dyDescent="0.3"/>
    <row r="327" customFormat="1" ht="14.25" customHeight="1" x14ac:dyDescent="0.3"/>
    <row r="328" customFormat="1" ht="14.25" customHeight="1" x14ac:dyDescent="0.3"/>
    <row r="329" customFormat="1" ht="14.25" customHeight="1" x14ac:dyDescent="0.3"/>
    <row r="330" customFormat="1" ht="14.25" customHeight="1" x14ac:dyDescent="0.3"/>
    <row r="331" customFormat="1" ht="14.25" customHeight="1" x14ac:dyDescent="0.3"/>
    <row r="332" customFormat="1" ht="14.25" customHeight="1" x14ac:dyDescent="0.3"/>
    <row r="333" customFormat="1" ht="14.25" customHeight="1" x14ac:dyDescent="0.3"/>
    <row r="334" customFormat="1" ht="14.25" customHeight="1" x14ac:dyDescent="0.3"/>
    <row r="335" customFormat="1" ht="14.25" customHeight="1" x14ac:dyDescent="0.3"/>
    <row r="336" customFormat="1" ht="14.25" customHeight="1" x14ac:dyDescent="0.3"/>
    <row r="337" customFormat="1" ht="14.25" customHeight="1" x14ac:dyDescent="0.3"/>
    <row r="338" customFormat="1" ht="14.25" customHeight="1" x14ac:dyDescent="0.3"/>
    <row r="339" customFormat="1" ht="14.25" customHeight="1" x14ac:dyDescent="0.3"/>
    <row r="340" customFormat="1" ht="14.25" customHeight="1" x14ac:dyDescent="0.3"/>
    <row r="341" customFormat="1" ht="14.25" customHeight="1" x14ac:dyDescent="0.3"/>
    <row r="342" customFormat="1" ht="14.25" customHeight="1" x14ac:dyDescent="0.3"/>
    <row r="343" customFormat="1" ht="14.25" customHeight="1" x14ac:dyDescent="0.3"/>
    <row r="344" customFormat="1" ht="14.25" customHeight="1" x14ac:dyDescent="0.3"/>
    <row r="345" customFormat="1" ht="14.25" customHeight="1" x14ac:dyDescent="0.3"/>
    <row r="346" customFormat="1" ht="14.25" customHeight="1" x14ac:dyDescent="0.3"/>
    <row r="347" customFormat="1" ht="14.25" customHeight="1" x14ac:dyDescent="0.3"/>
    <row r="348" customFormat="1" ht="14.25" customHeight="1" x14ac:dyDescent="0.3"/>
    <row r="349" customFormat="1" ht="14.25" customHeight="1" x14ac:dyDescent="0.3"/>
    <row r="350" customFormat="1" ht="14.25" customHeight="1" x14ac:dyDescent="0.3"/>
    <row r="351" customFormat="1" ht="14.25" customHeight="1" x14ac:dyDescent="0.3"/>
    <row r="352" customFormat="1" ht="14.25" customHeight="1" x14ac:dyDescent="0.3"/>
    <row r="353" customFormat="1" ht="14.25" customHeight="1" x14ac:dyDescent="0.3"/>
    <row r="354" customFormat="1" ht="14.25" customHeight="1" x14ac:dyDescent="0.3"/>
    <row r="355" customFormat="1" ht="14.25" customHeight="1" x14ac:dyDescent="0.3"/>
    <row r="356" customFormat="1" ht="14.25" customHeight="1" x14ac:dyDescent="0.3"/>
    <row r="357" customFormat="1" ht="14.25" customHeight="1" x14ac:dyDescent="0.3"/>
    <row r="358" customFormat="1" ht="14.25" customHeight="1" x14ac:dyDescent="0.3"/>
    <row r="359" customFormat="1" ht="14.25" customHeight="1" x14ac:dyDescent="0.3"/>
    <row r="360" customFormat="1" ht="14.25" customHeight="1" x14ac:dyDescent="0.3"/>
    <row r="361" customFormat="1" ht="14.25" customHeight="1" x14ac:dyDescent="0.3"/>
    <row r="362" customFormat="1" ht="14.25" customHeight="1" x14ac:dyDescent="0.3"/>
    <row r="363" customFormat="1" ht="14.25" customHeight="1" x14ac:dyDescent="0.3"/>
    <row r="364" customFormat="1" ht="14.25" customHeight="1" x14ac:dyDescent="0.3"/>
    <row r="365" customFormat="1" ht="14.25" customHeight="1" x14ac:dyDescent="0.3"/>
    <row r="366" customFormat="1" ht="14.25" customHeight="1" x14ac:dyDescent="0.3"/>
    <row r="367" customFormat="1" ht="14.25" customHeight="1" x14ac:dyDescent="0.3"/>
    <row r="368" customFormat="1" ht="14.25" customHeight="1" x14ac:dyDescent="0.3"/>
    <row r="369" customFormat="1" ht="14.25" customHeight="1" x14ac:dyDescent="0.3"/>
    <row r="370" customFormat="1" ht="14.25" customHeight="1" x14ac:dyDescent="0.3"/>
    <row r="371" customFormat="1" ht="14.25" customHeight="1" x14ac:dyDescent="0.3"/>
    <row r="372" customFormat="1" ht="14.25" customHeight="1" x14ac:dyDescent="0.3"/>
    <row r="373" customFormat="1" ht="14.25" customHeight="1" x14ac:dyDescent="0.3"/>
    <row r="374" customFormat="1" ht="14.25" customHeight="1" x14ac:dyDescent="0.3"/>
    <row r="375" customFormat="1" ht="14.25" customHeight="1" x14ac:dyDescent="0.3"/>
    <row r="376" customFormat="1" ht="14.25" customHeight="1" x14ac:dyDescent="0.3"/>
    <row r="377" customFormat="1" ht="14.25" customHeight="1" x14ac:dyDescent="0.3"/>
    <row r="378" customFormat="1" ht="14.25" customHeight="1" x14ac:dyDescent="0.3"/>
    <row r="379" customFormat="1" ht="14.25" customHeight="1" x14ac:dyDescent="0.3"/>
    <row r="380" customFormat="1" ht="14.25" customHeight="1" x14ac:dyDescent="0.3"/>
    <row r="381" customFormat="1" ht="14.25" customHeight="1" x14ac:dyDescent="0.3"/>
    <row r="382" customFormat="1" ht="14.25" customHeight="1" x14ac:dyDescent="0.3"/>
    <row r="383" customFormat="1" ht="14.25" customHeight="1" x14ac:dyDescent="0.3"/>
    <row r="384" customFormat="1" ht="14.25" customHeight="1" x14ac:dyDescent="0.3"/>
    <row r="385" customFormat="1" ht="14.25" customHeight="1" x14ac:dyDescent="0.3"/>
    <row r="386" customFormat="1" ht="14.25" customHeight="1" x14ac:dyDescent="0.3"/>
    <row r="387" customFormat="1" ht="14.25" customHeight="1" x14ac:dyDescent="0.3"/>
    <row r="388" customFormat="1" ht="14.25" customHeight="1" x14ac:dyDescent="0.3"/>
    <row r="389" customFormat="1" ht="14.25" customHeight="1" x14ac:dyDescent="0.3"/>
    <row r="390" customFormat="1" ht="14.25" customHeight="1" x14ac:dyDescent="0.3"/>
    <row r="391" customFormat="1" ht="14.25" customHeight="1" x14ac:dyDescent="0.3"/>
    <row r="392" customFormat="1" ht="14.25" customHeight="1" x14ac:dyDescent="0.3"/>
    <row r="393" customFormat="1" ht="14.25" customHeight="1" x14ac:dyDescent="0.3"/>
    <row r="394" customFormat="1" ht="14.25" customHeight="1" x14ac:dyDescent="0.3"/>
    <row r="395" customFormat="1" ht="14.25" customHeight="1" x14ac:dyDescent="0.3"/>
    <row r="396" customFormat="1" ht="14.25" customHeight="1" x14ac:dyDescent="0.3"/>
    <row r="397" customFormat="1" ht="14.25" customHeight="1" x14ac:dyDescent="0.3"/>
    <row r="398" customFormat="1" ht="14.25" customHeight="1" x14ac:dyDescent="0.3"/>
    <row r="399" customFormat="1" ht="14.25" customHeight="1" x14ac:dyDescent="0.3"/>
    <row r="400" customFormat="1" ht="14.25" customHeight="1" x14ac:dyDescent="0.3"/>
    <row r="401" customFormat="1" ht="14.25" customHeight="1" x14ac:dyDescent="0.3"/>
    <row r="402" customFormat="1" ht="14.25" customHeight="1" x14ac:dyDescent="0.3"/>
    <row r="403" customFormat="1" ht="14.25" customHeight="1" x14ac:dyDescent="0.3"/>
    <row r="404" customFormat="1" ht="14.25" customHeight="1" x14ac:dyDescent="0.3"/>
    <row r="405" customFormat="1" ht="14.25" customHeight="1" x14ac:dyDescent="0.3"/>
    <row r="406" customFormat="1" ht="14.25" customHeight="1" x14ac:dyDescent="0.3"/>
    <row r="407" customFormat="1" ht="14.25" customHeight="1" x14ac:dyDescent="0.3"/>
    <row r="408" customFormat="1" ht="14.25" customHeight="1" x14ac:dyDescent="0.3"/>
    <row r="409" customFormat="1" ht="14.25" customHeight="1" x14ac:dyDescent="0.3"/>
    <row r="410" customFormat="1" ht="14.25" customHeight="1" x14ac:dyDescent="0.3"/>
    <row r="411" customFormat="1" ht="14.25" customHeight="1" x14ac:dyDescent="0.3"/>
    <row r="412" customFormat="1" ht="14.25" customHeight="1" x14ac:dyDescent="0.3"/>
    <row r="413" customFormat="1" ht="14.25" customHeight="1" x14ac:dyDescent="0.3"/>
    <row r="414" customFormat="1" ht="14.25" customHeight="1" x14ac:dyDescent="0.3"/>
    <row r="415" customFormat="1" ht="14.25" customHeight="1" x14ac:dyDescent="0.3"/>
    <row r="416" customFormat="1" ht="14.25" customHeight="1" x14ac:dyDescent="0.3"/>
    <row r="417" customFormat="1" ht="14.25" customHeight="1" x14ac:dyDescent="0.3"/>
    <row r="418" customFormat="1" ht="14.25" customHeight="1" x14ac:dyDescent="0.3"/>
    <row r="419" customFormat="1" ht="14.25" customHeight="1" x14ac:dyDescent="0.3"/>
    <row r="420" customFormat="1" ht="14.25" customHeight="1" x14ac:dyDescent="0.3"/>
    <row r="421" customFormat="1" ht="14.25" customHeight="1" x14ac:dyDescent="0.3"/>
    <row r="422" customFormat="1" ht="14.25" customHeight="1" x14ac:dyDescent="0.3"/>
    <row r="423" customFormat="1" ht="14.25" customHeight="1" x14ac:dyDescent="0.3"/>
    <row r="424" customFormat="1" ht="14.25" customHeight="1" x14ac:dyDescent="0.3"/>
    <row r="425" customFormat="1" ht="14.25" customHeight="1" x14ac:dyDescent="0.3"/>
    <row r="426" customFormat="1" ht="14.25" customHeight="1" x14ac:dyDescent="0.3"/>
    <row r="427" customFormat="1" ht="14.25" customHeight="1" x14ac:dyDescent="0.3"/>
    <row r="428" customFormat="1" ht="14.25" customHeight="1" x14ac:dyDescent="0.3"/>
    <row r="429" customFormat="1" ht="14.25" customHeight="1" x14ac:dyDescent="0.3"/>
    <row r="430" customFormat="1" ht="14.25" customHeight="1" x14ac:dyDescent="0.3"/>
    <row r="431" customFormat="1" ht="14.25" customHeight="1" x14ac:dyDescent="0.3"/>
    <row r="432" customFormat="1" ht="14.25" customHeight="1" x14ac:dyDescent="0.3"/>
    <row r="433" customFormat="1" ht="14.25" customHeight="1" x14ac:dyDescent="0.3"/>
    <row r="434" customFormat="1" ht="14.25" customHeight="1" x14ac:dyDescent="0.3"/>
    <row r="435" customFormat="1" ht="14.25" customHeight="1" x14ac:dyDescent="0.3"/>
    <row r="436" customFormat="1" ht="14.25" customHeight="1" x14ac:dyDescent="0.3"/>
    <row r="437" customFormat="1" ht="14.25" customHeight="1" x14ac:dyDescent="0.3"/>
    <row r="438" customFormat="1" ht="14.25" customHeight="1" x14ac:dyDescent="0.3"/>
    <row r="439" customFormat="1" ht="14.25" customHeight="1" x14ac:dyDescent="0.3"/>
    <row r="440" customFormat="1" ht="14.25" customHeight="1" x14ac:dyDescent="0.3"/>
    <row r="441" customFormat="1" ht="14.25" customHeight="1" x14ac:dyDescent="0.3"/>
    <row r="442" customFormat="1" ht="14.25" customHeight="1" x14ac:dyDescent="0.3"/>
    <row r="443" customFormat="1" ht="14.25" customHeight="1" x14ac:dyDescent="0.3"/>
    <row r="444" customFormat="1" ht="14.25" customHeight="1" x14ac:dyDescent="0.3"/>
    <row r="445" customFormat="1" ht="14.25" customHeight="1" x14ac:dyDescent="0.3"/>
    <row r="446" customFormat="1" ht="14.25" customHeight="1" x14ac:dyDescent="0.3"/>
    <row r="447" customFormat="1" ht="14.25" customHeight="1" x14ac:dyDescent="0.3"/>
    <row r="448" customFormat="1" ht="14.25" customHeight="1" x14ac:dyDescent="0.3"/>
    <row r="449" customFormat="1" ht="14.25" customHeight="1" x14ac:dyDescent="0.3"/>
    <row r="450" customFormat="1" ht="14.25" customHeight="1" x14ac:dyDescent="0.3"/>
    <row r="451" customFormat="1" ht="14.25" customHeight="1" x14ac:dyDescent="0.3"/>
    <row r="452" customFormat="1" ht="14.25" customHeight="1" x14ac:dyDescent="0.3"/>
    <row r="453" customFormat="1" ht="14.25" customHeight="1" x14ac:dyDescent="0.3"/>
    <row r="454" customFormat="1" ht="14.25" customHeight="1" x14ac:dyDescent="0.3"/>
    <row r="455" customFormat="1" ht="14.25" customHeight="1" x14ac:dyDescent="0.3"/>
    <row r="456" customFormat="1" ht="14.25" customHeight="1" x14ac:dyDescent="0.3"/>
    <row r="457" customFormat="1" ht="14.25" customHeight="1" x14ac:dyDescent="0.3"/>
    <row r="458" customFormat="1" ht="14.25" customHeight="1" x14ac:dyDescent="0.3"/>
    <row r="459" customFormat="1" ht="14.25" customHeight="1" x14ac:dyDescent="0.3"/>
    <row r="460" customFormat="1" ht="14.25" customHeight="1" x14ac:dyDescent="0.3"/>
    <row r="461" customFormat="1" ht="14.25" customHeight="1" x14ac:dyDescent="0.3"/>
    <row r="462" customFormat="1" ht="14.25" customHeight="1" x14ac:dyDescent="0.3"/>
    <row r="463" customFormat="1" ht="14.25" customHeight="1" x14ac:dyDescent="0.3"/>
    <row r="464" customFormat="1" ht="14.25" customHeight="1" x14ac:dyDescent="0.3"/>
    <row r="465" customFormat="1" ht="14.25" customHeight="1" x14ac:dyDescent="0.3"/>
    <row r="466" customFormat="1" ht="14.25" customHeight="1" x14ac:dyDescent="0.3"/>
    <row r="467" customFormat="1" ht="14.25" customHeight="1" x14ac:dyDescent="0.3"/>
    <row r="468" customFormat="1" ht="14.25" customHeight="1" x14ac:dyDescent="0.3"/>
    <row r="469" customFormat="1" ht="14.25" customHeight="1" x14ac:dyDescent="0.3"/>
    <row r="470" customFormat="1" ht="14.25" customHeight="1" x14ac:dyDescent="0.3"/>
    <row r="471" customFormat="1" ht="14.25" customHeight="1" x14ac:dyDescent="0.3"/>
    <row r="472" customFormat="1" ht="14.25" customHeight="1" x14ac:dyDescent="0.3"/>
    <row r="473" customFormat="1" ht="14.25" customHeight="1" x14ac:dyDescent="0.3"/>
    <row r="474" customFormat="1" ht="14.25" customHeight="1" x14ac:dyDescent="0.3"/>
    <row r="475" customFormat="1" ht="14.25" customHeight="1" x14ac:dyDescent="0.3"/>
    <row r="476" customFormat="1" ht="14.25" customHeight="1" x14ac:dyDescent="0.3"/>
    <row r="477" customFormat="1" ht="14.25" customHeight="1" x14ac:dyDescent="0.3"/>
    <row r="478" customFormat="1" ht="14.25" customHeight="1" x14ac:dyDescent="0.3"/>
    <row r="479" customFormat="1" ht="14.25" customHeight="1" x14ac:dyDescent="0.3"/>
    <row r="480" customFormat="1" ht="14.25" customHeight="1" x14ac:dyDescent="0.3"/>
    <row r="481" customFormat="1" ht="14.25" customHeight="1" x14ac:dyDescent="0.3"/>
    <row r="482" customFormat="1" ht="14.25" customHeight="1" x14ac:dyDescent="0.3"/>
    <row r="483" customFormat="1" ht="14.25" customHeight="1" x14ac:dyDescent="0.3"/>
    <row r="484" customFormat="1" ht="14.25" customHeight="1" x14ac:dyDescent="0.3"/>
    <row r="485" customFormat="1" ht="14.25" customHeight="1" x14ac:dyDescent="0.3"/>
    <row r="486" customFormat="1" ht="14.25" customHeight="1" x14ac:dyDescent="0.3"/>
    <row r="487" customFormat="1" ht="14.25" customHeight="1" x14ac:dyDescent="0.3"/>
    <row r="488" customFormat="1" ht="14.25" customHeight="1" x14ac:dyDescent="0.3"/>
    <row r="489" customFormat="1" ht="14.25" customHeight="1" x14ac:dyDescent="0.3"/>
    <row r="490" customFormat="1" ht="14.25" customHeight="1" x14ac:dyDescent="0.3"/>
    <row r="491" customFormat="1" ht="14.25" customHeight="1" x14ac:dyDescent="0.3"/>
    <row r="492" customFormat="1" ht="14.25" customHeight="1" x14ac:dyDescent="0.3"/>
    <row r="493" customFormat="1" ht="14.25" customHeight="1" x14ac:dyDescent="0.3"/>
    <row r="494" customFormat="1" ht="14.25" customHeight="1" x14ac:dyDescent="0.3"/>
    <row r="495" customFormat="1" ht="14.25" customHeight="1" x14ac:dyDescent="0.3"/>
    <row r="496" customFormat="1" ht="14.25" customHeight="1" x14ac:dyDescent="0.3"/>
    <row r="497" customFormat="1" ht="14.25" customHeight="1" x14ac:dyDescent="0.3"/>
    <row r="498" customFormat="1" ht="14.25" customHeight="1" x14ac:dyDescent="0.3"/>
    <row r="499" customFormat="1" ht="14.25" customHeight="1" x14ac:dyDescent="0.3"/>
    <row r="500" customFormat="1" ht="14.25" customHeight="1" x14ac:dyDescent="0.3"/>
    <row r="501" customFormat="1" ht="14.25" customHeight="1" x14ac:dyDescent="0.3"/>
    <row r="502" customFormat="1" ht="14.25" customHeight="1" x14ac:dyDescent="0.3"/>
    <row r="503" customFormat="1" ht="14.25" customHeight="1" x14ac:dyDescent="0.3"/>
    <row r="504" customFormat="1" ht="14.25" customHeight="1" x14ac:dyDescent="0.3"/>
    <row r="505" customFormat="1" ht="14.25" customHeight="1" x14ac:dyDescent="0.3"/>
    <row r="506" customFormat="1" ht="14.25" customHeight="1" x14ac:dyDescent="0.3"/>
    <row r="507" customFormat="1" ht="14.25" customHeight="1" x14ac:dyDescent="0.3"/>
    <row r="508" customFormat="1" ht="14.25" customHeight="1" x14ac:dyDescent="0.3"/>
    <row r="509" customFormat="1" ht="14.25" customHeight="1" x14ac:dyDescent="0.3"/>
    <row r="510" customFormat="1" ht="14.25" customHeight="1" x14ac:dyDescent="0.3"/>
    <row r="511" customFormat="1" ht="14.25" customHeight="1" x14ac:dyDescent="0.3"/>
    <row r="512" customFormat="1" ht="14.25" customHeight="1" x14ac:dyDescent="0.3"/>
    <row r="513" customFormat="1" ht="14.25" customHeight="1" x14ac:dyDescent="0.3"/>
    <row r="514" customFormat="1" ht="14.25" customHeight="1" x14ac:dyDescent="0.3"/>
    <row r="515" customFormat="1" ht="14.25" customHeight="1" x14ac:dyDescent="0.3"/>
    <row r="516" customFormat="1" ht="14.25" customHeight="1" x14ac:dyDescent="0.3"/>
    <row r="517" customFormat="1" ht="14.25" customHeight="1" x14ac:dyDescent="0.3"/>
    <row r="518" customFormat="1" ht="14.25" customHeight="1" x14ac:dyDescent="0.3"/>
    <row r="519" customFormat="1" ht="14.25" customHeight="1" x14ac:dyDescent="0.3"/>
    <row r="520" customFormat="1" ht="14.25" customHeight="1" x14ac:dyDescent="0.3"/>
    <row r="521" customFormat="1" ht="14.25" customHeight="1" x14ac:dyDescent="0.3"/>
    <row r="522" customFormat="1" ht="14.25" customHeight="1" x14ac:dyDescent="0.3"/>
    <row r="523" customFormat="1" ht="14.25" customHeight="1" x14ac:dyDescent="0.3"/>
    <row r="524" customFormat="1" ht="14.25" customHeight="1" x14ac:dyDescent="0.3"/>
    <row r="525" customFormat="1" ht="14.25" customHeight="1" x14ac:dyDescent="0.3"/>
    <row r="526" customFormat="1" ht="14.25" customHeight="1" x14ac:dyDescent="0.3"/>
    <row r="527" customFormat="1" ht="14.25" customHeight="1" x14ac:dyDescent="0.3"/>
    <row r="528" customFormat="1" ht="14.25" customHeight="1" x14ac:dyDescent="0.3"/>
    <row r="529" customFormat="1" ht="14.25" customHeight="1" x14ac:dyDescent="0.3"/>
    <row r="530" customFormat="1" ht="14.25" customHeight="1" x14ac:dyDescent="0.3"/>
    <row r="531" customFormat="1" ht="14.25" customHeight="1" x14ac:dyDescent="0.3"/>
    <row r="532" customFormat="1" ht="14.25" customHeight="1" x14ac:dyDescent="0.3"/>
    <row r="533" customFormat="1" ht="14.25" customHeight="1" x14ac:dyDescent="0.3"/>
    <row r="534" customFormat="1" ht="14.25" customHeight="1" x14ac:dyDescent="0.3"/>
    <row r="535" customFormat="1" ht="14.25" customHeight="1" x14ac:dyDescent="0.3"/>
    <row r="536" customFormat="1" ht="14.25" customHeight="1" x14ac:dyDescent="0.3"/>
    <row r="537" customFormat="1" ht="14.25" customHeight="1" x14ac:dyDescent="0.3"/>
    <row r="538" customFormat="1" ht="14.25" customHeight="1" x14ac:dyDescent="0.3"/>
    <row r="539" customFormat="1" ht="14.25" customHeight="1" x14ac:dyDescent="0.3"/>
    <row r="540" customFormat="1" ht="14.25" customHeight="1" x14ac:dyDescent="0.3"/>
    <row r="541" customFormat="1" ht="14.25" customHeight="1" x14ac:dyDescent="0.3"/>
    <row r="542" customFormat="1" ht="14.25" customHeight="1" x14ac:dyDescent="0.3"/>
    <row r="543" customFormat="1" ht="14.25" customHeight="1" x14ac:dyDescent="0.3"/>
    <row r="544" customFormat="1" ht="14.25" customHeight="1" x14ac:dyDescent="0.3"/>
    <row r="545" customFormat="1" ht="14.25" customHeight="1" x14ac:dyDescent="0.3"/>
    <row r="546" customFormat="1" ht="14.25" customHeight="1" x14ac:dyDescent="0.3"/>
    <row r="547" customFormat="1" ht="14.25" customHeight="1" x14ac:dyDescent="0.3"/>
    <row r="548" customFormat="1" ht="14.25" customHeight="1" x14ac:dyDescent="0.3"/>
    <row r="549" customFormat="1" ht="14.25" customHeight="1" x14ac:dyDescent="0.3"/>
    <row r="550" customFormat="1" ht="14.25" customHeight="1" x14ac:dyDescent="0.3"/>
    <row r="551" customFormat="1" ht="14.25" customHeight="1" x14ac:dyDescent="0.3"/>
    <row r="552" customFormat="1" ht="14.25" customHeight="1" x14ac:dyDescent="0.3"/>
    <row r="553" customFormat="1" ht="14.25" customHeight="1" x14ac:dyDescent="0.3"/>
    <row r="554" customFormat="1" ht="14.25" customHeight="1" x14ac:dyDescent="0.3"/>
    <row r="555" customFormat="1" ht="14.25" customHeight="1" x14ac:dyDescent="0.3"/>
    <row r="556" customFormat="1" ht="14.25" customHeight="1" x14ac:dyDescent="0.3"/>
    <row r="557" customFormat="1" ht="14.25" customHeight="1" x14ac:dyDescent="0.3"/>
    <row r="558" customFormat="1" ht="14.25" customHeight="1" x14ac:dyDescent="0.3"/>
    <row r="559" customFormat="1" ht="14.25" customHeight="1" x14ac:dyDescent="0.3"/>
    <row r="560" customFormat="1" ht="14.25" customHeight="1" x14ac:dyDescent="0.3"/>
    <row r="561" customFormat="1" ht="14.25" customHeight="1" x14ac:dyDescent="0.3"/>
    <row r="562" customFormat="1" ht="14.25" customHeight="1" x14ac:dyDescent="0.3"/>
    <row r="563" customFormat="1" ht="14.25" customHeight="1" x14ac:dyDescent="0.3"/>
    <row r="564" customFormat="1" ht="14.25" customHeight="1" x14ac:dyDescent="0.3"/>
    <row r="565" customFormat="1" ht="14.25" customHeight="1" x14ac:dyDescent="0.3"/>
    <row r="566" customFormat="1" ht="14.25" customHeight="1" x14ac:dyDescent="0.3"/>
    <row r="567" customFormat="1" ht="14.25" customHeight="1" x14ac:dyDescent="0.3"/>
    <row r="568" customFormat="1" ht="14.25" customHeight="1" x14ac:dyDescent="0.3"/>
    <row r="569" customFormat="1" ht="14.25" customHeight="1" x14ac:dyDescent="0.3"/>
    <row r="570" customFormat="1" ht="14.25" customHeight="1" x14ac:dyDescent="0.3"/>
    <row r="571" customFormat="1" ht="14.25" customHeight="1" x14ac:dyDescent="0.3"/>
    <row r="572" customFormat="1" ht="14.25" customHeight="1" x14ac:dyDescent="0.3"/>
    <row r="573" customFormat="1" ht="14.25" customHeight="1" x14ac:dyDescent="0.3"/>
    <row r="574" customFormat="1" ht="14.25" customHeight="1" x14ac:dyDescent="0.3"/>
    <row r="575" customFormat="1" ht="14.25" customHeight="1" x14ac:dyDescent="0.3"/>
    <row r="576" customFormat="1" ht="14.25" customHeight="1" x14ac:dyDescent="0.3"/>
    <row r="577" customFormat="1" ht="14.25" customHeight="1" x14ac:dyDescent="0.3"/>
    <row r="578" customFormat="1" ht="14.25" customHeight="1" x14ac:dyDescent="0.3"/>
    <row r="579" customFormat="1" ht="14.25" customHeight="1" x14ac:dyDescent="0.3"/>
    <row r="580" customFormat="1" ht="14.25" customHeight="1" x14ac:dyDescent="0.3"/>
    <row r="581" customFormat="1" ht="14.25" customHeight="1" x14ac:dyDescent="0.3"/>
    <row r="582" customFormat="1" ht="14.25" customHeight="1" x14ac:dyDescent="0.3"/>
    <row r="583" customFormat="1" ht="14.25" customHeight="1" x14ac:dyDescent="0.3"/>
    <row r="584" customFormat="1" ht="14.25" customHeight="1" x14ac:dyDescent="0.3"/>
    <row r="585" customFormat="1" ht="14.25" customHeight="1" x14ac:dyDescent="0.3"/>
    <row r="586" customFormat="1" ht="14.25" customHeight="1" x14ac:dyDescent="0.3"/>
    <row r="587" customFormat="1" ht="14.25" customHeight="1" x14ac:dyDescent="0.3"/>
    <row r="588" customFormat="1" ht="14.25" customHeight="1" x14ac:dyDescent="0.3"/>
    <row r="589" customFormat="1" ht="14.25" customHeight="1" x14ac:dyDescent="0.3"/>
    <row r="590" customFormat="1" ht="14.25" customHeight="1" x14ac:dyDescent="0.3"/>
    <row r="591" customFormat="1" ht="14.25" customHeight="1" x14ac:dyDescent="0.3"/>
    <row r="592" customFormat="1" ht="14.25" customHeight="1" x14ac:dyDescent="0.3"/>
    <row r="593" customFormat="1" ht="14.25" customHeight="1" x14ac:dyDescent="0.3"/>
    <row r="594" customFormat="1" ht="14.25" customHeight="1" x14ac:dyDescent="0.3"/>
    <row r="595" customFormat="1" ht="14.25" customHeight="1" x14ac:dyDescent="0.3"/>
    <row r="596" customFormat="1" ht="14.25" customHeight="1" x14ac:dyDescent="0.3"/>
    <row r="597" customFormat="1" ht="14.25" customHeight="1" x14ac:dyDescent="0.3"/>
    <row r="598" customFormat="1" ht="14.25" customHeight="1" x14ac:dyDescent="0.3"/>
    <row r="599" customFormat="1" ht="14.25" customHeight="1" x14ac:dyDescent="0.3"/>
    <row r="600" customFormat="1" ht="14.25" customHeight="1" x14ac:dyDescent="0.3"/>
    <row r="601" customFormat="1" ht="14.25" customHeight="1" x14ac:dyDescent="0.3"/>
    <row r="602" customFormat="1" ht="14.25" customHeight="1" x14ac:dyDescent="0.3"/>
    <row r="603" customFormat="1" ht="14.25" customHeight="1" x14ac:dyDescent="0.3"/>
    <row r="604" customFormat="1" ht="14.25" customHeight="1" x14ac:dyDescent="0.3"/>
    <row r="605" customFormat="1" ht="14.25" customHeight="1" x14ac:dyDescent="0.3"/>
    <row r="606" customFormat="1" ht="14.25" customHeight="1" x14ac:dyDescent="0.3"/>
    <row r="607" customFormat="1" ht="14.25" customHeight="1" x14ac:dyDescent="0.3"/>
    <row r="608" customFormat="1" ht="14.25" customHeight="1" x14ac:dyDescent="0.3"/>
    <row r="609" customFormat="1" ht="14.25" customHeight="1" x14ac:dyDescent="0.3"/>
    <row r="610" customFormat="1" ht="14.25" customHeight="1" x14ac:dyDescent="0.3"/>
    <row r="611" customFormat="1" ht="14.25" customHeight="1" x14ac:dyDescent="0.3"/>
    <row r="612" customFormat="1" ht="14.25" customHeight="1" x14ac:dyDescent="0.3"/>
    <row r="613" customFormat="1" ht="14.25" customHeight="1" x14ac:dyDescent="0.3"/>
    <row r="614" customFormat="1" ht="14.25" customHeight="1" x14ac:dyDescent="0.3"/>
    <row r="615" customFormat="1" ht="14.25" customHeight="1" x14ac:dyDescent="0.3"/>
    <row r="616" customFormat="1" ht="14.25" customHeight="1" x14ac:dyDescent="0.3"/>
    <row r="617" customFormat="1" ht="14.25" customHeight="1" x14ac:dyDescent="0.3"/>
    <row r="618" customFormat="1" ht="14.25" customHeight="1" x14ac:dyDescent="0.3"/>
    <row r="619" customFormat="1" ht="14.25" customHeight="1" x14ac:dyDescent="0.3"/>
    <row r="620" customFormat="1" ht="14.25" customHeight="1" x14ac:dyDescent="0.3"/>
    <row r="621" customFormat="1" ht="14.25" customHeight="1" x14ac:dyDescent="0.3"/>
    <row r="622" customFormat="1" ht="14.25" customHeight="1" x14ac:dyDescent="0.3"/>
    <row r="623" customFormat="1" ht="14.25" customHeight="1" x14ac:dyDescent="0.3"/>
    <row r="624" customFormat="1" ht="14.25" customHeight="1" x14ac:dyDescent="0.3"/>
    <row r="625" customFormat="1" ht="14.25" customHeight="1" x14ac:dyDescent="0.3"/>
    <row r="626" customFormat="1" ht="14.25" customHeight="1" x14ac:dyDescent="0.3"/>
    <row r="627" customFormat="1" ht="14.25" customHeight="1" x14ac:dyDescent="0.3"/>
    <row r="628" customFormat="1" ht="14.25" customHeight="1" x14ac:dyDescent="0.3"/>
    <row r="629" customFormat="1" ht="14.25" customHeight="1" x14ac:dyDescent="0.3"/>
    <row r="630" customFormat="1" ht="14.25" customHeight="1" x14ac:dyDescent="0.3"/>
    <row r="631" customFormat="1" ht="14.25" customHeight="1" x14ac:dyDescent="0.3"/>
    <row r="632" customFormat="1" ht="14.25" customHeight="1" x14ac:dyDescent="0.3"/>
    <row r="633" customFormat="1" ht="14.25" customHeight="1" x14ac:dyDescent="0.3"/>
    <row r="634" customFormat="1" ht="14.25" customHeight="1" x14ac:dyDescent="0.3"/>
    <row r="635" customFormat="1" ht="14.25" customHeight="1" x14ac:dyDescent="0.3"/>
    <row r="636" customFormat="1" ht="14.25" customHeight="1" x14ac:dyDescent="0.3"/>
    <row r="637" customFormat="1" ht="14.25" customHeight="1" x14ac:dyDescent="0.3"/>
    <row r="638" customFormat="1" ht="14.25" customHeight="1" x14ac:dyDescent="0.3"/>
    <row r="639" customFormat="1" ht="14.25" customHeight="1" x14ac:dyDescent="0.3"/>
    <row r="640" customFormat="1" ht="14.25" customHeight="1" x14ac:dyDescent="0.3"/>
    <row r="641" customFormat="1" ht="14.25" customHeight="1" x14ac:dyDescent="0.3"/>
    <row r="642" customFormat="1" ht="14.25" customHeight="1" x14ac:dyDescent="0.3"/>
    <row r="643" customFormat="1" ht="14.25" customHeight="1" x14ac:dyDescent="0.3"/>
    <row r="644" customFormat="1" ht="14.25" customHeight="1" x14ac:dyDescent="0.3"/>
    <row r="645" customFormat="1" ht="14.25" customHeight="1" x14ac:dyDescent="0.3"/>
    <row r="646" customFormat="1" ht="14.25" customHeight="1" x14ac:dyDescent="0.3"/>
    <row r="647" customFormat="1" ht="14.25" customHeight="1" x14ac:dyDescent="0.3"/>
    <row r="648" customFormat="1" ht="14.25" customHeight="1" x14ac:dyDescent="0.3"/>
    <row r="649" customFormat="1" ht="14.25" customHeight="1" x14ac:dyDescent="0.3"/>
    <row r="650" customFormat="1" ht="14.25" customHeight="1" x14ac:dyDescent="0.3"/>
    <row r="651" customFormat="1" ht="14.25" customHeight="1" x14ac:dyDescent="0.3"/>
    <row r="652" customFormat="1" ht="14.25" customHeight="1" x14ac:dyDescent="0.3"/>
    <row r="653" customFormat="1" ht="14.25" customHeight="1" x14ac:dyDescent="0.3"/>
    <row r="654" customFormat="1" ht="14.25" customHeight="1" x14ac:dyDescent="0.3"/>
    <row r="655" customFormat="1" ht="14.25" customHeight="1" x14ac:dyDescent="0.3"/>
    <row r="656" customFormat="1" ht="14.25" customHeight="1" x14ac:dyDescent="0.3"/>
    <row r="657" customFormat="1" ht="14.25" customHeight="1" x14ac:dyDescent="0.3"/>
    <row r="658" customFormat="1" ht="14.25" customHeight="1" x14ac:dyDescent="0.3"/>
    <row r="659" customFormat="1" ht="14.25" customHeight="1" x14ac:dyDescent="0.3"/>
    <row r="660" customFormat="1" ht="14.25" customHeight="1" x14ac:dyDescent="0.3"/>
    <row r="661" customFormat="1" ht="14.25" customHeight="1" x14ac:dyDescent="0.3"/>
    <row r="662" customFormat="1" ht="14.25" customHeight="1" x14ac:dyDescent="0.3"/>
    <row r="663" customFormat="1" ht="14.25" customHeight="1" x14ac:dyDescent="0.3"/>
    <row r="664" customFormat="1" ht="14.25" customHeight="1" x14ac:dyDescent="0.3"/>
    <row r="665" customFormat="1" ht="14.25" customHeight="1" x14ac:dyDescent="0.3"/>
    <row r="666" customFormat="1" ht="14.25" customHeight="1" x14ac:dyDescent="0.3"/>
    <row r="667" customFormat="1" ht="14.25" customHeight="1" x14ac:dyDescent="0.3"/>
    <row r="668" customFormat="1" ht="14.25" customHeight="1" x14ac:dyDescent="0.3"/>
    <row r="669" customFormat="1" ht="14.25" customHeight="1" x14ac:dyDescent="0.3"/>
    <row r="670" customFormat="1" ht="14.25" customHeight="1" x14ac:dyDescent="0.3"/>
    <row r="671" customFormat="1" ht="14.25" customHeight="1" x14ac:dyDescent="0.3"/>
    <row r="672" customFormat="1" ht="14.25" customHeight="1" x14ac:dyDescent="0.3"/>
    <row r="673" customFormat="1" ht="14.25" customHeight="1" x14ac:dyDescent="0.3"/>
    <row r="674" customFormat="1" ht="14.25" customHeight="1" x14ac:dyDescent="0.3"/>
    <row r="675" customFormat="1" ht="14.25" customHeight="1" x14ac:dyDescent="0.3"/>
    <row r="676" customFormat="1" ht="14.25" customHeight="1" x14ac:dyDescent="0.3"/>
    <row r="677" customFormat="1" ht="14.25" customHeight="1" x14ac:dyDescent="0.3"/>
    <row r="678" customFormat="1" ht="14.25" customHeight="1" x14ac:dyDescent="0.3"/>
    <row r="679" customFormat="1" ht="14.25" customHeight="1" x14ac:dyDescent="0.3"/>
    <row r="680" customFormat="1" ht="14.25" customHeight="1" x14ac:dyDescent="0.3"/>
    <row r="681" customFormat="1" ht="14.25" customHeight="1" x14ac:dyDescent="0.3"/>
    <row r="682" customFormat="1" ht="14.25" customHeight="1" x14ac:dyDescent="0.3"/>
    <row r="683" customFormat="1" ht="14.25" customHeight="1" x14ac:dyDescent="0.3"/>
    <row r="684" customFormat="1" ht="14.25" customHeight="1" x14ac:dyDescent="0.3"/>
    <row r="685" customFormat="1" ht="14.25" customHeight="1" x14ac:dyDescent="0.3"/>
    <row r="686" customFormat="1" ht="14.25" customHeight="1" x14ac:dyDescent="0.3"/>
    <row r="687" customFormat="1" ht="14.25" customHeight="1" x14ac:dyDescent="0.3"/>
    <row r="688" customFormat="1" ht="14.25" customHeight="1" x14ac:dyDescent="0.3"/>
    <row r="689" customFormat="1" ht="14.25" customHeight="1" x14ac:dyDescent="0.3"/>
    <row r="690" customFormat="1" ht="14.25" customHeight="1" x14ac:dyDescent="0.3"/>
    <row r="691" customFormat="1" ht="14.25" customHeight="1" x14ac:dyDescent="0.3"/>
    <row r="692" customFormat="1" ht="14.25" customHeight="1" x14ac:dyDescent="0.3"/>
    <row r="693" customFormat="1" ht="14.25" customHeight="1" x14ac:dyDescent="0.3"/>
    <row r="694" customFormat="1" ht="14.25" customHeight="1" x14ac:dyDescent="0.3"/>
    <row r="695" customFormat="1" ht="14.25" customHeight="1" x14ac:dyDescent="0.3"/>
    <row r="696" customFormat="1" ht="14.25" customHeight="1" x14ac:dyDescent="0.3"/>
    <row r="697" customFormat="1" ht="14.25" customHeight="1" x14ac:dyDescent="0.3"/>
    <row r="698" customFormat="1" ht="14.25" customHeight="1" x14ac:dyDescent="0.3"/>
    <row r="699" customFormat="1" ht="14.25" customHeight="1" x14ac:dyDescent="0.3"/>
    <row r="700" customFormat="1" ht="14.25" customHeight="1" x14ac:dyDescent="0.3"/>
    <row r="701" customFormat="1" ht="14.25" customHeight="1" x14ac:dyDescent="0.3"/>
    <row r="702" customFormat="1" ht="14.25" customHeight="1" x14ac:dyDescent="0.3"/>
    <row r="703" customFormat="1" ht="14.25" customHeight="1" x14ac:dyDescent="0.3"/>
    <row r="704" customFormat="1" ht="14.25" customHeight="1" x14ac:dyDescent="0.3"/>
    <row r="705" customFormat="1" ht="14.25" customHeight="1" x14ac:dyDescent="0.3"/>
    <row r="706" customFormat="1" ht="14.25" customHeight="1" x14ac:dyDescent="0.3"/>
    <row r="707" customFormat="1" ht="14.25" customHeight="1" x14ac:dyDescent="0.3"/>
    <row r="708" customFormat="1" ht="14.25" customHeight="1" x14ac:dyDescent="0.3"/>
    <row r="709" customFormat="1" ht="14.25" customHeight="1" x14ac:dyDescent="0.3"/>
    <row r="710" customFormat="1" ht="14.25" customHeight="1" x14ac:dyDescent="0.3"/>
    <row r="711" customFormat="1" ht="14.25" customHeight="1" x14ac:dyDescent="0.3"/>
    <row r="712" customFormat="1" ht="14.25" customHeight="1" x14ac:dyDescent="0.3"/>
    <row r="713" customFormat="1" ht="14.25" customHeight="1" x14ac:dyDescent="0.3"/>
    <row r="714" customFormat="1" ht="14.25" customHeight="1" x14ac:dyDescent="0.3"/>
    <row r="715" customFormat="1" ht="14.25" customHeight="1" x14ac:dyDescent="0.3"/>
    <row r="716" customFormat="1" ht="14.25" customHeight="1" x14ac:dyDescent="0.3"/>
    <row r="717" customFormat="1" ht="14.25" customHeight="1" x14ac:dyDescent="0.3"/>
    <row r="718" customFormat="1" ht="14.25" customHeight="1" x14ac:dyDescent="0.3"/>
    <row r="719" customFormat="1" ht="14.25" customHeight="1" x14ac:dyDescent="0.3"/>
    <row r="720" customFormat="1" ht="14.25" customHeight="1" x14ac:dyDescent="0.3"/>
    <row r="721" customFormat="1" ht="14.25" customHeight="1" x14ac:dyDescent="0.3"/>
    <row r="722" customFormat="1" ht="14.25" customHeight="1" x14ac:dyDescent="0.3"/>
    <row r="723" customFormat="1" ht="14.25" customHeight="1" x14ac:dyDescent="0.3"/>
    <row r="724" customFormat="1" ht="14.25" customHeight="1" x14ac:dyDescent="0.3"/>
    <row r="725" customFormat="1" ht="14.25" customHeight="1" x14ac:dyDescent="0.3"/>
    <row r="726" customFormat="1" ht="14.25" customHeight="1" x14ac:dyDescent="0.3"/>
    <row r="727" customFormat="1" ht="14.25" customHeight="1" x14ac:dyDescent="0.3"/>
    <row r="728" customFormat="1" ht="14.25" customHeight="1" x14ac:dyDescent="0.3"/>
    <row r="729" customFormat="1" ht="14.25" customHeight="1" x14ac:dyDescent="0.3"/>
    <row r="730" customFormat="1" ht="14.25" customHeight="1" x14ac:dyDescent="0.3"/>
    <row r="731" customFormat="1" ht="14.25" customHeight="1" x14ac:dyDescent="0.3"/>
    <row r="732" customFormat="1" ht="14.25" customHeight="1" x14ac:dyDescent="0.3"/>
    <row r="733" customFormat="1" ht="14.25" customHeight="1" x14ac:dyDescent="0.3"/>
    <row r="734" customFormat="1" ht="14.25" customHeight="1" x14ac:dyDescent="0.3"/>
    <row r="735" customFormat="1" ht="14.25" customHeight="1" x14ac:dyDescent="0.3"/>
    <row r="736" customFormat="1" ht="14.25" customHeight="1" x14ac:dyDescent="0.3"/>
    <row r="737" customFormat="1" ht="14.25" customHeight="1" x14ac:dyDescent="0.3"/>
    <row r="738" customFormat="1" ht="14.25" customHeight="1" x14ac:dyDescent="0.3"/>
    <row r="739" customFormat="1" ht="14.25" customHeight="1" x14ac:dyDescent="0.3"/>
    <row r="740" customFormat="1" ht="14.25" customHeight="1" x14ac:dyDescent="0.3"/>
    <row r="741" customFormat="1" ht="14.25" customHeight="1" x14ac:dyDescent="0.3"/>
    <row r="742" customFormat="1" ht="14.25" customHeight="1" x14ac:dyDescent="0.3"/>
    <row r="743" customFormat="1" ht="14.25" customHeight="1" x14ac:dyDescent="0.3"/>
    <row r="744" customFormat="1" ht="14.25" customHeight="1" x14ac:dyDescent="0.3"/>
    <row r="745" customFormat="1" ht="14.25" customHeight="1" x14ac:dyDescent="0.3"/>
    <row r="746" customFormat="1" ht="14.25" customHeight="1" x14ac:dyDescent="0.3"/>
    <row r="747" customFormat="1" ht="14.25" customHeight="1" x14ac:dyDescent="0.3"/>
    <row r="748" customFormat="1" ht="14.25" customHeight="1" x14ac:dyDescent="0.3"/>
    <row r="749" customFormat="1" ht="14.25" customHeight="1" x14ac:dyDescent="0.3"/>
    <row r="750" customFormat="1" ht="14.25" customHeight="1" x14ac:dyDescent="0.3"/>
    <row r="751" customFormat="1" ht="14.25" customHeight="1" x14ac:dyDescent="0.3"/>
    <row r="752" customFormat="1" ht="14.25" customHeight="1" x14ac:dyDescent="0.3"/>
    <row r="753" customFormat="1" ht="14.25" customHeight="1" x14ac:dyDescent="0.3"/>
    <row r="754" customFormat="1" ht="14.25" customHeight="1" x14ac:dyDescent="0.3"/>
    <row r="755" customFormat="1" ht="14.25" customHeight="1" x14ac:dyDescent="0.3"/>
    <row r="756" customFormat="1" ht="14.25" customHeight="1" x14ac:dyDescent="0.3"/>
    <row r="757" customFormat="1" ht="14.25" customHeight="1" x14ac:dyDescent="0.3"/>
    <row r="758" customFormat="1" ht="14.25" customHeight="1" x14ac:dyDescent="0.3"/>
    <row r="759" customFormat="1" ht="14.25" customHeight="1" x14ac:dyDescent="0.3"/>
    <row r="760" customFormat="1" ht="14.25" customHeight="1" x14ac:dyDescent="0.3"/>
    <row r="761" customFormat="1" ht="14.25" customHeight="1" x14ac:dyDescent="0.3"/>
    <row r="762" customFormat="1" ht="14.25" customHeight="1" x14ac:dyDescent="0.3"/>
    <row r="763" customFormat="1" ht="14.25" customHeight="1" x14ac:dyDescent="0.3"/>
    <row r="764" customFormat="1" ht="14.25" customHeight="1" x14ac:dyDescent="0.3"/>
    <row r="765" customFormat="1" ht="14.25" customHeight="1" x14ac:dyDescent="0.3"/>
    <row r="766" customFormat="1" ht="14.25" customHeight="1" x14ac:dyDescent="0.3"/>
    <row r="767" customFormat="1" ht="14.25" customHeight="1" x14ac:dyDescent="0.3"/>
    <row r="768" customFormat="1" ht="14.25" customHeight="1" x14ac:dyDescent="0.3"/>
    <row r="769" customFormat="1" ht="14.25" customHeight="1" x14ac:dyDescent="0.3"/>
    <row r="770" customFormat="1" ht="14.25" customHeight="1" x14ac:dyDescent="0.3"/>
    <row r="771" customFormat="1" ht="14.25" customHeight="1" x14ac:dyDescent="0.3"/>
    <row r="772" customFormat="1" ht="14.25" customHeight="1" x14ac:dyDescent="0.3"/>
    <row r="773" customFormat="1" ht="14.25" customHeight="1" x14ac:dyDescent="0.3"/>
    <row r="774" customFormat="1" ht="14.25" customHeight="1" x14ac:dyDescent="0.3"/>
    <row r="775" customFormat="1" ht="14.25" customHeight="1" x14ac:dyDescent="0.3"/>
    <row r="776" customFormat="1" ht="14.25" customHeight="1" x14ac:dyDescent="0.3"/>
    <row r="777" customFormat="1" ht="14.25" customHeight="1" x14ac:dyDescent="0.3"/>
    <row r="778" customFormat="1" ht="14.25" customHeight="1" x14ac:dyDescent="0.3"/>
    <row r="779" customFormat="1" ht="14.25" customHeight="1" x14ac:dyDescent="0.3"/>
    <row r="780" customFormat="1" ht="14.25" customHeight="1" x14ac:dyDescent="0.3"/>
    <row r="781" customFormat="1" ht="14.25" customHeight="1" x14ac:dyDescent="0.3"/>
    <row r="782" customFormat="1" ht="14.25" customHeight="1" x14ac:dyDescent="0.3"/>
    <row r="783" customFormat="1" ht="14.25" customHeight="1" x14ac:dyDescent="0.3"/>
    <row r="784" customFormat="1" ht="14.25" customHeight="1" x14ac:dyDescent="0.3"/>
    <row r="785" customFormat="1" ht="14.25" customHeight="1" x14ac:dyDescent="0.3"/>
    <row r="786" customFormat="1" ht="14.25" customHeight="1" x14ac:dyDescent="0.3"/>
    <row r="787" customFormat="1" ht="14.25" customHeight="1" x14ac:dyDescent="0.3"/>
    <row r="788" customFormat="1" ht="14.25" customHeight="1" x14ac:dyDescent="0.3"/>
    <row r="789" customFormat="1" ht="14.25" customHeight="1" x14ac:dyDescent="0.3"/>
    <row r="790" customFormat="1" ht="14.25" customHeight="1" x14ac:dyDescent="0.3"/>
    <row r="791" customFormat="1" ht="14.25" customHeight="1" x14ac:dyDescent="0.3"/>
    <row r="792" customFormat="1" ht="14.25" customHeight="1" x14ac:dyDescent="0.3"/>
    <row r="793" customFormat="1" ht="14.25" customHeight="1" x14ac:dyDescent="0.3"/>
    <row r="794" customFormat="1" ht="14.25" customHeight="1" x14ac:dyDescent="0.3"/>
    <row r="795" customFormat="1" ht="14.25" customHeight="1" x14ac:dyDescent="0.3"/>
    <row r="796" customFormat="1" ht="14.25" customHeight="1" x14ac:dyDescent="0.3"/>
    <row r="797" customFormat="1" ht="14.25" customHeight="1" x14ac:dyDescent="0.3"/>
    <row r="798" customFormat="1" ht="14.25" customHeight="1" x14ac:dyDescent="0.3"/>
    <row r="799" customFormat="1" ht="14.25" customHeight="1" x14ac:dyDescent="0.3"/>
    <row r="800" customFormat="1" ht="14.25" customHeight="1" x14ac:dyDescent="0.3"/>
    <row r="801" customFormat="1" ht="14.25" customHeight="1" x14ac:dyDescent="0.3"/>
    <row r="802" customFormat="1" ht="14.25" customHeight="1" x14ac:dyDescent="0.3"/>
    <row r="803" customFormat="1" ht="14.25" customHeight="1" x14ac:dyDescent="0.3"/>
    <row r="804" customFormat="1" ht="14.25" customHeight="1" x14ac:dyDescent="0.3"/>
    <row r="805" customFormat="1" ht="14.25" customHeight="1" x14ac:dyDescent="0.3"/>
    <row r="806" customFormat="1" ht="14.25" customHeight="1" x14ac:dyDescent="0.3"/>
    <row r="807" customFormat="1" ht="14.25" customHeight="1" x14ac:dyDescent="0.3"/>
    <row r="808" customFormat="1" ht="14.25" customHeight="1" x14ac:dyDescent="0.3"/>
    <row r="809" customFormat="1" ht="14.25" customHeight="1" x14ac:dyDescent="0.3"/>
    <row r="810" customFormat="1" ht="14.25" customHeight="1" x14ac:dyDescent="0.3"/>
    <row r="811" customFormat="1" ht="14.25" customHeight="1" x14ac:dyDescent="0.3"/>
    <row r="812" customFormat="1" ht="14.25" customHeight="1" x14ac:dyDescent="0.3"/>
    <row r="813" customFormat="1" ht="14.25" customHeight="1" x14ac:dyDescent="0.3"/>
    <row r="814" customFormat="1" ht="14.25" customHeight="1" x14ac:dyDescent="0.3"/>
    <row r="815" customFormat="1" ht="14.25" customHeight="1" x14ac:dyDescent="0.3"/>
    <row r="816" customFormat="1" ht="14.25" customHeight="1" x14ac:dyDescent="0.3"/>
    <row r="817" customFormat="1" ht="14.25" customHeight="1" x14ac:dyDescent="0.3"/>
    <row r="818" customFormat="1" ht="14.25" customHeight="1" x14ac:dyDescent="0.3"/>
    <row r="819" customFormat="1" ht="14.25" customHeight="1" x14ac:dyDescent="0.3"/>
    <row r="820" customFormat="1" ht="14.25" customHeight="1" x14ac:dyDescent="0.3"/>
    <row r="821" customFormat="1" ht="14.25" customHeight="1" x14ac:dyDescent="0.3"/>
    <row r="822" customFormat="1" ht="14.25" customHeight="1" x14ac:dyDescent="0.3"/>
    <row r="823" customFormat="1" ht="14.25" customHeight="1" x14ac:dyDescent="0.3"/>
    <row r="824" customFormat="1" ht="14.25" customHeight="1" x14ac:dyDescent="0.3"/>
    <row r="825" customFormat="1" ht="14.25" customHeight="1" x14ac:dyDescent="0.3"/>
    <row r="826" customFormat="1" ht="14.25" customHeight="1" x14ac:dyDescent="0.3"/>
    <row r="827" customFormat="1" ht="14.25" customHeight="1" x14ac:dyDescent="0.3"/>
    <row r="828" customFormat="1" ht="14.25" customHeight="1" x14ac:dyDescent="0.3"/>
    <row r="829" customFormat="1" ht="14.25" customHeight="1" x14ac:dyDescent="0.3"/>
    <row r="830" customFormat="1" ht="14.25" customHeight="1" x14ac:dyDescent="0.3"/>
    <row r="831" customFormat="1" ht="14.25" customHeight="1" x14ac:dyDescent="0.3"/>
    <row r="832" customFormat="1" ht="14.25" customHeight="1" x14ac:dyDescent="0.3"/>
    <row r="833" customFormat="1" ht="14.25" customHeight="1" x14ac:dyDescent="0.3"/>
    <row r="834" customFormat="1" ht="14.25" customHeight="1" x14ac:dyDescent="0.3"/>
    <row r="835" customFormat="1" ht="14.25" customHeight="1" x14ac:dyDescent="0.3"/>
    <row r="836" customFormat="1" ht="14.25" customHeight="1" x14ac:dyDescent="0.3"/>
    <row r="837" customFormat="1" ht="14.25" customHeight="1" x14ac:dyDescent="0.3"/>
    <row r="838" customFormat="1" ht="14.25" customHeight="1" x14ac:dyDescent="0.3"/>
    <row r="839" customFormat="1" ht="14.25" customHeight="1" x14ac:dyDescent="0.3"/>
    <row r="840" customFormat="1" ht="14.25" customHeight="1" x14ac:dyDescent="0.3"/>
    <row r="841" customFormat="1" ht="14.25" customHeight="1" x14ac:dyDescent="0.3"/>
    <row r="842" customFormat="1" ht="14.25" customHeight="1" x14ac:dyDescent="0.3"/>
    <row r="843" customFormat="1" ht="14.25" customHeight="1" x14ac:dyDescent="0.3"/>
    <row r="844" customFormat="1" ht="14.25" customHeight="1" x14ac:dyDescent="0.3"/>
    <row r="845" customFormat="1" ht="14.25" customHeight="1" x14ac:dyDescent="0.3"/>
    <row r="846" customFormat="1" ht="14.25" customHeight="1" x14ac:dyDescent="0.3"/>
    <row r="847" customFormat="1" ht="14.25" customHeight="1" x14ac:dyDescent="0.3"/>
    <row r="848" customFormat="1" ht="14.25" customHeight="1" x14ac:dyDescent="0.3"/>
    <row r="849" customFormat="1" ht="14.25" customHeight="1" x14ac:dyDescent="0.3"/>
    <row r="850" customFormat="1" ht="14.25" customHeight="1" x14ac:dyDescent="0.3"/>
    <row r="851" customFormat="1" ht="14.25" customHeight="1" x14ac:dyDescent="0.3"/>
    <row r="852" customFormat="1" ht="14.25" customHeight="1" x14ac:dyDescent="0.3"/>
    <row r="853" customFormat="1" ht="14.25" customHeight="1" x14ac:dyDescent="0.3"/>
    <row r="854" customFormat="1" ht="14.25" customHeight="1" x14ac:dyDescent="0.3"/>
    <row r="855" customFormat="1" ht="14.25" customHeight="1" x14ac:dyDescent="0.3"/>
    <row r="856" customFormat="1" ht="14.25" customHeight="1" x14ac:dyDescent="0.3"/>
    <row r="857" customFormat="1" ht="14.25" customHeight="1" x14ac:dyDescent="0.3"/>
    <row r="858" customFormat="1" ht="14.25" customHeight="1" x14ac:dyDescent="0.3"/>
    <row r="859" customFormat="1" ht="14.25" customHeight="1" x14ac:dyDescent="0.3"/>
    <row r="860" customFormat="1" ht="14.25" customHeight="1" x14ac:dyDescent="0.3"/>
    <row r="861" customFormat="1" ht="14.25" customHeight="1" x14ac:dyDescent="0.3"/>
    <row r="862" customFormat="1" ht="14.25" customHeight="1" x14ac:dyDescent="0.3"/>
    <row r="863" customFormat="1" ht="14.25" customHeight="1" x14ac:dyDescent="0.3"/>
    <row r="864" customFormat="1" ht="14.25" customHeight="1" x14ac:dyDescent="0.3"/>
    <row r="865" customFormat="1" ht="14.25" customHeight="1" x14ac:dyDescent="0.3"/>
    <row r="866" customFormat="1" ht="14.25" customHeight="1" x14ac:dyDescent="0.3"/>
    <row r="867" customFormat="1" ht="14.25" customHeight="1" x14ac:dyDescent="0.3"/>
    <row r="868" customFormat="1" ht="14.25" customHeight="1" x14ac:dyDescent="0.3"/>
    <row r="869" customFormat="1" ht="14.25" customHeight="1" x14ac:dyDescent="0.3"/>
    <row r="870" customFormat="1" ht="14.25" customHeight="1" x14ac:dyDescent="0.3"/>
    <row r="871" customFormat="1" ht="14.25" customHeight="1" x14ac:dyDescent="0.3"/>
    <row r="872" customFormat="1" ht="14.25" customHeight="1" x14ac:dyDescent="0.3"/>
    <row r="873" customFormat="1" ht="14.25" customHeight="1" x14ac:dyDescent="0.3"/>
    <row r="874" customFormat="1" ht="14.25" customHeight="1" x14ac:dyDescent="0.3"/>
    <row r="875" customFormat="1" ht="14.25" customHeight="1" x14ac:dyDescent="0.3"/>
    <row r="876" customFormat="1" ht="14.25" customHeight="1" x14ac:dyDescent="0.3"/>
    <row r="877" customFormat="1" ht="14.25" customHeight="1" x14ac:dyDescent="0.3"/>
    <row r="878" customFormat="1" ht="14.25" customHeight="1" x14ac:dyDescent="0.3"/>
    <row r="879" customFormat="1" ht="14.25" customHeight="1" x14ac:dyDescent="0.3"/>
    <row r="880" customFormat="1" ht="14.25" customHeight="1" x14ac:dyDescent="0.3"/>
    <row r="881" customFormat="1" ht="14.25" customHeight="1" x14ac:dyDescent="0.3"/>
    <row r="882" customFormat="1" ht="14.25" customHeight="1" x14ac:dyDescent="0.3"/>
    <row r="883" customFormat="1" ht="14.25" customHeight="1" x14ac:dyDescent="0.3"/>
    <row r="884" customFormat="1" ht="14.25" customHeight="1" x14ac:dyDescent="0.3"/>
    <row r="885" customFormat="1" ht="14.25" customHeight="1" x14ac:dyDescent="0.3"/>
    <row r="886" customFormat="1" ht="14.25" customHeight="1" x14ac:dyDescent="0.3"/>
    <row r="887" customFormat="1" ht="14.25" customHeight="1" x14ac:dyDescent="0.3"/>
    <row r="888" customFormat="1" ht="14.25" customHeight="1" x14ac:dyDescent="0.3"/>
    <row r="889" customFormat="1" ht="14.25" customHeight="1" x14ac:dyDescent="0.3"/>
    <row r="890" customFormat="1" ht="14.25" customHeight="1" x14ac:dyDescent="0.3"/>
    <row r="891" customFormat="1" ht="14.25" customHeight="1" x14ac:dyDescent="0.3"/>
    <row r="892" customFormat="1" ht="14.25" customHeight="1" x14ac:dyDescent="0.3"/>
    <row r="893" customFormat="1" ht="14.25" customHeight="1" x14ac:dyDescent="0.3"/>
    <row r="894" customFormat="1" ht="14.25" customHeight="1" x14ac:dyDescent="0.3"/>
    <row r="895" customFormat="1" ht="14.25" customHeight="1" x14ac:dyDescent="0.3"/>
    <row r="896" customFormat="1" ht="14.25" customHeight="1" x14ac:dyDescent="0.3"/>
    <row r="897" customFormat="1" ht="14.25" customHeight="1" x14ac:dyDescent="0.3"/>
    <row r="898" customFormat="1" ht="14.25" customHeight="1" x14ac:dyDescent="0.3"/>
    <row r="899" customFormat="1" ht="14.25" customHeight="1" x14ac:dyDescent="0.3"/>
    <row r="900" customFormat="1" ht="14.25" customHeight="1" x14ac:dyDescent="0.3"/>
    <row r="901" customFormat="1" ht="14.25" customHeight="1" x14ac:dyDescent="0.3"/>
    <row r="902" customFormat="1" ht="14.25" customHeight="1" x14ac:dyDescent="0.3"/>
    <row r="903" customFormat="1" ht="14.25" customHeight="1" x14ac:dyDescent="0.3"/>
    <row r="904" customFormat="1" ht="14.25" customHeight="1" x14ac:dyDescent="0.3"/>
    <row r="905" customFormat="1" ht="14.25" customHeight="1" x14ac:dyDescent="0.3"/>
    <row r="906" customFormat="1" ht="14.25" customHeight="1" x14ac:dyDescent="0.3"/>
    <row r="907" customFormat="1" ht="14.25" customHeight="1" x14ac:dyDescent="0.3"/>
    <row r="908" customFormat="1" ht="14.25" customHeight="1" x14ac:dyDescent="0.3"/>
    <row r="909" customFormat="1" ht="14.25" customHeight="1" x14ac:dyDescent="0.3"/>
    <row r="910" customFormat="1" ht="14.25" customHeight="1" x14ac:dyDescent="0.3"/>
    <row r="911" customFormat="1" ht="14.25" customHeight="1" x14ac:dyDescent="0.3"/>
    <row r="912" customFormat="1" ht="14.25" customHeight="1" x14ac:dyDescent="0.3"/>
    <row r="913" customFormat="1" ht="14.25" customHeight="1" x14ac:dyDescent="0.3"/>
    <row r="914" customFormat="1" ht="14.25" customHeight="1" x14ac:dyDescent="0.3"/>
    <row r="915" customFormat="1" ht="14.25" customHeight="1" x14ac:dyDescent="0.3"/>
    <row r="916" customFormat="1" ht="14.25" customHeight="1" x14ac:dyDescent="0.3"/>
    <row r="917" customFormat="1" ht="14.25" customHeight="1" x14ac:dyDescent="0.3"/>
    <row r="918" customFormat="1" ht="14.25" customHeight="1" x14ac:dyDescent="0.3"/>
    <row r="919" customFormat="1" ht="14.25" customHeight="1" x14ac:dyDescent="0.3"/>
    <row r="920" customFormat="1" ht="14.25" customHeight="1" x14ac:dyDescent="0.3"/>
    <row r="921" customFormat="1" ht="14.25" customHeight="1" x14ac:dyDescent="0.3"/>
    <row r="922" customFormat="1" ht="14.25" customHeight="1" x14ac:dyDescent="0.3"/>
    <row r="923" customFormat="1" ht="14.25" customHeight="1" x14ac:dyDescent="0.3"/>
    <row r="924" customFormat="1" ht="14.25" customHeight="1" x14ac:dyDescent="0.3"/>
    <row r="925" customFormat="1" ht="14.25" customHeight="1" x14ac:dyDescent="0.3"/>
    <row r="926" customFormat="1" ht="14.25" customHeight="1" x14ac:dyDescent="0.3"/>
    <row r="927" customFormat="1" ht="14.25" customHeight="1" x14ac:dyDescent="0.3"/>
    <row r="928" customFormat="1" ht="14.25" customHeight="1" x14ac:dyDescent="0.3"/>
    <row r="929" customFormat="1" ht="14.25" customHeight="1" x14ac:dyDescent="0.3"/>
    <row r="930" customFormat="1" ht="14.25" customHeight="1" x14ac:dyDescent="0.3"/>
    <row r="931" customFormat="1" ht="14.25" customHeight="1" x14ac:dyDescent="0.3"/>
    <row r="932" customFormat="1" ht="14.25" customHeight="1" x14ac:dyDescent="0.3"/>
    <row r="933" customFormat="1" ht="14.25" customHeight="1" x14ac:dyDescent="0.3"/>
    <row r="934" customFormat="1" ht="14.25" customHeight="1" x14ac:dyDescent="0.3"/>
    <row r="935" customFormat="1" ht="14.25" customHeight="1" x14ac:dyDescent="0.3"/>
    <row r="936" customFormat="1" ht="14.25" customHeight="1" x14ac:dyDescent="0.3"/>
    <row r="937" customFormat="1" ht="14.25" customHeight="1" x14ac:dyDescent="0.3"/>
    <row r="938" customFormat="1" ht="14.25" customHeight="1" x14ac:dyDescent="0.3"/>
    <row r="939" customFormat="1" ht="14.25" customHeight="1" x14ac:dyDescent="0.3"/>
    <row r="940" customFormat="1" ht="14.25" customHeight="1" x14ac:dyDescent="0.3"/>
    <row r="941" customFormat="1" ht="14.25" customHeight="1" x14ac:dyDescent="0.3"/>
    <row r="942" customFormat="1" ht="14.25" customHeight="1" x14ac:dyDescent="0.3"/>
    <row r="943" customFormat="1" ht="14.25" customHeight="1" x14ac:dyDescent="0.3"/>
    <row r="944" customFormat="1" ht="14.25" customHeight="1" x14ac:dyDescent="0.3"/>
    <row r="945" customFormat="1" ht="14.25" customHeight="1" x14ac:dyDescent="0.3"/>
    <row r="946" customFormat="1" ht="14.25" customHeight="1" x14ac:dyDescent="0.3"/>
    <row r="947" customFormat="1" ht="14.25" customHeight="1" x14ac:dyDescent="0.3"/>
    <row r="948" customFormat="1" ht="14.25" customHeight="1" x14ac:dyDescent="0.3"/>
    <row r="949" customFormat="1" ht="14.25" customHeight="1" x14ac:dyDescent="0.3"/>
    <row r="950" customFormat="1" ht="14.25" customHeight="1" x14ac:dyDescent="0.3"/>
    <row r="951" customFormat="1" ht="14.25" customHeight="1" x14ac:dyDescent="0.3"/>
    <row r="952" customFormat="1" ht="14.25" customHeight="1" x14ac:dyDescent="0.3"/>
    <row r="953" customFormat="1" ht="14.25" customHeight="1" x14ac:dyDescent="0.3"/>
    <row r="954" customFormat="1" ht="14.25" customHeight="1" x14ac:dyDescent="0.3"/>
    <row r="955" customFormat="1" ht="14.25" customHeight="1" x14ac:dyDescent="0.3"/>
    <row r="956" customFormat="1" ht="14.25" customHeight="1" x14ac:dyDescent="0.3"/>
    <row r="957" customFormat="1" ht="14.25" customHeight="1" x14ac:dyDescent="0.3"/>
    <row r="958" customFormat="1" ht="14.25" customHeight="1" x14ac:dyDescent="0.3"/>
    <row r="959" customFormat="1" ht="14.25" customHeight="1" x14ac:dyDescent="0.3"/>
    <row r="960" customFormat="1" ht="14.25" customHeight="1" x14ac:dyDescent="0.3"/>
    <row r="961" customFormat="1" ht="14.25" customHeight="1" x14ac:dyDescent="0.3"/>
    <row r="962" customFormat="1" ht="14.25" customHeight="1" x14ac:dyDescent="0.3"/>
    <row r="963" customFormat="1" ht="14.25" customHeight="1" x14ac:dyDescent="0.3"/>
    <row r="964" customFormat="1" ht="14.25" customHeight="1" x14ac:dyDescent="0.3"/>
    <row r="965" customFormat="1" ht="14.25" customHeight="1" x14ac:dyDescent="0.3"/>
    <row r="966" customFormat="1" ht="14.25" customHeight="1" x14ac:dyDescent="0.3"/>
    <row r="967" customFormat="1" ht="14.25" customHeight="1" x14ac:dyDescent="0.3"/>
    <row r="968" customFormat="1" ht="14.25" customHeight="1" x14ac:dyDescent="0.3"/>
    <row r="969" customFormat="1" ht="14.25" customHeight="1" x14ac:dyDescent="0.3"/>
    <row r="970" customFormat="1" ht="14.25" customHeight="1" x14ac:dyDescent="0.3"/>
    <row r="971" customFormat="1" ht="14.25" customHeight="1" x14ac:dyDescent="0.3"/>
    <row r="972" customFormat="1" ht="14.25" customHeight="1" x14ac:dyDescent="0.3"/>
    <row r="973" customFormat="1" ht="14.25" customHeight="1" x14ac:dyDescent="0.3"/>
    <row r="974" customFormat="1" ht="14.25" customHeight="1" x14ac:dyDescent="0.3"/>
    <row r="975" customFormat="1" ht="14.25" customHeight="1" x14ac:dyDescent="0.3"/>
    <row r="976" customFormat="1" ht="14.25" customHeight="1" x14ac:dyDescent="0.3"/>
    <row r="977" customFormat="1" ht="14.25" customHeight="1" x14ac:dyDescent="0.3"/>
    <row r="978" customFormat="1" ht="14.25" customHeight="1" x14ac:dyDescent="0.3"/>
    <row r="979" customFormat="1" ht="14.25" customHeight="1" x14ac:dyDescent="0.3"/>
    <row r="980" customFormat="1" ht="14.25" customHeight="1" x14ac:dyDescent="0.3"/>
    <row r="981" customFormat="1" ht="14.25" customHeight="1" x14ac:dyDescent="0.3"/>
    <row r="982" customFormat="1" ht="14.25" customHeight="1" x14ac:dyDescent="0.3"/>
    <row r="983" customFormat="1" ht="14.25" customHeight="1" x14ac:dyDescent="0.3"/>
    <row r="984" customFormat="1" ht="14.25" customHeight="1" x14ac:dyDescent="0.3"/>
    <row r="985" customFormat="1" ht="14.25" customHeight="1" x14ac:dyDescent="0.3"/>
    <row r="986" customFormat="1" ht="14.25" customHeight="1" x14ac:dyDescent="0.3"/>
    <row r="987" customFormat="1" ht="14.25" customHeight="1" x14ac:dyDescent="0.3"/>
    <row r="988" customFormat="1" ht="14.25" customHeight="1" x14ac:dyDescent="0.3"/>
    <row r="989" customFormat="1" ht="14.25" customHeight="1" x14ac:dyDescent="0.3"/>
    <row r="990" customFormat="1" ht="14.25" customHeight="1" x14ac:dyDescent="0.3"/>
    <row r="991" customFormat="1" ht="14.25" customHeight="1" x14ac:dyDescent="0.3"/>
    <row r="992" customFormat="1" ht="14.25" customHeight="1" x14ac:dyDescent="0.3"/>
    <row r="993" customFormat="1" ht="14.25" customHeight="1" x14ac:dyDescent="0.3"/>
    <row r="994" customFormat="1" ht="14.25" customHeight="1" x14ac:dyDescent="0.3"/>
    <row r="995" customFormat="1" ht="14.25" customHeight="1" x14ac:dyDescent="0.3"/>
    <row r="996" customFormat="1" ht="14.25" customHeight="1" x14ac:dyDescent="0.3"/>
    <row r="997" customFormat="1" ht="14.25" customHeight="1" x14ac:dyDescent="0.3"/>
    <row r="998" customFormat="1" ht="14.25" customHeight="1" x14ac:dyDescent="0.3"/>
    <row r="999" customFormat="1" ht="14.25" customHeight="1" x14ac:dyDescent="0.3"/>
    <row r="1000" customFormat="1" ht="14.25" customHeight="1" x14ac:dyDescent="0.3"/>
  </sheetData>
  <mergeCells count="2">
    <mergeCell ref="B2:E2"/>
    <mergeCell ref="B3:E3"/>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41291-C5A2-4D2C-AC38-86DDFD63BD11}">
  <dimension ref="B1:O1000"/>
  <sheetViews>
    <sheetView workbookViewId="0">
      <selection activeCell="H3" sqref="H3"/>
    </sheetView>
  </sheetViews>
  <sheetFormatPr defaultColWidth="14.44140625" defaultRowHeight="15" customHeight="1" x14ac:dyDescent="0.3"/>
  <cols>
    <col min="1" max="1" width="8.6640625" customWidth="1"/>
    <col min="2" max="2" width="11" customWidth="1"/>
    <col min="3" max="4" width="8.6640625" customWidth="1"/>
    <col min="5" max="6" width="9.6640625" customWidth="1"/>
    <col min="7" max="7" width="8.6640625" customWidth="1"/>
    <col min="8" max="8" width="12.44140625" customWidth="1"/>
    <col min="9" max="14" width="8.6640625" customWidth="1"/>
    <col min="15" max="15" width="13.6640625" bestFit="1" customWidth="1"/>
    <col min="16" max="25" width="8.6640625" customWidth="1"/>
  </cols>
  <sheetData>
    <row r="1" spans="2:15" ht="14.25" customHeight="1" x14ac:dyDescent="0.3"/>
    <row r="2" spans="2:15" ht="14.25" customHeight="1" x14ac:dyDescent="0.3">
      <c r="B2" s="226" t="s">
        <v>410</v>
      </c>
      <c r="C2" s="226"/>
      <c r="D2" s="226"/>
      <c r="E2" s="226"/>
      <c r="F2" s="81"/>
    </row>
    <row r="3" spans="2:15" ht="14.25" customHeight="1" x14ac:dyDescent="0.3">
      <c r="B3" s="226" t="s">
        <v>397</v>
      </c>
      <c r="C3" s="226"/>
      <c r="D3" s="226"/>
      <c r="E3" s="226"/>
      <c r="F3" s="81"/>
      <c r="H3" s="131" t="s">
        <v>398</v>
      </c>
      <c r="O3" s="132" t="s">
        <v>395</v>
      </c>
    </row>
    <row r="4" spans="2:15" ht="14.25" customHeight="1" x14ac:dyDescent="0.3">
      <c r="B4" s="141" t="s">
        <v>409</v>
      </c>
      <c r="C4" s="64" t="s">
        <v>408</v>
      </c>
    </row>
    <row r="5" spans="2:15" ht="14.25" customHeight="1" x14ac:dyDescent="0.3">
      <c r="B5" s="140" t="s">
        <v>407</v>
      </c>
      <c r="C5" s="140" t="s">
        <v>406</v>
      </c>
      <c r="D5" s="64" t="s">
        <v>405</v>
      </c>
      <c r="E5" s="64" t="s">
        <v>404</v>
      </c>
      <c r="F5" s="64"/>
    </row>
    <row r="6" spans="2:15" ht="14.25" customHeight="1" x14ac:dyDescent="0.3">
      <c r="B6" s="139">
        <v>130</v>
      </c>
      <c r="C6" s="139">
        <v>3504</v>
      </c>
    </row>
    <row r="7" spans="2:15" ht="14.25" customHeight="1" x14ac:dyDescent="0.3">
      <c r="B7" s="138">
        <v>165</v>
      </c>
      <c r="C7" s="138">
        <v>3693</v>
      </c>
    </row>
    <row r="8" spans="2:15" ht="14.25" customHeight="1" x14ac:dyDescent="0.3">
      <c r="B8" s="139">
        <v>150</v>
      </c>
      <c r="C8" s="139">
        <v>3436</v>
      </c>
    </row>
    <row r="9" spans="2:15" ht="14.25" customHeight="1" x14ac:dyDescent="0.3">
      <c r="B9" s="138">
        <v>150</v>
      </c>
      <c r="C9" s="138">
        <v>3433</v>
      </c>
    </row>
    <row r="10" spans="2:15" ht="14.25" customHeight="1" x14ac:dyDescent="0.3">
      <c r="B10" s="139">
        <v>140</v>
      </c>
      <c r="C10" s="139">
        <v>3449</v>
      </c>
    </row>
    <row r="11" spans="2:15" ht="14.25" customHeight="1" x14ac:dyDescent="0.3">
      <c r="B11" s="138">
        <v>198</v>
      </c>
      <c r="C11" s="138">
        <v>4341</v>
      </c>
    </row>
    <row r="12" spans="2:15" ht="14.25" customHeight="1" x14ac:dyDescent="0.3">
      <c r="B12" s="139">
        <v>220</v>
      </c>
      <c r="C12" s="139">
        <v>4354</v>
      </c>
    </row>
    <row r="13" spans="2:15" ht="14.25" customHeight="1" x14ac:dyDescent="0.3">
      <c r="B13" s="138">
        <v>215</v>
      </c>
      <c r="C13" s="138">
        <v>4312</v>
      </c>
    </row>
    <row r="14" spans="2:15" ht="14.25" customHeight="1" x14ac:dyDescent="0.3">
      <c r="B14" s="139">
        <v>225</v>
      </c>
      <c r="C14" s="139">
        <v>4425</v>
      </c>
    </row>
    <row r="15" spans="2:15" ht="14.25" customHeight="1" x14ac:dyDescent="0.3">
      <c r="B15" s="138">
        <v>190</v>
      </c>
      <c r="C15" s="138">
        <v>3850</v>
      </c>
    </row>
    <row r="16" spans="2:15" ht="14.25" customHeight="1" x14ac:dyDescent="0.3">
      <c r="B16" s="139">
        <v>170</v>
      </c>
      <c r="C16" s="139">
        <v>3563</v>
      </c>
      <c r="O16" s="131"/>
    </row>
    <row r="17" spans="2:3" ht="14.25" customHeight="1" x14ac:dyDescent="0.3">
      <c r="B17" s="138">
        <v>160</v>
      </c>
      <c r="C17" s="138">
        <v>3609</v>
      </c>
    </row>
    <row r="18" spans="2:3" ht="14.25" customHeight="1" x14ac:dyDescent="0.3">
      <c r="B18" s="139">
        <v>150</v>
      </c>
      <c r="C18" s="139">
        <v>3761</v>
      </c>
    </row>
    <row r="19" spans="2:3" ht="14.25" customHeight="1" x14ac:dyDescent="0.3">
      <c r="B19" s="138">
        <v>225</v>
      </c>
      <c r="C19" s="138">
        <v>3086</v>
      </c>
    </row>
    <row r="20" spans="2:3" ht="14.25" customHeight="1" x14ac:dyDescent="0.3">
      <c r="B20" s="139">
        <v>95</v>
      </c>
      <c r="C20" s="139">
        <v>2372</v>
      </c>
    </row>
    <row r="21" spans="2:3" ht="14.25" customHeight="1" x14ac:dyDescent="0.3">
      <c r="B21" s="138">
        <v>95</v>
      </c>
      <c r="C21" s="138">
        <v>2833</v>
      </c>
    </row>
    <row r="22" spans="2:3" ht="14.25" customHeight="1" x14ac:dyDescent="0.3">
      <c r="B22" s="139">
        <v>97</v>
      </c>
      <c r="C22" s="139">
        <v>2774</v>
      </c>
    </row>
    <row r="23" spans="2:3" ht="14.25" customHeight="1" x14ac:dyDescent="0.3">
      <c r="B23" s="138">
        <v>85</v>
      </c>
      <c r="C23" s="138">
        <v>2587</v>
      </c>
    </row>
    <row r="24" spans="2:3" ht="14.25" customHeight="1" x14ac:dyDescent="0.3">
      <c r="B24" s="139">
        <v>88</v>
      </c>
      <c r="C24" s="139">
        <v>2130</v>
      </c>
    </row>
    <row r="25" spans="2:3" ht="14.25" customHeight="1" x14ac:dyDescent="0.3">
      <c r="B25" s="138">
        <v>46</v>
      </c>
      <c r="C25" s="138">
        <v>1835</v>
      </c>
    </row>
    <row r="26" spans="2:3" ht="14.25" customHeight="1" x14ac:dyDescent="0.3">
      <c r="B26" s="139">
        <v>87</v>
      </c>
      <c r="C26" s="139">
        <v>2672</v>
      </c>
    </row>
    <row r="27" spans="2:3" ht="14.25" customHeight="1" x14ac:dyDescent="0.3">
      <c r="B27" s="138">
        <v>90</v>
      </c>
      <c r="C27" s="138">
        <v>2430</v>
      </c>
    </row>
    <row r="28" spans="2:3" ht="14.25" customHeight="1" x14ac:dyDescent="0.3">
      <c r="B28" s="139">
        <v>95</v>
      </c>
      <c r="C28" s="139">
        <v>2375</v>
      </c>
    </row>
    <row r="29" spans="2:3" ht="14.25" customHeight="1" x14ac:dyDescent="0.3">
      <c r="B29" s="138">
        <v>113</v>
      </c>
      <c r="C29" s="138">
        <v>2234</v>
      </c>
    </row>
    <row r="30" spans="2:3" ht="14.25" customHeight="1" x14ac:dyDescent="0.3">
      <c r="B30" s="139">
        <v>90</v>
      </c>
      <c r="C30" s="139">
        <v>2648</v>
      </c>
    </row>
    <row r="31" spans="2:3" ht="14.25" customHeight="1" x14ac:dyDescent="0.3">
      <c r="B31" s="138">
        <v>215</v>
      </c>
      <c r="C31" s="138">
        <v>4615</v>
      </c>
    </row>
    <row r="32" spans="2:3" ht="14.25" customHeight="1" x14ac:dyDescent="0.3">
      <c r="B32" s="139">
        <v>200</v>
      </c>
      <c r="C32" s="139">
        <v>4376</v>
      </c>
    </row>
    <row r="33" spans="2:3" ht="14.25" customHeight="1" x14ac:dyDescent="0.3">
      <c r="B33" s="138">
        <v>210</v>
      </c>
      <c r="C33" s="138">
        <v>4382</v>
      </c>
    </row>
    <row r="34" spans="2:3" ht="14.25" customHeight="1" x14ac:dyDescent="0.3">
      <c r="B34" s="139">
        <v>193</v>
      </c>
      <c r="C34" s="139">
        <v>4732</v>
      </c>
    </row>
    <row r="35" spans="2:3" ht="14.25" customHeight="1" x14ac:dyDescent="0.3">
      <c r="B35" s="138">
        <v>88</v>
      </c>
      <c r="C35" s="138">
        <v>2130</v>
      </c>
    </row>
    <row r="36" spans="2:3" ht="14.25" customHeight="1" x14ac:dyDescent="0.3">
      <c r="B36" s="139">
        <v>90</v>
      </c>
      <c r="C36" s="139">
        <v>2264</v>
      </c>
    </row>
    <row r="37" spans="2:3" ht="14.25" customHeight="1" x14ac:dyDescent="0.3">
      <c r="B37" s="138">
        <v>95</v>
      </c>
      <c r="C37" s="138">
        <v>2228</v>
      </c>
    </row>
    <row r="38" spans="2:3" ht="14.25" customHeight="1" x14ac:dyDescent="0.3"/>
    <row r="39" spans="2:3" ht="14.25" customHeight="1" x14ac:dyDescent="0.3"/>
    <row r="40" spans="2:3" ht="14.25" customHeight="1" x14ac:dyDescent="0.3"/>
    <row r="41" spans="2:3" ht="14.25" customHeight="1" x14ac:dyDescent="0.3"/>
    <row r="42" spans="2:3" ht="14.25" customHeight="1" x14ac:dyDescent="0.3"/>
    <row r="43" spans="2:3" ht="14.25" customHeight="1" x14ac:dyDescent="0.3"/>
    <row r="44" spans="2:3" ht="14.25" customHeight="1" x14ac:dyDescent="0.3"/>
    <row r="45" spans="2:3" ht="14.25" customHeight="1" x14ac:dyDescent="0.3"/>
    <row r="46" spans="2:3" ht="14.25" customHeight="1" x14ac:dyDescent="0.3"/>
    <row r="47" spans="2:3" ht="14.25" customHeight="1" x14ac:dyDescent="0.3"/>
    <row r="48" spans="2:3" ht="14.25" customHeight="1" x14ac:dyDescent="0.3"/>
    <row r="49" customFormat="1" ht="14.25" customHeight="1" x14ac:dyDescent="0.3"/>
    <row r="50" customFormat="1" ht="14.25" customHeight="1" x14ac:dyDescent="0.3"/>
    <row r="51" customFormat="1" ht="14.25" customHeight="1" x14ac:dyDescent="0.3"/>
    <row r="52" customFormat="1" ht="14.25" customHeight="1" x14ac:dyDescent="0.3"/>
    <row r="53" customFormat="1" ht="14.25" customHeight="1" x14ac:dyDescent="0.3"/>
    <row r="54" customFormat="1" ht="14.25" customHeight="1" x14ac:dyDescent="0.3"/>
    <row r="55" customFormat="1" ht="14.25" customHeight="1" x14ac:dyDescent="0.3"/>
    <row r="56" customFormat="1" ht="14.25" customHeight="1" x14ac:dyDescent="0.3"/>
    <row r="57" customFormat="1" ht="14.25" customHeight="1" x14ac:dyDescent="0.3"/>
    <row r="58" customFormat="1" ht="14.25" customHeight="1" x14ac:dyDescent="0.3"/>
    <row r="59" customFormat="1" ht="14.25" customHeight="1" x14ac:dyDescent="0.3"/>
    <row r="60" customFormat="1" ht="14.25" customHeight="1" x14ac:dyDescent="0.3"/>
    <row r="61" customFormat="1" ht="14.25" customHeight="1" x14ac:dyDescent="0.3"/>
    <row r="62" customFormat="1" ht="14.25" customHeight="1" x14ac:dyDescent="0.3"/>
    <row r="63" customFormat="1" ht="14.25" customHeight="1" x14ac:dyDescent="0.3"/>
    <row r="64" customFormat="1" ht="14.25" customHeight="1" x14ac:dyDescent="0.3"/>
    <row r="65" customFormat="1" ht="14.25" customHeight="1" x14ac:dyDescent="0.3"/>
    <row r="66" customFormat="1" ht="14.25" customHeight="1" x14ac:dyDescent="0.3"/>
    <row r="67" customFormat="1" ht="14.25" customHeight="1" x14ac:dyDescent="0.3"/>
    <row r="68" customFormat="1" ht="14.25" customHeight="1" x14ac:dyDescent="0.3"/>
    <row r="69" customFormat="1" ht="14.25" customHeight="1" x14ac:dyDescent="0.3"/>
    <row r="70" customFormat="1" ht="14.25" customHeight="1" x14ac:dyDescent="0.3"/>
    <row r="71" customFormat="1" ht="14.25" customHeight="1" x14ac:dyDescent="0.3"/>
    <row r="72" customFormat="1" ht="14.25" customHeight="1" x14ac:dyDescent="0.3"/>
    <row r="73" customFormat="1" ht="14.25" customHeight="1" x14ac:dyDescent="0.3"/>
    <row r="74" customFormat="1" ht="14.25" customHeight="1" x14ac:dyDescent="0.3"/>
    <row r="75" customFormat="1" ht="14.25" customHeight="1" x14ac:dyDescent="0.3"/>
    <row r="76" customFormat="1" ht="14.25" customHeight="1" x14ac:dyDescent="0.3"/>
    <row r="77" customFormat="1" ht="14.25" customHeight="1" x14ac:dyDescent="0.3"/>
    <row r="78" customFormat="1" ht="14.25" customHeight="1" x14ac:dyDescent="0.3"/>
    <row r="79" customFormat="1" ht="14.25" customHeight="1" x14ac:dyDescent="0.3"/>
    <row r="80" customFormat="1" ht="14.25" customHeight="1" x14ac:dyDescent="0.3"/>
    <row r="81" customFormat="1" ht="14.25" customHeight="1" x14ac:dyDescent="0.3"/>
    <row r="82" customFormat="1" ht="14.25" customHeight="1" x14ac:dyDescent="0.3"/>
    <row r="83" customFormat="1" ht="14.25" customHeight="1" x14ac:dyDescent="0.3"/>
    <row r="84" customFormat="1" ht="14.25" customHeight="1" x14ac:dyDescent="0.3"/>
    <row r="85" customFormat="1" ht="14.25" customHeight="1" x14ac:dyDescent="0.3"/>
    <row r="86" customFormat="1" ht="14.25" customHeight="1" x14ac:dyDescent="0.3"/>
    <row r="87" customFormat="1" ht="14.25" customHeight="1" x14ac:dyDescent="0.3"/>
    <row r="88" customFormat="1" ht="14.25" customHeight="1" x14ac:dyDescent="0.3"/>
    <row r="89" customFormat="1" ht="14.25" customHeight="1" x14ac:dyDescent="0.3"/>
    <row r="90" customFormat="1" ht="14.25" customHeight="1" x14ac:dyDescent="0.3"/>
    <row r="91" customFormat="1" ht="14.25" customHeight="1" x14ac:dyDescent="0.3"/>
    <row r="92" customFormat="1" ht="14.25" customHeight="1" x14ac:dyDescent="0.3"/>
    <row r="93" customFormat="1" ht="14.25" customHeight="1" x14ac:dyDescent="0.3"/>
    <row r="94" customFormat="1" ht="14.25" customHeight="1" x14ac:dyDescent="0.3"/>
    <row r="95" customFormat="1" ht="14.25" customHeight="1" x14ac:dyDescent="0.3"/>
    <row r="96" customFormat="1" ht="14.25" customHeight="1" x14ac:dyDescent="0.3"/>
    <row r="97" customFormat="1" ht="14.25" customHeight="1" x14ac:dyDescent="0.3"/>
    <row r="98" customFormat="1" ht="14.25" customHeight="1" x14ac:dyDescent="0.3"/>
    <row r="99" customFormat="1" ht="14.25" customHeight="1" x14ac:dyDescent="0.3"/>
    <row r="100" customFormat="1" ht="14.25" customHeight="1" x14ac:dyDescent="0.3"/>
    <row r="101" customFormat="1" ht="14.25" customHeight="1" x14ac:dyDescent="0.3"/>
    <row r="102" customFormat="1" ht="14.25" customHeight="1" x14ac:dyDescent="0.3"/>
    <row r="103" customFormat="1" ht="14.25" customHeight="1" x14ac:dyDescent="0.3"/>
    <row r="104" customFormat="1" ht="14.25" customHeight="1" x14ac:dyDescent="0.3"/>
    <row r="105" customFormat="1" ht="14.25" customHeight="1" x14ac:dyDescent="0.3"/>
    <row r="106" customFormat="1" ht="14.25" customHeight="1" x14ac:dyDescent="0.3"/>
    <row r="107" customFormat="1" ht="14.25" customHeight="1" x14ac:dyDescent="0.3"/>
    <row r="108" customFormat="1" ht="14.25" customHeight="1" x14ac:dyDescent="0.3"/>
    <row r="109" customFormat="1" ht="14.25" customHeight="1" x14ac:dyDescent="0.3"/>
    <row r="110" customFormat="1" ht="14.25" customHeight="1" x14ac:dyDescent="0.3"/>
    <row r="111" customFormat="1" ht="14.25" customHeight="1" x14ac:dyDescent="0.3"/>
    <row r="112" customFormat="1" ht="14.25" customHeight="1" x14ac:dyDescent="0.3"/>
    <row r="113" customFormat="1" ht="14.25" customHeight="1" x14ac:dyDescent="0.3"/>
    <row r="114" customFormat="1" ht="14.25" customHeight="1" x14ac:dyDescent="0.3"/>
    <row r="115" customFormat="1" ht="14.25" customHeight="1" x14ac:dyDescent="0.3"/>
    <row r="116" customFormat="1" ht="14.25" customHeight="1" x14ac:dyDescent="0.3"/>
    <row r="117" customFormat="1" ht="14.25" customHeight="1" x14ac:dyDescent="0.3"/>
    <row r="118" customFormat="1" ht="14.25" customHeight="1" x14ac:dyDescent="0.3"/>
    <row r="119" customFormat="1" ht="14.25" customHeight="1" x14ac:dyDescent="0.3"/>
    <row r="120" customFormat="1" ht="14.25" customHeight="1" x14ac:dyDescent="0.3"/>
    <row r="121" customFormat="1" ht="14.25" customHeight="1" x14ac:dyDescent="0.3"/>
    <row r="122" customFormat="1" ht="14.25" customHeight="1" x14ac:dyDescent="0.3"/>
    <row r="123" customFormat="1" ht="14.25" customHeight="1" x14ac:dyDescent="0.3"/>
    <row r="124" customFormat="1" ht="14.25" customHeight="1" x14ac:dyDescent="0.3"/>
    <row r="125" customFormat="1" ht="14.25" customHeight="1" x14ac:dyDescent="0.3"/>
    <row r="126" customFormat="1" ht="14.25" customHeight="1" x14ac:dyDescent="0.3"/>
    <row r="127" customFormat="1" ht="14.25" customHeight="1" x14ac:dyDescent="0.3"/>
    <row r="128" customFormat="1" ht="14.25" customHeight="1" x14ac:dyDescent="0.3"/>
    <row r="129" customFormat="1" ht="14.25" customHeight="1" x14ac:dyDescent="0.3"/>
    <row r="130" customFormat="1" ht="14.25" customHeight="1" x14ac:dyDescent="0.3"/>
    <row r="131" customFormat="1" ht="14.25" customHeight="1" x14ac:dyDescent="0.3"/>
    <row r="132" customFormat="1" ht="14.25" customHeight="1" x14ac:dyDescent="0.3"/>
    <row r="133" customFormat="1" ht="14.25" customHeight="1" x14ac:dyDescent="0.3"/>
    <row r="134" customFormat="1" ht="14.25" customHeight="1" x14ac:dyDescent="0.3"/>
    <row r="135" customFormat="1" ht="14.25" customHeight="1" x14ac:dyDescent="0.3"/>
    <row r="136" customFormat="1" ht="14.25" customHeight="1" x14ac:dyDescent="0.3"/>
    <row r="137" customFormat="1" ht="14.25" customHeight="1" x14ac:dyDescent="0.3"/>
    <row r="138" customFormat="1" ht="14.25" customHeight="1" x14ac:dyDescent="0.3"/>
    <row r="139" customFormat="1" ht="14.25" customHeight="1" x14ac:dyDescent="0.3"/>
    <row r="140" customFormat="1" ht="14.25" customHeight="1" x14ac:dyDescent="0.3"/>
    <row r="141" customFormat="1" ht="14.25" customHeight="1" x14ac:dyDescent="0.3"/>
    <row r="142" customFormat="1" ht="14.25" customHeight="1" x14ac:dyDescent="0.3"/>
    <row r="143" customFormat="1" ht="14.25" customHeight="1" x14ac:dyDescent="0.3"/>
    <row r="144" customFormat="1" ht="14.25" customHeight="1" x14ac:dyDescent="0.3"/>
    <row r="145" customFormat="1" ht="14.25" customHeight="1" x14ac:dyDescent="0.3"/>
    <row r="146" customFormat="1" ht="14.25" customHeight="1" x14ac:dyDescent="0.3"/>
    <row r="147" customFormat="1" ht="14.25" customHeight="1" x14ac:dyDescent="0.3"/>
    <row r="148" customFormat="1" ht="14.25" customHeight="1" x14ac:dyDescent="0.3"/>
    <row r="149" customFormat="1" ht="14.25" customHeight="1" x14ac:dyDescent="0.3"/>
    <row r="150" customFormat="1" ht="14.25" customHeight="1" x14ac:dyDescent="0.3"/>
    <row r="151" customFormat="1" ht="14.25" customHeight="1" x14ac:dyDescent="0.3"/>
    <row r="152" customFormat="1" ht="14.25" customHeight="1" x14ac:dyDescent="0.3"/>
    <row r="153" customFormat="1" ht="14.25" customHeight="1" x14ac:dyDescent="0.3"/>
    <row r="154" customFormat="1" ht="14.25" customHeight="1" x14ac:dyDescent="0.3"/>
    <row r="155" customFormat="1" ht="14.25" customHeight="1" x14ac:dyDescent="0.3"/>
    <row r="156" customFormat="1" ht="14.25" customHeight="1" x14ac:dyDescent="0.3"/>
    <row r="157" customFormat="1" ht="14.25" customHeight="1" x14ac:dyDescent="0.3"/>
    <row r="158" customFormat="1" ht="14.25" customHeight="1" x14ac:dyDescent="0.3"/>
    <row r="159" customFormat="1" ht="14.25" customHeight="1" x14ac:dyDescent="0.3"/>
    <row r="160" customFormat="1" ht="14.25" customHeight="1" x14ac:dyDescent="0.3"/>
    <row r="161" customFormat="1" ht="14.25" customHeight="1" x14ac:dyDescent="0.3"/>
    <row r="162" customFormat="1" ht="14.25" customHeight="1" x14ac:dyDescent="0.3"/>
    <row r="163" customFormat="1" ht="14.25" customHeight="1" x14ac:dyDescent="0.3"/>
    <row r="164" customFormat="1" ht="14.25" customHeight="1" x14ac:dyDescent="0.3"/>
    <row r="165" customFormat="1" ht="14.25" customHeight="1" x14ac:dyDescent="0.3"/>
    <row r="166" customFormat="1" ht="14.25" customHeight="1" x14ac:dyDescent="0.3"/>
    <row r="167" customFormat="1" ht="14.25" customHeight="1" x14ac:dyDescent="0.3"/>
    <row r="168" customFormat="1" ht="14.25" customHeight="1" x14ac:dyDescent="0.3"/>
    <row r="169" customFormat="1" ht="14.25" customHeight="1" x14ac:dyDescent="0.3"/>
    <row r="170" customFormat="1" ht="14.25" customHeight="1" x14ac:dyDescent="0.3"/>
    <row r="171" customFormat="1" ht="14.25" customHeight="1" x14ac:dyDescent="0.3"/>
    <row r="172" customFormat="1" ht="14.25" customHeight="1" x14ac:dyDescent="0.3"/>
    <row r="173" customFormat="1" ht="14.25" customHeight="1" x14ac:dyDescent="0.3"/>
    <row r="174" customFormat="1" ht="14.25" customHeight="1" x14ac:dyDescent="0.3"/>
    <row r="175" customFormat="1" ht="14.25" customHeight="1" x14ac:dyDescent="0.3"/>
    <row r="176" customFormat="1" ht="14.25" customHeight="1" x14ac:dyDescent="0.3"/>
    <row r="177" customFormat="1" ht="14.25" customHeight="1" x14ac:dyDescent="0.3"/>
    <row r="178" customFormat="1" ht="14.25" customHeight="1" x14ac:dyDescent="0.3"/>
    <row r="179" customFormat="1" ht="14.25" customHeight="1" x14ac:dyDescent="0.3"/>
    <row r="180" customFormat="1" ht="14.25" customHeight="1" x14ac:dyDescent="0.3"/>
    <row r="181" customFormat="1" ht="14.25" customHeight="1" x14ac:dyDescent="0.3"/>
    <row r="182" customFormat="1" ht="14.25" customHeight="1" x14ac:dyDescent="0.3"/>
    <row r="183" customFormat="1" ht="14.25" customHeight="1" x14ac:dyDescent="0.3"/>
    <row r="184" customFormat="1" ht="14.25" customHeight="1" x14ac:dyDescent="0.3"/>
    <row r="185" customFormat="1" ht="14.25" customHeight="1" x14ac:dyDescent="0.3"/>
    <row r="186" customFormat="1" ht="14.25" customHeight="1" x14ac:dyDescent="0.3"/>
    <row r="187" customFormat="1" ht="14.25" customHeight="1" x14ac:dyDescent="0.3"/>
    <row r="188" customFormat="1" ht="14.25" customHeight="1" x14ac:dyDescent="0.3"/>
    <row r="189" customFormat="1" ht="14.25" customHeight="1" x14ac:dyDescent="0.3"/>
    <row r="190" customFormat="1" ht="14.25" customHeight="1" x14ac:dyDescent="0.3"/>
    <row r="191" customFormat="1" ht="14.25" customHeight="1" x14ac:dyDescent="0.3"/>
    <row r="192" customFormat="1" ht="14.25" customHeight="1" x14ac:dyDescent="0.3"/>
    <row r="193" customFormat="1" ht="14.25" customHeight="1" x14ac:dyDescent="0.3"/>
    <row r="194" customFormat="1" ht="14.25" customHeight="1" x14ac:dyDescent="0.3"/>
    <row r="195" customFormat="1" ht="14.25" customHeight="1" x14ac:dyDescent="0.3"/>
    <row r="196" customFormat="1" ht="14.25" customHeight="1" x14ac:dyDescent="0.3"/>
    <row r="197" customFormat="1" ht="14.25" customHeight="1" x14ac:dyDescent="0.3"/>
    <row r="198" customFormat="1" ht="14.25" customHeight="1" x14ac:dyDescent="0.3"/>
    <row r="199" customFormat="1" ht="14.25" customHeight="1" x14ac:dyDescent="0.3"/>
    <row r="200" customFormat="1" ht="14.25" customHeight="1" x14ac:dyDescent="0.3"/>
    <row r="201" customFormat="1" ht="14.25" customHeight="1" x14ac:dyDescent="0.3"/>
    <row r="202" customFormat="1" ht="14.25" customHeight="1" x14ac:dyDescent="0.3"/>
    <row r="203" customFormat="1" ht="14.25" customHeight="1" x14ac:dyDescent="0.3"/>
    <row r="204" customFormat="1" ht="14.25" customHeight="1" x14ac:dyDescent="0.3"/>
    <row r="205" customFormat="1" ht="14.25" customHeight="1" x14ac:dyDescent="0.3"/>
    <row r="206" customFormat="1" ht="14.25" customHeight="1" x14ac:dyDescent="0.3"/>
    <row r="207" customFormat="1" ht="14.25" customHeight="1" x14ac:dyDescent="0.3"/>
    <row r="208" customFormat="1" ht="14.25" customHeight="1" x14ac:dyDescent="0.3"/>
    <row r="209" customFormat="1" ht="14.25" customHeight="1" x14ac:dyDescent="0.3"/>
    <row r="210" customFormat="1" ht="14.25" customHeight="1" x14ac:dyDescent="0.3"/>
    <row r="211" customFormat="1" ht="14.25" customHeight="1" x14ac:dyDescent="0.3"/>
    <row r="212" customFormat="1" ht="14.25" customHeight="1" x14ac:dyDescent="0.3"/>
    <row r="213" customFormat="1" ht="14.25" customHeight="1" x14ac:dyDescent="0.3"/>
    <row r="214" customFormat="1" ht="14.25" customHeight="1" x14ac:dyDescent="0.3"/>
    <row r="215" customFormat="1" ht="14.25" customHeight="1" x14ac:dyDescent="0.3"/>
    <row r="216" customFormat="1" ht="14.25" customHeight="1" x14ac:dyDescent="0.3"/>
    <row r="217" customFormat="1" ht="14.25" customHeight="1" x14ac:dyDescent="0.3"/>
    <row r="218" customFormat="1" ht="14.25" customHeight="1" x14ac:dyDescent="0.3"/>
    <row r="219" customFormat="1" ht="14.25" customHeight="1" x14ac:dyDescent="0.3"/>
    <row r="220" customFormat="1" ht="14.25" customHeight="1" x14ac:dyDescent="0.3"/>
    <row r="221" customFormat="1" ht="14.25" customHeight="1" x14ac:dyDescent="0.3"/>
    <row r="222" customFormat="1" ht="14.25" customHeight="1" x14ac:dyDescent="0.3"/>
    <row r="223" customFormat="1" ht="14.25" customHeight="1" x14ac:dyDescent="0.3"/>
    <row r="224" customFormat="1" ht="14.25" customHeight="1" x14ac:dyDescent="0.3"/>
    <row r="225" customFormat="1" ht="14.25" customHeight="1" x14ac:dyDescent="0.3"/>
    <row r="226" customFormat="1" ht="14.25" customHeight="1" x14ac:dyDescent="0.3"/>
    <row r="227" customFormat="1" ht="14.25" customHeight="1" x14ac:dyDescent="0.3"/>
    <row r="228" customFormat="1" ht="14.25" customHeight="1" x14ac:dyDescent="0.3"/>
    <row r="229" customFormat="1" ht="14.25" customHeight="1" x14ac:dyDescent="0.3"/>
    <row r="230" customFormat="1" ht="14.25" customHeight="1" x14ac:dyDescent="0.3"/>
    <row r="231" customFormat="1" ht="14.25" customHeight="1" x14ac:dyDescent="0.3"/>
    <row r="232" customFormat="1" ht="14.25" customHeight="1" x14ac:dyDescent="0.3"/>
    <row r="233" customFormat="1" ht="14.25" customHeight="1" x14ac:dyDescent="0.3"/>
    <row r="234" customFormat="1" ht="14.25" customHeight="1" x14ac:dyDescent="0.3"/>
    <row r="235" customFormat="1" ht="14.25" customHeight="1" x14ac:dyDescent="0.3"/>
    <row r="236" customFormat="1" ht="14.25" customHeight="1" x14ac:dyDescent="0.3"/>
    <row r="237" customFormat="1" ht="14.25" customHeight="1" x14ac:dyDescent="0.3"/>
    <row r="238" customFormat="1" ht="14.25" customHeight="1" x14ac:dyDescent="0.3"/>
    <row r="239" customFormat="1" ht="14.25" customHeight="1" x14ac:dyDescent="0.3"/>
    <row r="240" customFormat="1" ht="14.25" customHeight="1" x14ac:dyDescent="0.3"/>
    <row r="241" customFormat="1" ht="14.25" customHeight="1" x14ac:dyDescent="0.3"/>
    <row r="242" customFormat="1" ht="14.25" customHeight="1" x14ac:dyDescent="0.3"/>
    <row r="243" customFormat="1" ht="14.25" customHeight="1" x14ac:dyDescent="0.3"/>
    <row r="244" customFormat="1" ht="14.25" customHeight="1" x14ac:dyDescent="0.3"/>
    <row r="245" customFormat="1" ht="14.25" customHeight="1" x14ac:dyDescent="0.3"/>
    <row r="246" customFormat="1" ht="14.25" customHeight="1" x14ac:dyDescent="0.3"/>
    <row r="247" customFormat="1" ht="14.25" customHeight="1" x14ac:dyDescent="0.3"/>
    <row r="248" customFormat="1" ht="14.25" customHeight="1" x14ac:dyDescent="0.3"/>
    <row r="249" customFormat="1" ht="14.25" customHeight="1" x14ac:dyDescent="0.3"/>
    <row r="250" customFormat="1" ht="14.25" customHeight="1" x14ac:dyDescent="0.3"/>
    <row r="251" customFormat="1" ht="14.25" customHeight="1" x14ac:dyDescent="0.3"/>
    <row r="252" customFormat="1" ht="14.25" customHeight="1" x14ac:dyDescent="0.3"/>
    <row r="253" customFormat="1" ht="14.25" customHeight="1" x14ac:dyDescent="0.3"/>
    <row r="254" customFormat="1" ht="14.25" customHeight="1" x14ac:dyDescent="0.3"/>
    <row r="255" customFormat="1" ht="14.25" customHeight="1" x14ac:dyDescent="0.3"/>
    <row r="256" customFormat="1" ht="14.25" customHeight="1" x14ac:dyDescent="0.3"/>
    <row r="257" customFormat="1" ht="14.25" customHeight="1" x14ac:dyDescent="0.3"/>
    <row r="258" customFormat="1" ht="14.25" customHeight="1" x14ac:dyDescent="0.3"/>
    <row r="259" customFormat="1" ht="14.25" customHeight="1" x14ac:dyDescent="0.3"/>
    <row r="260" customFormat="1" ht="14.25" customHeight="1" x14ac:dyDescent="0.3"/>
    <row r="261" customFormat="1" ht="14.25" customHeight="1" x14ac:dyDescent="0.3"/>
    <row r="262" customFormat="1" ht="14.25" customHeight="1" x14ac:dyDescent="0.3"/>
    <row r="263" customFormat="1" ht="14.25" customHeight="1" x14ac:dyDescent="0.3"/>
    <row r="264" customFormat="1" ht="14.25" customHeight="1" x14ac:dyDescent="0.3"/>
    <row r="265" customFormat="1" ht="14.25" customHeight="1" x14ac:dyDescent="0.3"/>
    <row r="266" customFormat="1" ht="14.25" customHeight="1" x14ac:dyDescent="0.3"/>
    <row r="267" customFormat="1" ht="14.25" customHeight="1" x14ac:dyDescent="0.3"/>
    <row r="268" customFormat="1" ht="14.25" customHeight="1" x14ac:dyDescent="0.3"/>
    <row r="269" customFormat="1" ht="14.25" customHeight="1" x14ac:dyDescent="0.3"/>
    <row r="270" customFormat="1" ht="14.25" customHeight="1" x14ac:dyDescent="0.3"/>
    <row r="271" customFormat="1" ht="14.25" customHeight="1" x14ac:dyDescent="0.3"/>
    <row r="272" customFormat="1" ht="14.25" customHeight="1" x14ac:dyDescent="0.3"/>
    <row r="273" customFormat="1" ht="14.25" customHeight="1" x14ac:dyDescent="0.3"/>
    <row r="274" customFormat="1" ht="14.25" customHeight="1" x14ac:dyDescent="0.3"/>
    <row r="275" customFormat="1" ht="14.25" customHeight="1" x14ac:dyDescent="0.3"/>
    <row r="276" customFormat="1" ht="14.25" customHeight="1" x14ac:dyDescent="0.3"/>
    <row r="277" customFormat="1" ht="14.25" customHeight="1" x14ac:dyDescent="0.3"/>
    <row r="278" customFormat="1" ht="14.25" customHeight="1" x14ac:dyDescent="0.3"/>
    <row r="279" customFormat="1" ht="14.25" customHeight="1" x14ac:dyDescent="0.3"/>
    <row r="280" customFormat="1" ht="14.25" customHeight="1" x14ac:dyDescent="0.3"/>
    <row r="281" customFormat="1" ht="14.25" customHeight="1" x14ac:dyDescent="0.3"/>
    <row r="282" customFormat="1" ht="14.25" customHeight="1" x14ac:dyDescent="0.3"/>
    <row r="283" customFormat="1" ht="14.25" customHeight="1" x14ac:dyDescent="0.3"/>
    <row r="284" customFormat="1" ht="14.25" customHeight="1" x14ac:dyDescent="0.3"/>
    <row r="285" customFormat="1" ht="14.25" customHeight="1" x14ac:dyDescent="0.3"/>
    <row r="286" customFormat="1" ht="14.25" customHeight="1" x14ac:dyDescent="0.3"/>
    <row r="287" customFormat="1" ht="14.25" customHeight="1" x14ac:dyDescent="0.3"/>
    <row r="288" customFormat="1" ht="14.25" customHeight="1" x14ac:dyDescent="0.3"/>
    <row r="289" customFormat="1" ht="14.25" customHeight="1" x14ac:dyDescent="0.3"/>
    <row r="290" customFormat="1" ht="14.25" customHeight="1" x14ac:dyDescent="0.3"/>
    <row r="291" customFormat="1" ht="14.25" customHeight="1" x14ac:dyDescent="0.3"/>
    <row r="292" customFormat="1" ht="14.25" customHeight="1" x14ac:dyDescent="0.3"/>
    <row r="293" customFormat="1" ht="14.25" customHeight="1" x14ac:dyDescent="0.3"/>
    <row r="294" customFormat="1" ht="14.25" customHeight="1" x14ac:dyDescent="0.3"/>
    <row r="295" customFormat="1" ht="14.25" customHeight="1" x14ac:dyDescent="0.3"/>
    <row r="296" customFormat="1" ht="14.25" customHeight="1" x14ac:dyDescent="0.3"/>
    <row r="297" customFormat="1" ht="14.25" customHeight="1" x14ac:dyDescent="0.3"/>
    <row r="298" customFormat="1" ht="14.25" customHeight="1" x14ac:dyDescent="0.3"/>
    <row r="299" customFormat="1" ht="14.25" customHeight="1" x14ac:dyDescent="0.3"/>
    <row r="300" customFormat="1" ht="14.25" customHeight="1" x14ac:dyDescent="0.3"/>
    <row r="301" customFormat="1" ht="14.25" customHeight="1" x14ac:dyDescent="0.3"/>
    <row r="302" customFormat="1" ht="14.25" customHeight="1" x14ac:dyDescent="0.3"/>
    <row r="303" customFormat="1" ht="14.25" customHeight="1" x14ac:dyDescent="0.3"/>
    <row r="304" customFormat="1" ht="14.25" customHeight="1" x14ac:dyDescent="0.3"/>
    <row r="305" customFormat="1" ht="14.25" customHeight="1" x14ac:dyDescent="0.3"/>
    <row r="306" customFormat="1" ht="14.25" customHeight="1" x14ac:dyDescent="0.3"/>
    <row r="307" customFormat="1" ht="14.25" customHeight="1" x14ac:dyDescent="0.3"/>
    <row r="308" customFormat="1" ht="14.25" customHeight="1" x14ac:dyDescent="0.3"/>
    <row r="309" customFormat="1" ht="14.25" customHeight="1" x14ac:dyDescent="0.3"/>
    <row r="310" customFormat="1" ht="14.25" customHeight="1" x14ac:dyDescent="0.3"/>
    <row r="311" customFormat="1" ht="14.25" customHeight="1" x14ac:dyDescent="0.3"/>
    <row r="312" customFormat="1" ht="14.25" customHeight="1" x14ac:dyDescent="0.3"/>
    <row r="313" customFormat="1" ht="14.25" customHeight="1" x14ac:dyDescent="0.3"/>
    <row r="314" customFormat="1" ht="14.25" customHeight="1" x14ac:dyDescent="0.3"/>
    <row r="315" customFormat="1" ht="14.25" customHeight="1" x14ac:dyDescent="0.3"/>
    <row r="316" customFormat="1" ht="14.25" customHeight="1" x14ac:dyDescent="0.3"/>
    <row r="317" customFormat="1" ht="14.25" customHeight="1" x14ac:dyDescent="0.3"/>
    <row r="318" customFormat="1" ht="14.25" customHeight="1" x14ac:dyDescent="0.3"/>
    <row r="319" customFormat="1" ht="14.25" customHeight="1" x14ac:dyDescent="0.3"/>
    <row r="320" customFormat="1" ht="14.25" customHeight="1" x14ac:dyDescent="0.3"/>
    <row r="321" customFormat="1" ht="14.25" customHeight="1" x14ac:dyDescent="0.3"/>
    <row r="322" customFormat="1" ht="14.25" customHeight="1" x14ac:dyDescent="0.3"/>
    <row r="323" customFormat="1" ht="14.25" customHeight="1" x14ac:dyDescent="0.3"/>
    <row r="324" customFormat="1" ht="14.25" customHeight="1" x14ac:dyDescent="0.3"/>
    <row r="325" customFormat="1" ht="14.25" customHeight="1" x14ac:dyDescent="0.3"/>
    <row r="326" customFormat="1" ht="14.25" customHeight="1" x14ac:dyDescent="0.3"/>
    <row r="327" customFormat="1" ht="14.25" customHeight="1" x14ac:dyDescent="0.3"/>
    <row r="328" customFormat="1" ht="14.25" customHeight="1" x14ac:dyDescent="0.3"/>
    <row r="329" customFormat="1" ht="14.25" customHeight="1" x14ac:dyDescent="0.3"/>
    <row r="330" customFormat="1" ht="14.25" customHeight="1" x14ac:dyDescent="0.3"/>
    <row r="331" customFormat="1" ht="14.25" customHeight="1" x14ac:dyDescent="0.3"/>
    <row r="332" customFormat="1" ht="14.25" customHeight="1" x14ac:dyDescent="0.3"/>
    <row r="333" customFormat="1" ht="14.25" customHeight="1" x14ac:dyDescent="0.3"/>
    <row r="334" customFormat="1" ht="14.25" customHeight="1" x14ac:dyDescent="0.3"/>
    <row r="335" customFormat="1" ht="14.25" customHeight="1" x14ac:dyDescent="0.3"/>
    <row r="336" customFormat="1" ht="14.25" customHeight="1" x14ac:dyDescent="0.3"/>
    <row r="337" customFormat="1" ht="14.25" customHeight="1" x14ac:dyDescent="0.3"/>
    <row r="338" customFormat="1" ht="14.25" customHeight="1" x14ac:dyDescent="0.3"/>
    <row r="339" customFormat="1" ht="14.25" customHeight="1" x14ac:dyDescent="0.3"/>
    <row r="340" customFormat="1" ht="14.25" customHeight="1" x14ac:dyDescent="0.3"/>
    <row r="341" customFormat="1" ht="14.25" customHeight="1" x14ac:dyDescent="0.3"/>
    <row r="342" customFormat="1" ht="14.25" customHeight="1" x14ac:dyDescent="0.3"/>
    <row r="343" customFormat="1" ht="14.25" customHeight="1" x14ac:dyDescent="0.3"/>
    <row r="344" customFormat="1" ht="14.25" customHeight="1" x14ac:dyDescent="0.3"/>
    <row r="345" customFormat="1" ht="14.25" customHeight="1" x14ac:dyDescent="0.3"/>
    <row r="346" customFormat="1" ht="14.25" customHeight="1" x14ac:dyDescent="0.3"/>
    <row r="347" customFormat="1" ht="14.25" customHeight="1" x14ac:dyDescent="0.3"/>
    <row r="348" customFormat="1" ht="14.25" customHeight="1" x14ac:dyDescent="0.3"/>
    <row r="349" customFormat="1" ht="14.25" customHeight="1" x14ac:dyDescent="0.3"/>
    <row r="350" customFormat="1" ht="14.25" customHeight="1" x14ac:dyDescent="0.3"/>
    <row r="351" customFormat="1" ht="14.25" customHeight="1" x14ac:dyDescent="0.3"/>
    <row r="352" customFormat="1" ht="14.25" customHeight="1" x14ac:dyDescent="0.3"/>
    <row r="353" customFormat="1" ht="14.25" customHeight="1" x14ac:dyDescent="0.3"/>
    <row r="354" customFormat="1" ht="14.25" customHeight="1" x14ac:dyDescent="0.3"/>
    <row r="355" customFormat="1" ht="14.25" customHeight="1" x14ac:dyDescent="0.3"/>
    <row r="356" customFormat="1" ht="14.25" customHeight="1" x14ac:dyDescent="0.3"/>
    <row r="357" customFormat="1" ht="14.25" customHeight="1" x14ac:dyDescent="0.3"/>
    <row r="358" customFormat="1" ht="14.25" customHeight="1" x14ac:dyDescent="0.3"/>
    <row r="359" customFormat="1" ht="14.25" customHeight="1" x14ac:dyDescent="0.3"/>
    <row r="360" customFormat="1" ht="14.25" customHeight="1" x14ac:dyDescent="0.3"/>
    <row r="361" customFormat="1" ht="14.25" customHeight="1" x14ac:dyDescent="0.3"/>
    <row r="362" customFormat="1" ht="14.25" customHeight="1" x14ac:dyDescent="0.3"/>
    <row r="363" customFormat="1" ht="14.25" customHeight="1" x14ac:dyDescent="0.3"/>
    <row r="364" customFormat="1" ht="14.25" customHeight="1" x14ac:dyDescent="0.3"/>
    <row r="365" customFormat="1" ht="14.25" customHeight="1" x14ac:dyDescent="0.3"/>
    <row r="366" customFormat="1" ht="14.25" customHeight="1" x14ac:dyDescent="0.3"/>
    <row r="367" customFormat="1" ht="14.25" customHeight="1" x14ac:dyDescent="0.3"/>
    <row r="368" customFormat="1" ht="14.25" customHeight="1" x14ac:dyDescent="0.3"/>
    <row r="369" customFormat="1" ht="14.25" customHeight="1" x14ac:dyDescent="0.3"/>
    <row r="370" customFormat="1" ht="14.25" customHeight="1" x14ac:dyDescent="0.3"/>
    <row r="371" customFormat="1" ht="14.25" customHeight="1" x14ac:dyDescent="0.3"/>
    <row r="372" customFormat="1" ht="14.25" customHeight="1" x14ac:dyDescent="0.3"/>
    <row r="373" customFormat="1" ht="14.25" customHeight="1" x14ac:dyDescent="0.3"/>
    <row r="374" customFormat="1" ht="14.25" customHeight="1" x14ac:dyDescent="0.3"/>
    <row r="375" customFormat="1" ht="14.25" customHeight="1" x14ac:dyDescent="0.3"/>
    <row r="376" customFormat="1" ht="14.25" customHeight="1" x14ac:dyDescent="0.3"/>
    <row r="377" customFormat="1" ht="14.25" customHeight="1" x14ac:dyDescent="0.3"/>
    <row r="378" customFormat="1" ht="14.25" customHeight="1" x14ac:dyDescent="0.3"/>
    <row r="379" customFormat="1" ht="14.25" customHeight="1" x14ac:dyDescent="0.3"/>
    <row r="380" customFormat="1" ht="14.25" customHeight="1" x14ac:dyDescent="0.3"/>
    <row r="381" customFormat="1" ht="14.25" customHeight="1" x14ac:dyDescent="0.3"/>
    <row r="382" customFormat="1" ht="14.25" customHeight="1" x14ac:dyDescent="0.3"/>
    <row r="383" customFormat="1" ht="14.25" customHeight="1" x14ac:dyDescent="0.3"/>
    <row r="384" customFormat="1" ht="14.25" customHeight="1" x14ac:dyDescent="0.3"/>
    <row r="385" customFormat="1" ht="14.25" customHeight="1" x14ac:dyDescent="0.3"/>
    <row r="386" customFormat="1" ht="14.25" customHeight="1" x14ac:dyDescent="0.3"/>
    <row r="387" customFormat="1" ht="14.25" customHeight="1" x14ac:dyDescent="0.3"/>
    <row r="388" customFormat="1" ht="14.25" customHeight="1" x14ac:dyDescent="0.3"/>
    <row r="389" customFormat="1" ht="14.25" customHeight="1" x14ac:dyDescent="0.3"/>
    <row r="390" customFormat="1" ht="14.25" customHeight="1" x14ac:dyDescent="0.3"/>
    <row r="391" customFormat="1" ht="14.25" customHeight="1" x14ac:dyDescent="0.3"/>
    <row r="392" customFormat="1" ht="14.25" customHeight="1" x14ac:dyDescent="0.3"/>
    <row r="393" customFormat="1" ht="14.25" customHeight="1" x14ac:dyDescent="0.3"/>
    <row r="394" customFormat="1" ht="14.25" customHeight="1" x14ac:dyDescent="0.3"/>
    <row r="395" customFormat="1" ht="14.25" customHeight="1" x14ac:dyDescent="0.3"/>
    <row r="396" customFormat="1" ht="14.25" customHeight="1" x14ac:dyDescent="0.3"/>
    <row r="397" customFormat="1" ht="14.25" customHeight="1" x14ac:dyDescent="0.3"/>
    <row r="398" customFormat="1" ht="14.25" customHeight="1" x14ac:dyDescent="0.3"/>
    <row r="399" customFormat="1" ht="14.25" customHeight="1" x14ac:dyDescent="0.3"/>
    <row r="400" customFormat="1" ht="14.25" customHeight="1" x14ac:dyDescent="0.3"/>
    <row r="401" customFormat="1" ht="14.25" customHeight="1" x14ac:dyDescent="0.3"/>
    <row r="402" customFormat="1" ht="14.25" customHeight="1" x14ac:dyDescent="0.3"/>
    <row r="403" customFormat="1" ht="14.25" customHeight="1" x14ac:dyDescent="0.3"/>
    <row r="404" customFormat="1" ht="14.25" customHeight="1" x14ac:dyDescent="0.3"/>
    <row r="405" customFormat="1" ht="14.25" customHeight="1" x14ac:dyDescent="0.3"/>
    <row r="406" customFormat="1" ht="14.25" customHeight="1" x14ac:dyDescent="0.3"/>
    <row r="407" customFormat="1" ht="14.25" customHeight="1" x14ac:dyDescent="0.3"/>
    <row r="408" customFormat="1" ht="14.25" customHeight="1" x14ac:dyDescent="0.3"/>
    <row r="409" customFormat="1" ht="14.25" customHeight="1" x14ac:dyDescent="0.3"/>
    <row r="410" customFormat="1" ht="14.25" customHeight="1" x14ac:dyDescent="0.3"/>
    <row r="411" customFormat="1" ht="14.25" customHeight="1" x14ac:dyDescent="0.3"/>
    <row r="412" customFormat="1" ht="14.25" customHeight="1" x14ac:dyDescent="0.3"/>
    <row r="413" customFormat="1" ht="14.25" customHeight="1" x14ac:dyDescent="0.3"/>
    <row r="414" customFormat="1" ht="14.25" customHeight="1" x14ac:dyDescent="0.3"/>
    <row r="415" customFormat="1" ht="14.25" customHeight="1" x14ac:dyDescent="0.3"/>
    <row r="416" customFormat="1" ht="14.25" customHeight="1" x14ac:dyDescent="0.3"/>
    <row r="417" customFormat="1" ht="14.25" customHeight="1" x14ac:dyDescent="0.3"/>
    <row r="418" customFormat="1" ht="14.25" customHeight="1" x14ac:dyDescent="0.3"/>
    <row r="419" customFormat="1" ht="14.25" customHeight="1" x14ac:dyDescent="0.3"/>
    <row r="420" customFormat="1" ht="14.25" customHeight="1" x14ac:dyDescent="0.3"/>
    <row r="421" customFormat="1" ht="14.25" customHeight="1" x14ac:dyDescent="0.3"/>
    <row r="422" customFormat="1" ht="14.25" customHeight="1" x14ac:dyDescent="0.3"/>
    <row r="423" customFormat="1" ht="14.25" customHeight="1" x14ac:dyDescent="0.3"/>
    <row r="424" customFormat="1" ht="14.25" customHeight="1" x14ac:dyDescent="0.3"/>
    <row r="425" customFormat="1" ht="14.25" customHeight="1" x14ac:dyDescent="0.3"/>
    <row r="426" customFormat="1" ht="14.25" customHeight="1" x14ac:dyDescent="0.3"/>
    <row r="427" customFormat="1" ht="14.25" customHeight="1" x14ac:dyDescent="0.3"/>
    <row r="428" customFormat="1" ht="14.25" customHeight="1" x14ac:dyDescent="0.3"/>
    <row r="429" customFormat="1" ht="14.25" customHeight="1" x14ac:dyDescent="0.3"/>
    <row r="430" customFormat="1" ht="14.25" customHeight="1" x14ac:dyDescent="0.3"/>
    <row r="431" customFormat="1" ht="14.25" customHeight="1" x14ac:dyDescent="0.3"/>
    <row r="432" customFormat="1" ht="14.25" customHeight="1" x14ac:dyDescent="0.3"/>
    <row r="433" customFormat="1" ht="14.25" customHeight="1" x14ac:dyDescent="0.3"/>
    <row r="434" customFormat="1" ht="14.25" customHeight="1" x14ac:dyDescent="0.3"/>
    <row r="435" customFormat="1" ht="14.25" customHeight="1" x14ac:dyDescent="0.3"/>
    <row r="436" customFormat="1" ht="14.25" customHeight="1" x14ac:dyDescent="0.3"/>
    <row r="437" customFormat="1" ht="14.25" customHeight="1" x14ac:dyDescent="0.3"/>
    <row r="438" customFormat="1" ht="14.25" customHeight="1" x14ac:dyDescent="0.3"/>
    <row r="439" customFormat="1" ht="14.25" customHeight="1" x14ac:dyDescent="0.3"/>
    <row r="440" customFormat="1" ht="14.25" customHeight="1" x14ac:dyDescent="0.3"/>
    <row r="441" customFormat="1" ht="14.25" customHeight="1" x14ac:dyDescent="0.3"/>
    <row r="442" customFormat="1" ht="14.25" customHeight="1" x14ac:dyDescent="0.3"/>
    <row r="443" customFormat="1" ht="14.25" customHeight="1" x14ac:dyDescent="0.3"/>
    <row r="444" customFormat="1" ht="14.25" customHeight="1" x14ac:dyDescent="0.3"/>
    <row r="445" customFormat="1" ht="14.25" customHeight="1" x14ac:dyDescent="0.3"/>
    <row r="446" customFormat="1" ht="14.25" customHeight="1" x14ac:dyDescent="0.3"/>
    <row r="447" customFormat="1" ht="14.25" customHeight="1" x14ac:dyDescent="0.3"/>
    <row r="448" customFormat="1" ht="14.25" customHeight="1" x14ac:dyDescent="0.3"/>
    <row r="449" customFormat="1" ht="14.25" customHeight="1" x14ac:dyDescent="0.3"/>
    <row r="450" customFormat="1" ht="14.25" customHeight="1" x14ac:dyDescent="0.3"/>
    <row r="451" customFormat="1" ht="14.25" customHeight="1" x14ac:dyDescent="0.3"/>
    <row r="452" customFormat="1" ht="14.25" customHeight="1" x14ac:dyDescent="0.3"/>
    <row r="453" customFormat="1" ht="14.25" customHeight="1" x14ac:dyDescent="0.3"/>
    <row r="454" customFormat="1" ht="14.25" customHeight="1" x14ac:dyDescent="0.3"/>
    <row r="455" customFormat="1" ht="14.25" customHeight="1" x14ac:dyDescent="0.3"/>
    <row r="456" customFormat="1" ht="14.25" customHeight="1" x14ac:dyDescent="0.3"/>
    <row r="457" customFormat="1" ht="14.25" customHeight="1" x14ac:dyDescent="0.3"/>
    <row r="458" customFormat="1" ht="14.25" customHeight="1" x14ac:dyDescent="0.3"/>
    <row r="459" customFormat="1" ht="14.25" customHeight="1" x14ac:dyDescent="0.3"/>
    <row r="460" customFormat="1" ht="14.25" customHeight="1" x14ac:dyDescent="0.3"/>
    <row r="461" customFormat="1" ht="14.25" customHeight="1" x14ac:dyDescent="0.3"/>
    <row r="462" customFormat="1" ht="14.25" customHeight="1" x14ac:dyDescent="0.3"/>
    <row r="463" customFormat="1" ht="14.25" customHeight="1" x14ac:dyDescent="0.3"/>
    <row r="464" customFormat="1" ht="14.25" customHeight="1" x14ac:dyDescent="0.3"/>
    <row r="465" customFormat="1" ht="14.25" customHeight="1" x14ac:dyDescent="0.3"/>
    <row r="466" customFormat="1" ht="14.25" customHeight="1" x14ac:dyDescent="0.3"/>
    <row r="467" customFormat="1" ht="14.25" customHeight="1" x14ac:dyDescent="0.3"/>
    <row r="468" customFormat="1" ht="14.25" customHeight="1" x14ac:dyDescent="0.3"/>
    <row r="469" customFormat="1" ht="14.25" customHeight="1" x14ac:dyDescent="0.3"/>
    <row r="470" customFormat="1" ht="14.25" customHeight="1" x14ac:dyDescent="0.3"/>
    <row r="471" customFormat="1" ht="14.25" customHeight="1" x14ac:dyDescent="0.3"/>
    <row r="472" customFormat="1" ht="14.25" customHeight="1" x14ac:dyDescent="0.3"/>
    <row r="473" customFormat="1" ht="14.25" customHeight="1" x14ac:dyDescent="0.3"/>
    <row r="474" customFormat="1" ht="14.25" customHeight="1" x14ac:dyDescent="0.3"/>
    <row r="475" customFormat="1" ht="14.25" customHeight="1" x14ac:dyDescent="0.3"/>
    <row r="476" customFormat="1" ht="14.25" customHeight="1" x14ac:dyDescent="0.3"/>
    <row r="477" customFormat="1" ht="14.25" customHeight="1" x14ac:dyDescent="0.3"/>
    <row r="478" customFormat="1" ht="14.25" customHeight="1" x14ac:dyDescent="0.3"/>
    <row r="479" customFormat="1" ht="14.25" customHeight="1" x14ac:dyDescent="0.3"/>
    <row r="480" customFormat="1" ht="14.25" customHeight="1" x14ac:dyDescent="0.3"/>
    <row r="481" customFormat="1" ht="14.25" customHeight="1" x14ac:dyDescent="0.3"/>
    <row r="482" customFormat="1" ht="14.25" customHeight="1" x14ac:dyDescent="0.3"/>
    <row r="483" customFormat="1" ht="14.25" customHeight="1" x14ac:dyDescent="0.3"/>
    <row r="484" customFormat="1" ht="14.25" customHeight="1" x14ac:dyDescent="0.3"/>
    <row r="485" customFormat="1" ht="14.25" customHeight="1" x14ac:dyDescent="0.3"/>
    <row r="486" customFormat="1" ht="14.25" customHeight="1" x14ac:dyDescent="0.3"/>
    <row r="487" customFormat="1" ht="14.25" customHeight="1" x14ac:dyDescent="0.3"/>
    <row r="488" customFormat="1" ht="14.25" customHeight="1" x14ac:dyDescent="0.3"/>
    <row r="489" customFormat="1" ht="14.25" customHeight="1" x14ac:dyDescent="0.3"/>
    <row r="490" customFormat="1" ht="14.25" customHeight="1" x14ac:dyDescent="0.3"/>
    <row r="491" customFormat="1" ht="14.25" customHeight="1" x14ac:dyDescent="0.3"/>
    <row r="492" customFormat="1" ht="14.25" customHeight="1" x14ac:dyDescent="0.3"/>
    <row r="493" customFormat="1" ht="14.25" customHeight="1" x14ac:dyDescent="0.3"/>
    <row r="494" customFormat="1" ht="14.25" customHeight="1" x14ac:dyDescent="0.3"/>
    <row r="495" customFormat="1" ht="14.25" customHeight="1" x14ac:dyDescent="0.3"/>
    <row r="496" customFormat="1" ht="14.25" customHeight="1" x14ac:dyDescent="0.3"/>
    <row r="497" customFormat="1" ht="14.25" customHeight="1" x14ac:dyDescent="0.3"/>
    <row r="498" customFormat="1" ht="14.25" customHeight="1" x14ac:dyDescent="0.3"/>
    <row r="499" customFormat="1" ht="14.25" customHeight="1" x14ac:dyDescent="0.3"/>
    <row r="500" customFormat="1" ht="14.25" customHeight="1" x14ac:dyDescent="0.3"/>
    <row r="501" customFormat="1" ht="14.25" customHeight="1" x14ac:dyDescent="0.3"/>
    <row r="502" customFormat="1" ht="14.25" customHeight="1" x14ac:dyDescent="0.3"/>
    <row r="503" customFormat="1" ht="14.25" customHeight="1" x14ac:dyDescent="0.3"/>
    <row r="504" customFormat="1" ht="14.25" customHeight="1" x14ac:dyDescent="0.3"/>
    <row r="505" customFormat="1" ht="14.25" customHeight="1" x14ac:dyDescent="0.3"/>
    <row r="506" customFormat="1" ht="14.25" customHeight="1" x14ac:dyDescent="0.3"/>
    <row r="507" customFormat="1" ht="14.25" customHeight="1" x14ac:dyDescent="0.3"/>
    <row r="508" customFormat="1" ht="14.25" customHeight="1" x14ac:dyDescent="0.3"/>
    <row r="509" customFormat="1" ht="14.25" customHeight="1" x14ac:dyDescent="0.3"/>
    <row r="510" customFormat="1" ht="14.25" customHeight="1" x14ac:dyDescent="0.3"/>
    <row r="511" customFormat="1" ht="14.25" customHeight="1" x14ac:dyDescent="0.3"/>
    <row r="512" customFormat="1" ht="14.25" customHeight="1" x14ac:dyDescent="0.3"/>
    <row r="513" customFormat="1" ht="14.25" customHeight="1" x14ac:dyDescent="0.3"/>
    <row r="514" customFormat="1" ht="14.25" customHeight="1" x14ac:dyDescent="0.3"/>
    <row r="515" customFormat="1" ht="14.25" customHeight="1" x14ac:dyDescent="0.3"/>
    <row r="516" customFormat="1" ht="14.25" customHeight="1" x14ac:dyDescent="0.3"/>
    <row r="517" customFormat="1" ht="14.25" customHeight="1" x14ac:dyDescent="0.3"/>
    <row r="518" customFormat="1" ht="14.25" customHeight="1" x14ac:dyDescent="0.3"/>
    <row r="519" customFormat="1" ht="14.25" customHeight="1" x14ac:dyDescent="0.3"/>
    <row r="520" customFormat="1" ht="14.25" customHeight="1" x14ac:dyDescent="0.3"/>
    <row r="521" customFormat="1" ht="14.25" customHeight="1" x14ac:dyDescent="0.3"/>
    <row r="522" customFormat="1" ht="14.25" customHeight="1" x14ac:dyDescent="0.3"/>
    <row r="523" customFormat="1" ht="14.25" customHeight="1" x14ac:dyDescent="0.3"/>
    <row r="524" customFormat="1" ht="14.25" customHeight="1" x14ac:dyDescent="0.3"/>
    <row r="525" customFormat="1" ht="14.25" customHeight="1" x14ac:dyDescent="0.3"/>
    <row r="526" customFormat="1" ht="14.25" customHeight="1" x14ac:dyDescent="0.3"/>
    <row r="527" customFormat="1" ht="14.25" customHeight="1" x14ac:dyDescent="0.3"/>
    <row r="528" customFormat="1" ht="14.25" customHeight="1" x14ac:dyDescent="0.3"/>
    <row r="529" customFormat="1" ht="14.25" customHeight="1" x14ac:dyDescent="0.3"/>
    <row r="530" customFormat="1" ht="14.25" customHeight="1" x14ac:dyDescent="0.3"/>
    <row r="531" customFormat="1" ht="14.25" customHeight="1" x14ac:dyDescent="0.3"/>
    <row r="532" customFormat="1" ht="14.25" customHeight="1" x14ac:dyDescent="0.3"/>
    <row r="533" customFormat="1" ht="14.25" customHeight="1" x14ac:dyDescent="0.3"/>
    <row r="534" customFormat="1" ht="14.25" customHeight="1" x14ac:dyDescent="0.3"/>
    <row r="535" customFormat="1" ht="14.25" customHeight="1" x14ac:dyDescent="0.3"/>
    <row r="536" customFormat="1" ht="14.25" customHeight="1" x14ac:dyDescent="0.3"/>
    <row r="537" customFormat="1" ht="14.25" customHeight="1" x14ac:dyDescent="0.3"/>
    <row r="538" customFormat="1" ht="14.25" customHeight="1" x14ac:dyDescent="0.3"/>
    <row r="539" customFormat="1" ht="14.25" customHeight="1" x14ac:dyDescent="0.3"/>
    <row r="540" customFormat="1" ht="14.25" customHeight="1" x14ac:dyDescent="0.3"/>
    <row r="541" customFormat="1" ht="14.25" customHeight="1" x14ac:dyDescent="0.3"/>
    <row r="542" customFormat="1" ht="14.25" customHeight="1" x14ac:dyDescent="0.3"/>
    <row r="543" customFormat="1" ht="14.25" customHeight="1" x14ac:dyDescent="0.3"/>
    <row r="544" customFormat="1" ht="14.25" customHeight="1" x14ac:dyDescent="0.3"/>
    <row r="545" customFormat="1" ht="14.25" customHeight="1" x14ac:dyDescent="0.3"/>
    <row r="546" customFormat="1" ht="14.25" customHeight="1" x14ac:dyDescent="0.3"/>
    <row r="547" customFormat="1" ht="14.25" customHeight="1" x14ac:dyDescent="0.3"/>
    <row r="548" customFormat="1" ht="14.25" customHeight="1" x14ac:dyDescent="0.3"/>
    <row r="549" customFormat="1" ht="14.25" customHeight="1" x14ac:dyDescent="0.3"/>
    <row r="550" customFormat="1" ht="14.25" customHeight="1" x14ac:dyDescent="0.3"/>
    <row r="551" customFormat="1" ht="14.25" customHeight="1" x14ac:dyDescent="0.3"/>
    <row r="552" customFormat="1" ht="14.25" customHeight="1" x14ac:dyDescent="0.3"/>
    <row r="553" customFormat="1" ht="14.25" customHeight="1" x14ac:dyDescent="0.3"/>
    <row r="554" customFormat="1" ht="14.25" customHeight="1" x14ac:dyDescent="0.3"/>
    <row r="555" customFormat="1" ht="14.25" customHeight="1" x14ac:dyDescent="0.3"/>
    <row r="556" customFormat="1" ht="14.25" customHeight="1" x14ac:dyDescent="0.3"/>
    <row r="557" customFormat="1" ht="14.25" customHeight="1" x14ac:dyDescent="0.3"/>
    <row r="558" customFormat="1" ht="14.25" customHeight="1" x14ac:dyDescent="0.3"/>
    <row r="559" customFormat="1" ht="14.25" customHeight="1" x14ac:dyDescent="0.3"/>
    <row r="560" customFormat="1" ht="14.25" customHeight="1" x14ac:dyDescent="0.3"/>
    <row r="561" customFormat="1" ht="14.25" customHeight="1" x14ac:dyDescent="0.3"/>
    <row r="562" customFormat="1" ht="14.25" customHeight="1" x14ac:dyDescent="0.3"/>
    <row r="563" customFormat="1" ht="14.25" customHeight="1" x14ac:dyDescent="0.3"/>
    <row r="564" customFormat="1" ht="14.25" customHeight="1" x14ac:dyDescent="0.3"/>
    <row r="565" customFormat="1" ht="14.25" customHeight="1" x14ac:dyDescent="0.3"/>
    <row r="566" customFormat="1" ht="14.25" customHeight="1" x14ac:dyDescent="0.3"/>
    <row r="567" customFormat="1" ht="14.25" customHeight="1" x14ac:dyDescent="0.3"/>
    <row r="568" customFormat="1" ht="14.25" customHeight="1" x14ac:dyDescent="0.3"/>
    <row r="569" customFormat="1" ht="14.25" customHeight="1" x14ac:dyDescent="0.3"/>
    <row r="570" customFormat="1" ht="14.25" customHeight="1" x14ac:dyDescent="0.3"/>
    <row r="571" customFormat="1" ht="14.25" customHeight="1" x14ac:dyDescent="0.3"/>
    <row r="572" customFormat="1" ht="14.25" customHeight="1" x14ac:dyDescent="0.3"/>
    <row r="573" customFormat="1" ht="14.25" customHeight="1" x14ac:dyDescent="0.3"/>
    <row r="574" customFormat="1" ht="14.25" customHeight="1" x14ac:dyDescent="0.3"/>
    <row r="575" customFormat="1" ht="14.25" customHeight="1" x14ac:dyDescent="0.3"/>
    <row r="576" customFormat="1" ht="14.25" customHeight="1" x14ac:dyDescent="0.3"/>
    <row r="577" customFormat="1" ht="14.25" customHeight="1" x14ac:dyDescent="0.3"/>
    <row r="578" customFormat="1" ht="14.25" customHeight="1" x14ac:dyDescent="0.3"/>
    <row r="579" customFormat="1" ht="14.25" customHeight="1" x14ac:dyDescent="0.3"/>
    <row r="580" customFormat="1" ht="14.25" customHeight="1" x14ac:dyDescent="0.3"/>
    <row r="581" customFormat="1" ht="14.25" customHeight="1" x14ac:dyDescent="0.3"/>
    <row r="582" customFormat="1" ht="14.25" customHeight="1" x14ac:dyDescent="0.3"/>
    <row r="583" customFormat="1" ht="14.25" customHeight="1" x14ac:dyDescent="0.3"/>
    <row r="584" customFormat="1" ht="14.25" customHeight="1" x14ac:dyDescent="0.3"/>
    <row r="585" customFormat="1" ht="14.25" customHeight="1" x14ac:dyDescent="0.3"/>
    <row r="586" customFormat="1" ht="14.25" customHeight="1" x14ac:dyDescent="0.3"/>
    <row r="587" customFormat="1" ht="14.25" customHeight="1" x14ac:dyDescent="0.3"/>
    <row r="588" customFormat="1" ht="14.25" customHeight="1" x14ac:dyDescent="0.3"/>
    <row r="589" customFormat="1" ht="14.25" customHeight="1" x14ac:dyDescent="0.3"/>
    <row r="590" customFormat="1" ht="14.25" customHeight="1" x14ac:dyDescent="0.3"/>
    <row r="591" customFormat="1" ht="14.25" customHeight="1" x14ac:dyDescent="0.3"/>
    <row r="592" customFormat="1" ht="14.25" customHeight="1" x14ac:dyDescent="0.3"/>
    <row r="593" customFormat="1" ht="14.25" customHeight="1" x14ac:dyDescent="0.3"/>
    <row r="594" customFormat="1" ht="14.25" customHeight="1" x14ac:dyDescent="0.3"/>
    <row r="595" customFormat="1" ht="14.25" customHeight="1" x14ac:dyDescent="0.3"/>
    <row r="596" customFormat="1" ht="14.25" customHeight="1" x14ac:dyDescent="0.3"/>
    <row r="597" customFormat="1" ht="14.25" customHeight="1" x14ac:dyDescent="0.3"/>
    <row r="598" customFormat="1" ht="14.25" customHeight="1" x14ac:dyDescent="0.3"/>
    <row r="599" customFormat="1" ht="14.25" customHeight="1" x14ac:dyDescent="0.3"/>
    <row r="600" customFormat="1" ht="14.25" customHeight="1" x14ac:dyDescent="0.3"/>
    <row r="601" customFormat="1" ht="14.25" customHeight="1" x14ac:dyDescent="0.3"/>
    <row r="602" customFormat="1" ht="14.25" customHeight="1" x14ac:dyDescent="0.3"/>
    <row r="603" customFormat="1" ht="14.25" customHeight="1" x14ac:dyDescent="0.3"/>
    <row r="604" customFormat="1" ht="14.25" customHeight="1" x14ac:dyDescent="0.3"/>
    <row r="605" customFormat="1" ht="14.25" customHeight="1" x14ac:dyDescent="0.3"/>
    <row r="606" customFormat="1" ht="14.25" customHeight="1" x14ac:dyDescent="0.3"/>
    <row r="607" customFormat="1" ht="14.25" customHeight="1" x14ac:dyDescent="0.3"/>
    <row r="608" customFormat="1" ht="14.25" customHeight="1" x14ac:dyDescent="0.3"/>
    <row r="609" customFormat="1" ht="14.25" customHeight="1" x14ac:dyDescent="0.3"/>
    <row r="610" customFormat="1" ht="14.25" customHeight="1" x14ac:dyDescent="0.3"/>
    <row r="611" customFormat="1" ht="14.25" customHeight="1" x14ac:dyDescent="0.3"/>
    <row r="612" customFormat="1" ht="14.25" customHeight="1" x14ac:dyDescent="0.3"/>
    <row r="613" customFormat="1" ht="14.25" customHeight="1" x14ac:dyDescent="0.3"/>
    <row r="614" customFormat="1" ht="14.25" customHeight="1" x14ac:dyDescent="0.3"/>
    <row r="615" customFormat="1" ht="14.25" customHeight="1" x14ac:dyDescent="0.3"/>
    <row r="616" customFormat="1" ht="14.25" customHeight="1" x14ac:dyDescent="0.3"/>
    <row r="617" customFormat="1" ht="14.25" customHeight="1" x14ac:dyDescent="0.3"/>
    <row r="618" customFormat="1" ht="14.25" customHeight="1" x14ac:dyDescent="0.3"/>
    <row r="619" customFormat="1" ht="14.25" customHeight="1" x14ac:dyDescent="0.3"/>
    <row r="620" customFormat="1" ht="14.25" customHeight="1" x14ac:dyDescent="0.3"/>
    <row r="621" customFormat="1" ht="14.25" customHeight="1" x14ac:dyDescent="0.3"/>
    <row r="622" customFormat="1" ht="14.25" customHeight="1" x14ac:dyDescent="0.3"/>
    <row r="623" customFormat="1" ht="14.25" customHeight="1" x14ac:dyDescent="0.3"/>
    <row r="624" customFormat="1" ht="14.25" customHeight="1" x14ac:dyDescent="0.3"/>
    <row r="625" customFormat="1" ht="14.25" customHeight="1" x14ac:dyDescent="0.3"/>
    <row r="626" customFormat="1" ht="14.25" customHeight="1" x14ac:dyDescent="0.3"/>
    <row r="627" customFormat="1" ht="14.25" customHeight="1" x14ac:dyDescent="0.3"/>
    <row r="628" customFormat="1" ht="14.25" customHeight="1" x14ac:dyDescent="0.3"/>
    <row r="629" customFormat="1" ht="14.25" customHeight="1" x14ac:dyDescent="0.3"/>
    <row r="630" customFormat="1" ht="14.25" customHeight="1" x14ac:dyDescent="0.3"/>
    <row r="631" customFormat="1" ht="14.25" customHeight="1" x14ac:dyDescent="0.3"/>
    <row r="632" customFormat="1" ht="14.25" customHeight="1" x14ac:dyDescent="0.3"/>
    <row r="633" customFormat="1" ht="14.25" customHeight="1" x14ac:dyDescent="0.3"/>
    <row r="634" customFormat="1" ht="14.25" customHeight="1" x14ac:dyDescent="0.3"/>
    <row r="635" customFormat="1" ht="14.25" customHeight="1" x14ac:dyDescent="0.3"/>
    <row r="636" customFormat="1" ht="14.25" customHeight="1" x14ac:dyDescent="0.3"/>
    <row r="637" customFormat="1" ht="14.25" customHeight="1" x14ac:dyDescent="0.3"/>
    <row r="638" customFormat="1" ht="14.25" customHeight="1" x14ac:dyDescent="0.3"/>
    <row r="639" customFormat="1" ht="14.25" customHeight="1" x14ac:dyDescent="0.3"/>
    <row r="640" customFormat="1" ht="14.25" customHeight="1" x14ac:dyDescent="0.3"/>
    <row r="641" customFormat="1" ht="14.25" customHeight="1" x14ac:dyDescent="0.3"/>
    <row r="642" customFormat="1" ht="14.25" customHeight="1" x14ac:dyDescent="0.3"/>
    <row r="643" customFormat="1" ht="14.25" customHeight="1" x14ac:dyDescent="0.3"/>
    <row r="644" customFormat="1" ht="14.25" customHeight="1" x14ac:dyDescent="0.3"/>
    <row r="645" customFormat="1" ht="14.25" customHeight="1" x14ac:dyDescent="0.3"/>
    <row r="646" customFormat="1" ht="14.25" customHeight="1" x14ac:dyDescent="0.3"/>
    <row r="647" customFormat="1" ht="14.25" customHeight="1" x14ac:dyDescent="0.3"/>
    <row r="648" customFormat="1" ht="14.25" customHeight="1" x14ac:dyDescent="0.3"/>
    <row r="649" customFormat="1" ht="14.25" customHeight="1" x14ac:dyDescent="0.3"/>
    <row r="650" customFormat="1" ht="14.25" customHeight="1" x14ac:dyDescent="0.3"/>
    <row r="651" customFormat="1" ht="14.25" customHeight="1" x14ac:dyDescent="0.3"/>
    <row r="652" customFormat="1" ht="14.25" customHeight="1" x14ac:dyDescent="0.3"/>
    <row r="653" customFormat="1" ht="14.25" customHeight="1" x14ac:dyDescent="0.3"/>
    <row r="654" customFormat="1" ht="14.25" customHeight="1" x14ac:dyDescent="0.3"/>
    <row r="655" customFormat="1" ht="14.25" customHeight="1" x14ac:dyDescent="0.3"/>
    <row r="656" customFormat="1" ht="14.25" customHeight="1" x14ac:dyDescent="0.3"/>
    <row r="657" customFormat="1" ht="14.25" customHeight="1" x14ac:dyDescent="0.3"/>
    <row r="658" customFormat="1" ht="14.25" customHeight="1" x14ac:dyDescent="0.3"/>
    <row r="659" customFormat="1" ht="14.25" customHeight="1" x14ac:dyDescent="0.3"/>
    <row r="660" customFormat="1" ht="14.25" customHeight="1" x14ac:dyDescent="0.3"/>
    <row r="661" customFormat="1" ht="14.25" customHeight="1" x14ac:dyDescent="0.3"/>
    <row r="662" customFormat="1" ht="14.25" customHeight="1" x14ac:dyDescent="0.3"/>
    <row r="663" customFormat="1" ht="14.25" customHeight="1" x14ac:dyDescent="0.3"/>
    <row r="664" customFormat="1" ht="14.25" customHeight="1" x14ac:dyDescent="0.3"/>
    <row r="665" customFormat="1" ht="14.25" customHeight="1" x14ac:dyDescent="0.3"/>
    <row r="666" customFormat="1" ht="14.25" customHeight="1" x14ac:dyDescent="0.3"/>
    <row r="667" customFormat="1" ht="14.25" customHeight="1" x14ac:dyDescent="0.3"/>
    <row r="668" customFormat="1" ht="14.25" customHeight="1" x14ac:dyDescent="0.3"/>
    <row r="669" customFormat="1" ht="14.25" customHeight="1" x14ac:dyDescent="0.3"/>
    <row r="670" customFormat="1" ht="14.25" customHeight="1" x14ac:dyDescent="0.3"/>
    <row r="671" customFormat="1" ht="14.25" customHeight="1" x14ac:dyDescent="0.3"/>
    <row r="672" customFormat="1" ht="14.25" customHeight="1" x14ac:dyDescent="0.3"/>
    <row r="673" customFormat="1" ht="14.25" customHeight="1" x14ac:dyDescent="0.3"/>
    <row r="674" customFormat="1" ht="14.25" customHeight="1" x14ac:dyDescent="0.3"/>
    <row r="675" customFormat="1" ht="14.25" customHeight="1" x14ac:dyDescent="0.3"/>
    <row r="676" customFormat="1" ht="14.25" customHeight="1" x14ac:dyDescent="0.3"/>
    <row r="677" customFormat="1" ht="14.25" customHeight="1" x14ac:dyDescent="0.3"/>
    <row r="678" customFormat="1" ht="14.25" customHeight="1" x14ac:dyDescent="0.3"/>
    <row r="679" customFormat="1" ht="14.25" customHeight="1" x14ac:dyDescent="0.3"/>
    <row r="680" customFormat="1" ht="14.25" customHeight="1" x14ac:dyDescent="0.3"/>
    <row r="681" customFormat="1" ht="14.25" customHeight="1" x14ac:dyDescent="0.3"/>
    <row r="682" customFormat="1" ht="14.25" customHeight="1" x14ac:dyDescent="0.3"/>
    <row r="683" customFormat="1" ht="14.25" customHeight="1" x14ac:dyDescent="0.3"/>
    <row r="684" customFormat="1" ht="14.25" customHeight="1" x14ac:dyDescent="0.3"/>
    <row r="685" customFormat="1" ht="14.25" customHeight="1" x14ac:dyDescent="0.3"/>
    <row r="686" customFormat="1" ht="14.25" customHeight="1" x14ac:dyDescent="0.3"/>
    <row r="687" customFormat="1" ht="14.25" customHeight="1" x14ac:dyDescent="0.3"/>
    <row r="688" customFormat="1" ht="14.25" customHeight="1" x14ac:dyDescent="0.3"/>
    <row r="689" customFormat="1" ht="14.25" customHeight="1" x14ac:dyDescent="0.3"/>
    <row r="690" customFormat="1" ht="14.25" customHeight="1" x14ac:dyDescent="0.3"/>
    <row r="691" customFormat="1" ht="14.25" customHeight="1" x14ac:dyDescent="0.3"/>
    <row r="692" customFormat="1" ht="14.25" customHeight="1" x14ac:dyDescent="0.3"/>
    <row r="693" customFormat="1" ht="14.25" customHeight="1" x14ac:dyDescent="0.3"/>
    <row r="694" customFormat="1" ht="14.25" customHeight="1" x14ac:dyDescent="0.3"/>
    <row r="695" customFormat="1" ht="14.25" customHeight="1" x14ac:dyDescent="0.3"/>
    <row r="696" customFormat="1" ht="14.25" customHeight="1" x14ac:dyDescent="0.3"/>
    <row r="697" customFormat="1" ht="14.25" customHeight="1" x14ac:dyDescent="0.3"/>
    <row r="698" customFormat="1" ht="14.25" customHeight="1" x14ac:dyDescent="0.3"/>
    <row r="699" customFormat="1" ht="14.25" customHeight="1" x14ac:dyDescent="0.3"/>
    <row r="700" customFormat="1" ht="14.25" customHeight="1" x14ac:dyDescent="0.3"/>
    <row r="701" customFormat="1" ht="14.25" customHeight="1" x14ac:dyDescent="0.3"/>
    <row r="702" customFormat="1" ht="14.25" customHeight="1" x14ac:dyDescent="0.3"/>
    <row r="703" customFormat="1" ht="14.25" customHeight="1" x14ac:dyDescent="0.3"/>
    <row r="704" customFormat="1" ht="14.25" customHeight="1" x14ac:dyDescent="0.3"/>
    <row r="705" customFormat="1" ht="14.25" customHeight="1" x14ac:dyDescent="0.3"/>
    <row r="706" customFormat="1" ht="14.25" customHeight="1" x14ac:dyDescent="0.3"/>
    <row r="707" customFormat="1" ht="14.25" customHeight="1" x14ac:dyDescent="0.3"/>
    <row r="708" customFormat="1" ht="14.25" customHeight="1" x14ac:dyDescent="0.3"/>
    <row r="709" customFormat="1" ht="14.25" customHeight="1" x14ac:dyDescent="0.3"/>
    <row r="710" customFormat="1" ht="14.25" customHeight="1" x14ac:dyDescent="0.3"/>
    <row r="711" customFormat="1" ht="14.25" customHeight="1" x14ac:dyDescent="0.3"/>
    <row r="712" customFormat="1" ht="14.25" customHeight="1" x14ac:dyDescent="0.3"/>
    <row r="713" customFormat="1" ht="14.25" customHeight="1" x14ac:dyDescent="0.3"/>
    <row r="714" customFormat="1" ht="14.25" customHeight="1" x14ac:dyDescent="0.3"/>
    <row r="715" customFormat="1" ht="14.25" customHeight="1" x14ac:dyDescent="0.3"/>
    <row r="716" customFormat="1" ht="14.25" customHeight="1" x14ac:dyDescent="0.3"/>
    <row r="717" customFormat="1" ht="14.25" customHeight="1" x14ac:dyDescent="0.3"/>
    <row r="718" customFormat="1" ht="14.25" customHeight="1" x14ac:dyDescent="0.3"/>
    <row r="719" customFormat="1" ht="14.25" customHeight="1" x14ac:dyDescent="0.3"/>
    <row r="720" customFormat="1" ht="14.25" customHeight="1" x14ac:dyDescent="0.3"/>
    <row r="721" customFormat="1" ht="14.25" customHeight="1" x14ac:dyDescent="0.3"/>
    <row r="722" customFormat="1" ht="14.25" customHeight="1" x14ac:dyDescent="0.3"/>
    <row r="723" customFormat="1" ht="14.25" customHeight="1" x14ac:dyDescent="0.3"/>
    <row r="724" customFormat="1" ht="14.25" customHeight="1" x14ac:dyDescent="0.3"/>
    <row r="725" customFormat="1" ht="14.25" customHeight="1" x14ac:dyDescent="0.3"/>
    <row r="726" customFormat="1" ht="14.25" customHeight="1" x14ac:dyDescent="0.3"/>
    <row r="727" customFormat="1" ht="14.25" customHeight="1" x14ac:dyDescent="0.3"/>
    <row r="728" customFormat="1" ht="14.25" customHeight="1" x14ac:dyDescent="0.3"/>
    <row r="729" customFormat="1" ht="14.25" customHeight="1" x14ac:dyDescent="0.3"/>
    <row r="730" customFormat="1" ht="14.25" customHeight="1" x14ac:dyDescent="0.3"/>
    <row r="731" customFormat="1" ht="14.25" customHeight="1" x14ac:dyDescent="0.3"/>
    <row r="732" customFormat="1" ht="14.25" customHeight="1" x14ac:dyDescent="0.3"/>
    <row r="733" customFormat="1" ht="14.25" customHeight="1" x14ac:dyDescent="0.3"/>
    <row r="734" customFormat="1" ht="14.25" customHeight="1" x14ac:dyDescent="0.3"/>
    <row r="735" customFormat="1" ht="14.25" customHeight="1" x14ac:dyDescent="0.3"/>
    <row r="736" customFormat="1" ht="14.25" customHeight="1" x14ac:dyDescent="0.3"/>
    <row r="737" customFormat="1" ht="14.25" customHeight="1" x14ac:dyDescent="0.3"/>
    <row r="738" customFormat="1" ht="14.25" customHeight="1" x14ac:dyDescent="0.3"/>
    <row r="739" customFormat="1" ht="14.25" customHeight="1" x14ac:dyDescent="0.3"/>
    <row r="740" customFormat="1" ht="14.25" customHeight="1" x14ac:dyDescent="0.3"/>
    <row r="741" customFormat="1" ht="14.25" customHeight="1" x14ac:dyDescent="0.3"/>
    <row r="742" customFormat="1" ht="14.25" customHeight="1" x14ac:dyDescent="0.3"/>
    <row r="743" customFormat="1" ht="14.25" customHeight="1" x14ac:dyDescent="0.3"/>
    <row r="744" customFormat="1" ht="14.25" customHeight="1" x14ac:dyDescent="0.3"/>
    <row r="745" customFormat="1" ht="14.25" customHeight="1" x14ac:dyDescent="0.3"/>
    <row r="746" customFormat="1" ht="14.25" customHeight="1" x14ac:dyDescent="0.3"/>
    <row r="747" customFormat="1" ht="14.25" customHeight="1" x14ac:dyDescent="0.3"/>
    <row r="748" customFormat="1" ht="14.25" customHeight="1" x14ac:dyDescent="0.3"/>
    <row r="749" customFormat="1" ht="14.25" customHeight="1" x14ac:dyDescent="0.3"/>
    <row r="750" customFormat="1" ht="14.25" customHeight="1" x14ac:dyDescent="0.3"/>
    <row r="751" customFormat="1" ht="14.25" customHeight="1" x14ac:dyDescent="0.3"/>
    <row r="752" customFormat="1" ht="14.25" customHeight="1" x14ac:dyDescent="0.3"/>
    <row r="753" customFormat="1" ht="14.25" customHeight="1" x14ac:dyDescent="0.3"/>
    <row r="754" customFormat="1" ht="14.25" customHeight="1" x14ac:dyDescent="0.3"/>
    <row r="755" customFormat="1" ht="14.25" customHeight="1" x14ac:dyDescent="0.3"/>
    <row r="756" customFormat="1" ht="14.25" customHeight="1" x14ac:dyDescent="0.3"/>
    <row r="757" customFormat="1" ht="14.25" customHeight="1" x14ac:dyDescent="0.3"/>
    <row r="758" customFormat="1" ht="14.25" customHeight="1" x14ac:dyDescent="0.3"/>
    <row r="759" customFormat="1" ht="14.25" customHeight="1" x14ac:dyDescent="0.3"/>
    <row r="760" customFormat="1" ht="14.25" customHeight="1" x14ac:dyDescent="0.3"/>
    <row r="761" customFormat="1" ht="14.25" customHeight="1" x14ac:dyDescent="0.3"/>
    <row r="762" customFormat="1" ht="14.25" customHeight="1" x14ac:dyDescent="0.3"/>
    <row r="763" customFormat="1" ht="14.25" customHeight="1" x14ac:dyDescent="0.3"/>
    <row r="764" customFormat="1" ht="14.25" customHeight="1" x14ac:dyDescent="0.3"/>
    <row r="765" customFormat="1" ht="14.25" customHeight="1" x14ac:dyDescent="0.3"/>
    <row r="766" customFormat="1" ht="14.25" customHeight="1" x14ac:dyDescent="0.3"/>
    <row r="767" customFormat="1" ht="14.25" customHeight="1" x14ac:dyDescent="0.3"/>
    <row r="768" customFormat="1" ht="14.25" customHeight="1" x14ac:dyDescent="0.3"/>
    <row r="769" customFormat="1" ht="14.25" customHeight="1" x14ac:dyDescent="0.3"/>
    <row r="770" customFormat="1" ht="14.25" customHeight="1" x14ac:dyDescent="0.3"/>
    <row r="771" customFormat="1" ht="14.25" customHeight="1" x14ac:dyDescent="0.3"/>
    <row r="772" customFormat="1" ht="14.25" customHeight="1" x14ac:dyDescent="0.3"/>
    <row r="773" customFormat="1" ht="14.25" customHeight="1" x14ac:dyDescent="0.3"/>
    <row r="774" customFormat="1" ht="14.25" customHeight="1" x14ac:dyDescent="0.3"/>
    <row r="775" customFormat="1" ht="14.25" customHeight="1" x14ac:dyDescent="0.3"/>
    <row r="776" customFormat="1" ht="14.25" customHeight="1" x14ac:dyDescent="0.3"/>
    <row r="777" customFormat="1" ht="14.25" customHeight="1" x14ac:dyDescent="0.3"/>
    <row r="778" customFormat="1" ht="14.25" customHeight="1" x14ac:dyDescent="0.3"/>
    <row r="779" customFormat="1" ht="14.25" customHeight="1" x14ac:dyDescent="0.3"/>
    <row r="780" customFormat="1" ht="14.25" customHeight="1" x14ac:dyDescent="0.3"/>
    <row r="781" customFormat="1" ht="14.25" customHeight="1" x14ac:dyDescent="0.3"/>
    <row r="782" customFormat="1" ht="14.25" customHeight="1" x14ac:dyDescent="0.3"/>
    <row r="783" customFormat="1" ht="14.25" customHeight="1" x14ac:dyDescent="0.3"/>
    <row r="784" customFormat="1" ht="14.25" customHeight="1" x14ac:dyDescent="0.3"/>
    <row r="785" customFormat="1" ht="14.25" customHeight="1" x14ac:dyDescent="0.3"/>
    <row r="786" customFormat="1" ht="14.25" customHeight="1" x14ac:dyDescent="0.3"/>
    <row r="787" customFormat="1" ht="14.25" customHeight="1" x14ac:dyDescent="0.3"/>
    <row r="788" customFormat="1" ht="14.25" customHeight="1" x14ac:dyDescent="0.3"/>
    <row r="789" customFormat="1" ht="14.25" customHeight="1" x14ac:dyDescent="0.3"/>
    <row r="790" customFormat="1" ht="14.25" customHeight="1" x14ac:dyDescent="0.3"/>
    <row r="791" customFormat="1" ht="14.25" customHeight="1" x14ac:dyDescent="0.3"/>
    <row r="792" customFormat="1" ht="14.25" customHeight="1" x14ac:dyDescent="0.3"/>
    <row r="793" customFormat="1" ht="14.25" customHeight="1" x14ac:dyDescent="0.3"/>
    <row r="794" customFormat="1" ht="14.25" customHeight="1" x14ac:dyDescent="0.3"/>
    <row r="795" customFormat="1" ht="14.25" customHeight="1" x14ac:dyDescent="0.3"/>
    <row r="796" customFormat="1" ht="14.25" customHeight="1" x14ac:dyDescent="0.3"/>
    <row r="797" customFormat="1" ht="14.25" customHeight="1" x14ac:dyDescent="0.3"/>
    <row r="798" customFormat="1" ht="14.25" customHeight="1" x14ac:dyDescent="0.3"/>
    <row r="799" customFormat="1" ht="14.25" customHeight="1" x14ac:dyDescent="0.3"/>
    <row r="800" customFormat="1" ht="14.25" customHeight="1" x14ac:dyDescent="0.3"/>
    <row r="801" customFormat="1" ht="14.25" customHeight="1" x14ac:dyDescent="0.3"/>
    <row r="802" customFormat="1" ht="14.25" customHeight="1" x14ac:dyDescent="0.3"/>
    <row r="803" customFormat="1" ht="14.25" customHeight="1" x14ac:dyDescent="0.3"/>
    <row r="804" customFormat="1" ht="14.25" customHeight="1" x14ac:dyDescent="0.3"/>
    <row r="805" customFormat="1" ht="14.25" customHeight="1" x14ac:dyDescent="0.3"/>
    <row r="806" customFormat="1" ht="14.25" customHeight="1" x14ac:dyDescent="0.3"/>
    <row r="807" customFormat="1" ht="14.25" customHeight="1" x14ac:dyDescent="0.3"/>
    <row r="808" customFormat="1" ht="14.25" customHeight="1" x14ac:dyDescent="0.3"/>
    <row r="809" customFormat="1" ht="14.25" customHeight="1" x14ac:dyDescent="0.3"/>
    <row r="810" customFormat="1" ht="14.25" customHeight="1" x14ac:dyDescent="0.3"/>
    <row r="811" customFormat="1" ht="14.25" customHeight="1" x14ac:dyDescent="0.3"/>
    <row r="812" customFormat="1" ht="14.25" customHeight="1" x14ac:dyDescent="0.3"/>
    <row r="813" customFormat="1" ht="14.25" customHeight="1" x14ac:dyDescent="0.3"/>
    <row r="814" customFormat="1" ht="14.25" customHeight="1" x14ac:dyDescent="0.3"/>
    <row r="815" customFormat="1" ht="14.25" customHeight="1" x14ac:dyDescent="0.3"/>
    <row r="816" customFormat="1" ht="14.25" customHeight="1" x14ac:dyDescent="0.3"/>
    <row r="817" customFormat="1" ht="14.25" customHeight="1" x14ac:dyDescent="0.3"/>
    <row r="818" customFormat="1" ht="14.25" customHeight="1" x14ac:dyDescent="0.3"/>
    <row r="819" customFormat="1" ht="14.25" customHeight="1" x14ac:dyDescent="0.3"/>
    <row r="820" customFormat="1" ht="14.25" customHeight="1" x14ac:dyDescent="0.3"/>
    <row r="821" customFormat="1" ht="14.25" customHeight="1" x14ac:dyDescent="0.3"/>
    <row r="822" customFormat="1" ht="14.25" customHeight="1" x14ac:dyDescent="0.3"/>
    <row r="823" customFormat="1" ht="14.25" customHeight="1" x14ac:dyDescent="0.3"/>
    <row r="824" customFormat="1" ht="14.25" customHeight="1" x14ac:dyDescent="0.3"/>
    <row r="825" customFormat="1" ht="14.25" customHeight="1" x14ac:dyDescent="0.3"/>
    <row r="826" customFormat="1" ht="14.25" customHeight="1" x14ac:dyDescent="0.3"/>
    <row r="827" customFormat="1" ht="14.25" customHeight="1" x14ac:dyDescent="0.3"/>
    <row r="828" customFormat="1" ht="14.25" customHeight="1" x14ac:dyDescent="0.3"/>
    <row r="829" customFormat="1" ht="14.25" customHeight="1" x14ac:dyDescent="0.3"/>
    <row r="830" customFormat="1" ht="14.25" customHeight="1" x14ac:dyDescent="0.3"/>
    <row r="831" customFormat="1" ht="14.25" customHeight="1" x14ac:dyDescent="0.3"/>
    <row r="832" customFormat="1" ht="14.25" customHeight="1" x14ac:dyDescent="0.3"/>
    <row r="833" customFormat="1" ht="14.25" customHeight="1" x14ac:dyDescent="0.3"/>
    <row r="834" customFormat="1" ht="14.25" customHeight="1" x14ac:dyDescent="0.3"/>
    <row r="835" customFormat="1" ht="14.25" customHeight="1" x14ac:dyDescent="0.3"/>
    <row r="836" customFormat="1" ht="14.25" customHeight="1" x14ac:dyDescent="0.3"/>
    <row r="837" customFormat="1" ht="14.25" customHeight="1" x14ac:dyDescent="0.3"/>
    <row r="838" customFormat="1" ht="14.25" customHeight="1" x14ac:dyDescent="0.3"/>
    <row r="839" customFormat="1" ht="14.25" customHeight="1" x14ac:dyDescent="0.3"/>
    <row r="840" customFormat="1" ht="14.25" customHeight="1" x14ac:dyDescent="0.3"/>
    <row r="841" customFormat="1" ht="14.25" customHeight="1" x14ac:dyDescent="0.3"/>
    <row r="842" customFormat="1" ht="14.25" customHeight="1" x14ac:dyDescent="0.3"/>
    <row r="843" customFormat="1" ht="14.25" customHeight="1" x14ac:dyDescent="0.3"/>
    <row r="844" customFormat="1" ht="14.25" customHeight="1" x14ac:dyDescent="0.3"/>
    <row r="845" customFormat="1" ht="14.25" customHeight="1" x14ac:dyDescent="0.3"/>
    <row r="846" customFormat="1" ht="14.25" customHeight="1" x14ac:dyDescent="0.3"/>
    <row r="847" customFormat="1" ht="14.25" customHeight="1" x14ac:dyDescent="0.3"/>
    <row r="848" customFormat="1" ht="14.25" customHeight="1" x14ac:dyDescent="0.3"/>
    <row r="849" customFormat="1" ht="14.25" customHeight="1" x14ac:dyDescent="0.3"/>
    <row r="850" customFormat="1" ht="14.25" customHeight="1" x14ac:dyDescent="0.3"/>
    <row r="851" customFormat="1" ht="14.25" customHeight="1" x14ac:dyDescent="0.3"/>
    <row r="852" customFormat="1" ht="14.25" customHeight="1" x14ac:dyDescent="0.3"/>
    <row r="853" customFormat="1" ht="14.25" customHeight="1" x14ac:dyDescent="0.3"/>
    <row r="854" customFormat="1" ht="14.25" customHeight="1" x14ac:dyDescent="0.3"/>
    <row r="855" customFormat="1" ht="14.25" customHeight="1" x14ac:dyDescent="0.3"/>
    <row r="856" customFormat="1" ht="14.25" customHeight="1" x14ac:dyDescent="0.3"/>
    <row r="857" customFormat="1" ht="14.25" customHeight="1" x14ac:dyDescent="0.3"/>
    <row r="858" customFormat="1" ht="14.25" customHeight="1" x14ac:dyDescent="0.3"/>
    <row r="859" customFormat="1" ht="14.25" customHeight="1" x14ac:dyDescent="0.3"/>
    <row r="860" customFormat="1" ht="14.25" customHeight="1" x14ac:dyDescent="0.3"/>
    <row r="861" customFormat="1" ht="14.25" customHeight="1" x14ac:dyDescent="0.3"/>
    <row r="862" customFormat="1" ht="14.25" customHeight="1" x14ac:dyDescent="0.3"/>
    <row r="863" customFormat="1" ht="14.25" customHeight="1" x14ac:dyDescent="0.3"/>
    <row r="864" customFormat="1" ht="14.25" customHeight="1" x14ac:dyDescent="0.3"/>
    <row r="865" customFormat="1" ht="14.25" customHeight="1" x14ac:dyDescent="0.3"/>
    <row r="866" customFormat="1" ht="14.25" customHeight="1" x14ac:dyDescent="0.3"/>
    <row r="867" customFormat="1" ht="14.25" customHeight="1" x14ac:dyDescent="0.3"/>
    <row r="868" customFormat="1" ht="14.25" customHeight="1" x14ac:dyDescent="0.3"/>
    <row r="869" customFormat="1" ht="14.25" customHeight="1" x14ac:dyDescent="0.3"/>
    <row r="870" customFormat="1" ht="14.25" customHeight="1" x14ac:dyDescent="0.3"/>
    <row r="871" customFormat="1" ht="14.25" customHeight="1" x14ac:dyDescent="0.3"/>
    <row r="872" customFormat="1" ht="14.25" customHeight="1" x14ac:dyDescent="0.3"/>
    <row r="873" customFormat="1" ht="14.25" customHeight="1" x14ac:dyDescent="0.3"/>
    <row r="874" customFormat="1" ht="14.25" customHeight="1" x14ac:dyDescent="0.3"/>
    <row r="875" customFormat="1" ht="14.25" customHeight="1" x14ac:dyDescent="0.3"/>
    <row r="876" customFormat="1" ht="14.25" customHeight="1" x14ac:dyDescent="0.3"/>
    <row r="877" customFormat="1" ht="14.25" customHeight="1" x14ac:dyDescent="0.3"/>
    <row r="878" customFormat="1" ht="14.25" customHeight="1" x14ac:dyDescent="0.3"/>
    <row r="879" customFormat="1" ht="14.25" customHeight="1" x14ac:dyDescent="0.3"/>
    <row r="880" customFormat="1" ht="14.25" customHeight="1" x14ac:dyDescent="0.3"/>
    <row r="881" customFormat="1" ht="14.25" customHeight="1" x14ac:dyDescent="0.3"/>
    <row r="882" customFormat="1" ht="14.25" customHeight="1" x14ac:dyDescent="0.3"/>
    <row r="883" customFormat="1" ht="14.25" customHeight="1" x14ac:dyDescent="0.3"/>
    <row r="884" customFormat="1" ht="14.25" customHeight="1" x14ac:dyDescent="0.3"/>
    <row r="885" customFormat="1" ht="14.25" customHeight="1" x14ac:dyDescent="0.3"/>
    <row r="886" customFormat="1" ht="14.25" customHeight="1" x14ac:dyDescent="0.3"/>
    <row r="887" customFormat="1" ht="14.25" customHeight="1" x14ac:dyDescent="0.3"/>
    <row r="888" customFormat="1" ht="14.25" customHeight="1" x14ac:dyDescent="0.3"/>
    <row r="889" customFormat="1" ht="14.25" customHeight="1" x14ac:dyDescent="0.3"/>
    <row r="890" customFormat="1" ht="14.25" customHeight="1" x14ac:dyDescent="0.3"/>
    <row r="891" customFormat="1" ht="14.25" customHeight="1" x14ac:dyDescent="0.3"/>
    <row r="892" customFormat="1" ht="14.25" customHeight="1" x14ac:dyDescent="0.3"/>
    <row r="893" customFormat="1" ht="14.25" customHeight="1" x14ac:dyDescent="0.3"/>
    <row r="894" customFormat="1" ht="14.25" customHeight="1" x14ac:dyDescent="0.3"/>
    <row r="895" customFormat="1" ht="14.25" customHeight="1" x14ac:dyDescent="0.3"/>
    <row r="896" customFormat="1" ht="14.25" customHeight="1" x14ac:dyDescent="0.3"/>
    <row r="897" customFormat="1" ht="14.25" customHeight="1" x14ac:dyDescent="0.3"/>
    <row r="898" customFormat="1" ht="14.25" customHeight="1" x14ac:dyDescent="0.3"/>
    <row r="899" customFormat="1" ht="14.25" customHeight="1" x14ac:dyDescent="0.3"/>
    <row r="900" customFormat="1" ht="14.25" customHeight="1" x14ac:dyDescent="0.3"/>
    <row r="901" customFormat="1" ht="14.25" customHeight="1" x14ac:dyDescent="0.3"/>
    <row r="902" customFormat="1" ht="14.25" customHeight="1" x14ac:dyDescent="0.3"/>
    <row r="903" customFormat="1" ht="14.25" customHeight="1" x14ac:dyDescent="0.3"/>
    <row r="904" customFormat="1" ht="14.25" customHeight="1" x14ac:dyDescent="0.3"/>
    <row r="905" customFormat="1" ht="14.25" customHeight="1" x14ac:dyDescent="0.3"/>
    <row r="906" customFormat="1" ht="14.25" customHeight="1" x14ac:dyDescent="0.3"/>
    <row r="907" customFormat="1" ht="14.25" customHeight="1" x14ac:dyDescent="0.3"/>
    <row r="908" customFormat="1" ht="14.25" customHeight="1" x14ac:dyDescent="0.3"/>
    <row r="909" customFormat="1" ht="14.25" customHeight="1" x14ac:dyDescent="0.3"/>
    <row r="910" customFormat="1" ht="14.25" customHeight="1" x14ac:dyDescent="0.3"/>
    <row r="911" customFormat="1" ht="14.25" customHeight="1" x14ac:dyDescent="0.3"/>
    <row r="912" customFormat="1" ht="14.25" customHeight="1" x14ac:dyDescent="0.3"/>
    <row r="913" customFormat="1" ht="14.25" customHeight="1" x14ac:dyDescent="0.3"/>
    <row r="914" customFormat="1" ht="14.25" customHeight="1" x14ac:dyDescent="0.3"/>
    <row r="915" customFormat="1" ht="14.25" customHeight="1" x14ac:dyDescent="0.3"/>
    <row r="916" customFormat="1" ht="14.25" customHeight="1" x14ac:dyDescent="0.3"/>
    <row r="917" customFormat="1" ht="14.25" customHeight="1" x14ac:dyDescent="0.3"/>
    <row r="918" customFormat="1" ht="14.25" customHeight="1" x14ac:dyDescent="0.3"/>
    <row r="919" customFormat="1" ht="14.25" customHeight="1" x14ac:dyDescent="0.3"/>
    <row r="920" customFormat="1" ht="14.25" customHeight="1" x14ac:dyDescent="0.3"/>
    <row r="921" customFormat="1" ht="14.25" customHeight="1" x14ac:dyDescent="0.3"/>
    <row r="922" customFormat="1" ht="14.25" customHeight="1" x14ac:dyDescent="0.3"/>
    <row r="923" customFormat="1" ht="14.25" customHeight="1" x14ac:dyDescent="0.3"/>
    <row r="924" customFormat="1" ht="14.25" customHeight="1" x14ac:dyDescent="0.3"/>
    <row r="925" customFormat="1" ht="14.25" customHeight="1" x14ac:dyDescent="0.3"/>
    <row r="926" customFormat="1" ht="14.25" customHeight="1" x14ac:dyDescent="0.3"/>
    <row r="927" customFormat="1" ht="14.25" customHeight="1" x14ac:dyDescent="0.3"/>
    <row r="928" customFormat="1" ht="14.25" customHeight="1" x14ac:dyDescent="0.3"/>
    <row r="929" customFormat="1" ht="14.25" customHeight="1" x14ac:dyDescent="0.3"/>
    <row r="930" customFormat="1" ht="14.25" customHeight="1" x14ac:dyDescent="0.3"/>
    <row r="931" customFormat="1" ht="14.25" customHeight="1" x14ac:dyDescent="0.3"/>
    <row r="932" customFormat="1" ht="14.25" customHeight="1" x14ac:dyDescent="0.3"/>
    <row r="933" customFormat="1" ht="14.25" customHeight="1" x14ac:dyDescent="0.3"/>
    <row r="934" customFormat="1" ht="14.25" customHeight="1" x14ac:dyDescent="0.3"/>
    <row r="935" customFormat="1" ht="14.25" customHeight="1" x14ac:dyDescent="0.3"/>
    <row r="936" customFormat="1" ht="14.25" customHeight="1" x14ac:dyDescent="0.3"/>
    <row r="937" customFormat="1" ht="14.25" customHeight="1" x14ac:dyDescent="0.3"/>
    <row r="938" customFormat="1" ht="14.25" customHeight="1" x14ac:dyDescent="0.3"/>
    <row r="939" customFormat="1" ht="14.25" customHeight="1" x14ac:dyDescent="0.3"/>
    <row r="940" customFormat="1" ht="14.25" customHeight="1" x14ac:dyDescent="0.3"/>
    <row r="941" customFormat="1" ht="14.25" customHeight="1" x14ac:dyDescent="0.3"/>
    <row r="942" customFormat="1" ht="14.25" customHeight="1" x14ac:dyDescent="0.3"/>
    <row r="943" customFormat="1" ht="14.25" customHeight="1" x14ac:dyDescent="0.3"/>
    <row r="944" customFormat="1" ht="14.25" customHeight="1" x14ac:dyDescent="0.3"/>
    <row r="945" customFormat="1" ht="14.25" customHeight="1" x14ac:dyDescent="0.3"/>
    <row r="946" customFormat="1" ht="14.25" customHeight="1" x14ac:dyDescent="0.3"/>
    <row r="947" customFormat="1" ht="14.25" customHeight="1" x14ac:dyDescent="0.3"/>
    <row r="948" customFormat="1" ht="14.25" customHeight="1" x14ac:dyDescent="0.3"/>
    <row r="949" customFormat="1" ht="14.25" customHeight="1" x14ac:dyDescent="0.3"/>
    <row r="950" customFormat="1" ht="14.25" customHeight="1" x14ac:dyDescent="0.3"/>
    <row r="951" customFormat="1" ht="14.25" customHeight="1" x14ac:dyDescent="0.3"/>
    <row r="952" customFormat="1" ht="14.25" customHeight="1" x14ac:dyDescent="0.3"/>
    <row r="953" customFormat="1" ht="14.25" customHeight="1" x14ac:dyDescent="0.3"/>
    <row r="954" customFormat="1" ht="14.25" customHeight="1" x14ac:dyDescent="0.3"/>
    <row r="955" customFormat="1" ht="14.25" customHeight="1" x14ac:dyDescent="0.3"/>
    <row r="956" customFormat="1" ht="14.25" customHeight="1" x14ac:dyDescent="0.3"/>
    <row r="957" customFormat="1" ht="14.25" customHeight="1" x14ac:dyDescent="0.3"/>
    <row r="958" customFormat="1" ht="14.25" customHeight="1" x14ac:dyDescent="0.3"/>
    <row r="959" customFormat="1" ht="14.25" customHeight="1" x14ac:dyDescent="0.3"/>
    <row r="960" customFormat="1" ht="14.25" customHeight="1" x14ac:dyDescent="0.3"/>
    <row r="961" customFormat="1" ht="14.25" customHeight="1" x14ac:dyDescent="0.3"/>
    <row r="962" customFormat="1" ht="14.25" customHeight="1" x14ac:dyDescent="0.3"/>
    <row r="963" customFormat="1" ht="14.25" customHeight="1" x14ac:dyDescent="0.3"/>
    <row r="964" customFormat="1" ht="14.25" customHeight="1" x14ac:dyDescent="0.3"/>
    <row r="965" customFormat="1" ht="14.25" customHeight="1" x14ac:dyDescent="0.3"/>
    <row r="966" customFormat="1" ht="14.25" customHeight="1" x14ac:dyDescent="0.3"/>
    <row r="967" customFormat="1" ht="14.25" customHeight="1" x14ac:dyDescent="0.3"/>
    <row r="968" customFormat="1" ht="14.25" customHeight="1" x14ac:dyDescent="0.3"/>
    <row r="969" customFormat="1" ht="14.25" customHeight="1" x14ac:dyDescent="0.3"/>
    <row r="970" customFormat="1" ht="14.25" customHeight="1" x14ac:dyDescent="0.3"/>
    <row r="971" customFormat="1" ht="14.25" customHeight="1" x14ac:dyDescent="0.3"/>
    <row r="972" customFormat="1" ht="14.25" customHeight="1" x14ac:dyDescent="0.3"/>
    <row r="973" customFormat="1" ht="14.25" customHeight="1" x14ac:dyDescent="0.3"/>
    <row r="974" customFormat="1" ht="14.25" customHeight="1" x14ac:dyDescent="0.3"/>
    <row r="975" customFormat="1" ht="14.25" customHeight="1" x14ac:dyDescent="0.3"/>
    <row r="976" customFormat="1" ht="14.25" customHeight="1" x14ac:dyDescent="0.3"/>
    <row r="977" customFormat="1" ht="14.25" customHeight="1" x14ac:dyDescent="0.3"/>
    <row r="978" customFormat="1" ht="14.25" customHeight="1" x14ac:dyDescent="0.3"/>
    <row r="979" customFormat="1" ht="14.25" customHeight="1" x14ac:dyDescent="0.3"/>
    <row r="980" customFormat="1" ht="14.25" customHeight="1" x14ac:dyDescent="0.3"/>
    <row r="981" customFormat="1" ht="14.25" customHeight="1" x14ac:dyDescent="0.3"/>
    <row r="982" customFormat="1" ht="14.25" customHeight="1" x14ac:dyDescent="0.3"/>
    <row r="983" customFormat="1" ht="14.25" customHeight="1" x14ac:dyDescent="0.3"/>
    <row r="984" customFormat="1" ht="14.25" customHeight="1" x14ac:dyDescent="0.3"/>
    <row r="985" customFormat="1" ht="14.25" customHeight="1" x14ac:dyDescent="0.3"/>
    <row r="986" customFormat="1" ht="14.25" customHeight="1" x14ac:dyDescent="0.3"/>
    <row r="987" customFormat="1" ht="14.25" customHeight="1" x14ac:dyDescent="0.3"/>
    <row r="988" customFormat="1" ht="14.25" customHeight="1" x14ac:dyDescent="0.3"/>
    <row r="989" customFormat="1" ht="14.25" customHeight="1" x14ac:dyDescent="0.3"/>
    <row r="990" customFormat="1" ht="14.25" customHeight="1" x14ac:dyDescent="0.3"/>
    <row r="991" customFormat="1" ht="14.25" customHeight="1" x14ac:dyDescent="0.3"/>
    <row r="992" customFormat="1" ht="14.25" customHeight="1" x14ac:dyDescent="0.3"/>
    <row r="993" customFormat="1" ht="14.25" customHeight="1" x14ac:dyDescent="0.3"/>
    <row r="994" customFormat="1" ht="14.25" customHeight="1" x14ac:dyDescent="0.3"/>
    <row r="995" customFormat="1" ht="14.25" customHeight="1" x14ac:dyDescent="0.3"/>
    <row r="996" customFormat="1" ht="14.25" customHeight="1" x14ac:dyDescent="0.3"/>
    <row r="997" customFormat="1" ht="14.25" customHeight="1" x14ac:dyDescent="0.3"/>
    <row r="998" customFormat="1" ht="14.25" customHeight="1" x14ac:dyDescent="0.3"/>
    <row r="999" customFormat="1" ht="14.25" customHeight="1" x14ac:dyDescent="0.3"/>
    <row r="1000" customFormat="1" ht="14.25" customHeight="1" x14ac:dyDescent="0.3"/>
  </sheetData>
  <mergeCells count="2">
    <mergeCell ref="B2:E2"/>
    <mergeCell ref="B3:E3"/>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59C-3038-46EA-B095-90B38C5D2926}">
  <dimension ref="B2:M17"/>
  <sheetViews>
    <sheetView topLeftCell="B1" zoomScaleNormal="100" workbookViewId="0">
      <selection activeCell="F39" sqref="F39"/>
    </sheetView>
  </sheetViews>
  <sheetFormatPr defaultRowHeight="14.4" x14ac:dyDescent="0.3"/>
  <cols>
    <col min="2" max="2" width="16" bestFit="1" customWidth="1"/>
    <col min="3" max="3" width="12.6640625" bestFit="1" customWidth="1"/>
    <col min="4" max="4" width="11.33203125" customWidth="1"/>
    <col min="5" max="5" width="9.6640625" customWidth="1"/>
    <col min="6" max="6" width="12.33203125" bestFit="1" customWidth="1"/>
    <col min="7" max="7" width="11.109375" bestFit="1" customWidth="1"/>
    <col min="8" max="8" width="14.109375" bestFit="1" customWidth="1"/>
    <col min="9" max="9" width="12.109375" customWidth="1"/>
    <col min="13" max="13" width="13.6640625" bestFit="1" customWidth="1"/>
  </cols>
  <sheetData>
    <row r="2" spans="2:13" x14ac:dyDescent="0.3">
      <c r="B2" s="205" t="s">
        <v>425</v>
      </c>
      <c r="C2" s="205"/>
      <c r="D2" s="205"/>
      <c r="E2" s="23"/>
      <c r="F2" s="131" t="s">
        <v>398</v>
      </c>
      <c r="M2" s="132" t="s">
        <v>395</v>
      </c>
    </row>
    <row r="3" spans="2:13" x14ac:dyDescent="0.3">
      <c r="B3" s="205" t="s">
        <v>397</v>
      </c>
      <c r="C3" s="205"/>
      <c r="D3" s="205"/>
      <c r="E3" s="23"/>
    </row>
    <row r="5" spans="2:13" x14ac:dyDescent="0.3">
      <c r="B5" s="10" t="s">
        <v>424</v>
      </c>
      <c r="C5" s="10" t="s">
        <v>423</v>
      </c>
    </row>
    <row r="6" spans="2:13" x14ac:dyDescent="0.3">
      <c r="B6" s="10" t="s">
        <v>422</v>
      </c>
      <c r="C6" s="143">
        <v>100000</v>
      </c>
      <c r="D6" s="142"/>
      <c r="E6" s="142"/>
    </row>
    <row r="7" spans="2:13" x14ac:dyDescent="0.3">
      <c r="B7" s="10" t="s">
        <v>421</v>
      </c>
      <c r="C7" s="143">
        <v>-25000</v>
      </c>
      <c r="D7" s="142"/>
      <c r="E7" s="142"/>
    </row>
    <row r="8" spans="2:13" x14ac:dyDescent="0.3">
      <c r="B8" s="10" t="s">
        <v>420</v>
      </c>
      <c r="C8" s="143">
        <v>10000</v>
      </c>
      <c r="D8" s="142"/>
      <c r="E8" s="142"/>
    </row>
    <row r="9" spans="2:13" x14ac:dyDescent="0.3">
      <c r="B9" s="10" t="s">
        <v>419</v>
      </c>
      <c r="C9" s="143">
        <v>14000</v>
      </c>
      <c r="D9" s="142"/>
      <c r="E9" s="142"/>
    </row>
    <row r="10" spans="2:13" x14ac:dyDescent="0.3">
      <c r="B10" s="10" t="s">
        <v>418</v>
      </c>
      <c r="C10" s="143">
        <v>-15000</v>
      </c>
      <c r="D10" s="142"/>
      <c r="E10" s="142"/>
    </row>
    <row r="11" spans="2:13" x14ac:dyDescent="0.3">
      <c r="B11" s="10" t="s">
        <v>417</v>
      </c>
      <c r="C11" s="143">
        <v>-5000</v>
      </c>
      <c r="D11" s="142"/>
      <c r="E11" s="142"/>
    </row>
    <row r="12" spans="2:13" x14ac:dyDescent="0.3">
      <c r="B12" s="10" t="s">
        <v>416</v>
      </c>
      <c r="C12" s="143">
        <v>7000</v>
      </c>
      <c r="D12" s="142"/>
      <c r="E12" s="142"/>
    </row>
    <row r="13" spans="2:13" x14ac:dyDescent="0.3">
      <c r="B13" s="10" t="s">
        <v>415</v>
      </c>
      <c r="C13" s="143">
        <v>8500</v>
      </c>
      <c r="D13" s="142"/>
      <c r="E13" s="142"/>
    </row>
    <row r="14" spans="2:13" x14ac:dyDescent="0.3">
      <c r="B14" s="10" t="s">
        <v>414</v>
      </c>
      <c r="C14" s="143">
        <v>-10000</v>
      </c>
      <c r="D14" s="142"/>
      <c r="E14" s="142"/>
    </row>
    <row r="15" spans="2:13" x14ac:dyDescent="0.3">
      <c r="B15" s="10" t="s">
        <v>413</v>
      </c>
      <c r="C15" s="143">
        <v>-16000</v>
      </c>
      <c r="D15" s="142"/>
      <c r="E15" s="142"/>
    </row>
    <row r="16" spans="2:13" x14ac:dyDescent="0.3">
      <c r="B16" s="10" t="s">
        <v>412</v>
      </c>
      <c r="C16" s="143">
        <v>10000</v>
      </c>
      <c r="D16" s="142"/>
      <c r="E16" s="142"/>
    </row>
    <row r="17" spans="2:5" x14ac:dyDescent="0.3">
      <c r="B17" s="10" t="s">
        <v>411</v>
      </c>
      <c r="C17" s="143">
        <f>SUM(C6:C16)</f>
        <v>78500</v>
      </c>
      <c r="D17" s="142"/>
      <c r="E17" s="142"/>
    </row>
  </sheetData>
  <mergeCells count="2">
    <mergeCell ref="B2:D2"/>
    <mergeCell ref="B3:D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712B5-BE76-4A29-8D76-6EF54071F06E}">
  <dimension ref="B3:I17"/>
  <sheetViews>
    <sheetView topLeftCell="A2" zoomScaleNormal="100" workbookViewId="0">
      <selection activeCell="AC7" sqref="AC7"/>
    </sheetView>
  </sheetViews>
  <sheetFormatPr defaultRowHeight="14.4" x14ac:dyDescent="0.3"/>
  <cols>
    <col min="2" max="2" width="14.33203125" bestFit="1" customWidth="1"/>
    <col min="7" max="7" width="12.33203125" bestFit="1" customWidth="1"/>
    <col min="9" max="9" width="13.6640625" bestFit="1" customWidth="1"/>
    <col min="15" max="15" width="13.6640625" bestFit="1" customWidth="1"/>
  </cols>
  <sheetData>
    <row r="3" spans="2:9" x14ac:dyDescent="0.3">
      <c r="B3" s="205" t="s">
        <v>440</v>
      </c>
      <c r="C3" s="205"/>
      <c r="D3" s="205"/>
      <c r="E3" s="205"/>
      <c r="F3" s="23"/>
      <c r="I3" s="131" t="s">
        <v>398</v>
      </c>
    </row>
    <row r="4" spans="2:9" x14ac:dyDescent="0.3">
      <c r="B4" s="205" t="s">
        <v>397</v>
      </c>
      <c r="C4" s="205"/>
      <c r="D4" s="205"/>
      <c r="E4" s="205"/>
      <c r="F4" s="23"/>
    </row>
    <row r="6" spans="2:9" ht="30.6" x14ac:dyDescent="0.3">
      <c r="B6" s="154" t="s">
        <v>439</v>
      </c>
      <c r="C6" s="153" t="s">
        <v>438</v>
      </c>
      <c r="D6" s="153" t="s">
        <v>437</v>
      </c>
      <c r="E6" s="152" t="s">
        <v>436</v>
      </c>
      <c r="F6" s="152" t="s">
        <v>435</v>
      </c>
      <c r="G6" s="151" t="s">
        <v>434</v>
      </c>
    </row>
    <row r="7" spans="2:9" x14ac:dyDescent="0.3">
      <c r="B7" s="150" t="s">
        <v>433</v>
      </c>
      <c r="C7" s="149">
        <v>40081</v>
      </c>
      <c r="D7" s="149">
        <v>40240</v>
      </c>
      <c r="E7" s="145">
        <f t="shared" ref="E7:E17" si="0">D7-C7</f>
        <v>159</v>
      </c>
      <c r="F7" s="145">
        <f t="shared" ref="F7:F17" si="1">--C7</f>
        <v>40081</v>
      </c>
      <c r="G7" s="144">
        <f t="shared" ref="G7:G17" si="2">E7</f>
        <v>159</v>
      </c>
    </row>
    <row r="8" spans="2:9" x14ac:dyDescent="0.3">
      <c r="B8" s="148" t="s">
        <v>428</v>
      </c>
      <c r="C8" s="147">
        <v>40081</v>
      </c>
      <c r="D8" s="147">
        <v>40195</v>
      </c>
      <c r="E8" s="145">
        <f t="shared" si="0"/>
        <v>114</v>
      </c>
      <c r="F8" s="145">
        <f t="shared" si="1"/>
        <v>40081</v>
      </c>
      <c r="G8" s="144">
        <f t="shared" si="2"/>
        <v>114</v>
      </c>
    </row>
    <row r="9" spans="2:9" x14ac:dyDescent="0.3">
      <c r="B9" s="148" t="s">
        <v>427</v>
      </c>
      <c r="C9" s="147">
        <v>40119</v>
      </c>
      <c r="D9" s="147">
        <v>40207</v>
      </c>
      <c r="E9" s="145">
        <f t="shared" si="0"/>
        <v>88</v>
      </c>
      <c r="F9" s="145">
        <f t="shared" si="1"/>
        <v>40119</v>
      </c>
      <c r="G9" s="144">
        <f t="shared" si="2"/>
        <v>88</v>
      </c>
    </row>
    <row r="10" spans="2:9" x14ac:dyDescent="0.3">
      <c r="B10" s="148" t="s">
        <v>426</v>
      </c>
      <c r="C10" s="147">
        <v>40148</v>
      </c>
      <c r="D10" s="147">
        <v>40168</v>
      </c>
      <c r="E10" s="145">
        <f t="shared" si="0"/>
        <v>20</v>
      </c>
      <c r="F10" s="145">
        <f t="shared" si="1"/>
        <v>40148</v>
      </c>
      <c r="G10" s="144">
        <f t="shared" si="2"/>
        <v>20</v>
      </c>
    </row>
    <row r="11" spans="2:9" x14ac:dyDescent="0.3">
      <c r="B11" s="148" t="s">
        <v>432</v>
      </c>
      <c r="C11" s="147">
        <v>40148</v>
      </c>
      <c r="D11" s="147">
        <v>40193</v>
      </c>
      <c r="E11" s="145">
        <f t="shared" si="0"/>
        <v>45</v>
      </c>
      <c r="F11" s="145">
        <f t="shared" si="1"/>
        <v>40148</v>
      </c>
      <c r="G11" s="144">
        <f t="shared" si="2"/>
        <v>45</v>
      </c>
    </row>
    <row r="12" spans="2:9" x14ac:dyDescent="0.3">
      <c r="B12" s="148" t="s">
        <v>431</v>
      </c>
      <c r="C12" s="147">
        <v>40168</v>
      </c>
      <c r="D12" s="147">
        <v>40193</v>
      </c>
      <c r="E12" s="145">
        <f t="shared" si="0"/>
        <v>25</v>
      </c>
      <c r="F12" s="145">
        <f t="shared" si="1"/>
        <v>40168</v>
      </c>
      <c r="G12" s="144">
        <f t="shared" si="2"/>
        <v>25</v>
      </c>
    </row>
    <row r="13" spans="2:9" x14ac:dyDescent="0.3">
      <c r="B13" s="148" t="s">
        <v>430</v>
      </c>
      <c r="C13" s="147">
        <v>40182</v>
      </c>
      <c r="D13" s="147">
        <v>40207</v>
      </c>
      <c r="E13" s="145">
        <f t="shared" si="0"/>
        <v>25</v>
      </c>
      <c r="F13" s="145">
        <f t="shared" si="1"/>
        <v>40182</v>
      </c>
      <c r="G13" s="144">
        <f t="shared" si="2"/>
        <v>25</v>
      </c>
    </row>
    <row r="14" spans="2:9" x14ac:dyDescent="0.3">
      <c r="B14" s="148" t="s">
        <v>429</v>
      </c>
      <c r="C14" s="147">
        <v>40182</v>
      </c>
      <c r="D14" s="147">
        <v>40233</v>
      </c>
      <c r="E14" s="145">
        <f t="shared" si="0"/>
        <v>51</v>
      </c>
      <c r="F14" s="145">
        <f t="shared" si="1"/>
        <v>40182</v>
      </c>
      <c r="G14" s="144">
        <f t="shared" si="2"/>
        <v>51</v>
      </c>
    </row>
    <row r="15" spans="2:9" x14ac:dyDescent="0.3">
      <c r="B15" s="148" t="s">
        <v>428</v>
      </c>
      <c r="C15" s="147">
        <v>40182</v>
      </c>
      <c r="D15" s="147">
        <v>40189</v>
      </c>
      <c r="E15" s="145">
        <f t="shared" si="0"/>
        <v>7</v>
      </c>
      <c r="F15" s="145">
        <f t="shared" si="1"/>
        <v>40182</v>
      </c>
      <c r="G15" s="144">
        <f t="shared" si="2"/>
        <v>7</v>
      </c>
    </row>
    <row r="16" spans="2:9" x14ac:dyDescent="0.3">
      <c r="B16" s="148" t="s">
        <v>427</v>
      </c>
      <c r="C16" s="147">
        <v>40189</v>
      </c>
      <c r="D16" s="147">
        <v>40204</v>
      </c>
      <c r="E16" s="145">
        <f t="shared" si="0"/>
        <v>15</v>
      </c>
      <c r="F16" s="145">
        <f t="shared" si="1"/>
        <v>40189</v>
      </c>
      <c r="G16" s="144">
        <f t="shared" si="2"/>
        <v>15</v>
      </c>
      <c r="I16" s="132" t="s">
        <v>395</v>
      </c>
    </row>
    <row r="17" spans="2:7" x14ac:dyDescent="0.3">
      <c r="B17" s="148" t="s">
        <v>426</v>
      </c>
      <c r="C17" s="147">
        <v>40203</v>
      </c>
      <c r="D17" s="146">
        <v>40233</v>
      </c>
      <c r="E17" s="145">
        <f t="shared" si="0"/>
        <v>30</v>
      </c>
      <c r="F17" s="145">
        <f t="shared" si="1"/>
        <v>40203</v>
      </c>
      <c r="G17" s="144">
        <f t="shared" si="2"/>
        <v>30</v>
      </c>
    </row>
  </sheetData>
  <mergeCells count="2">
    <mergeCell ref="B3:E3"/>
    <mergeCell ref="B4:E4"/>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13735-ED5D-4080-B475-206A78F104ED}">
  <dimension ref="B1:M29"/>
  <sheetViews>
    <sheetView topLeftCell="A3" workbookViewId="0">
      <selection activeCell="F6" sqref="F6"/>
    </sheetView>
  </sheetViews>
  <sheetFormatPr defaultRowHeight="13.2" x14ac:dyDescent="0.25"/>
  <cols>
    <col min="1" max="1" width="7.33203125" style="155" customWidth="1"/>
    <col min="2" max="2" width="12.88671875" style="155" bestFit="1" customWidth="1"/>
    <col min="3" max="3" width="11.6640625" style="155" customWidth="1"/>
    <col min="4" max="4" width="10.44140625" style="155" customWidth="1"/>
    <col min="5" max="5" width="12.44140625" style="155" customWidth="1"/>
    <col min="6" max="6" width="8.88671875" style="155"/>
    <col min="7" max="7" width="12.5546875" style="155" bestFit="1" customWidth="1"/>
    <col min="8" max="8" width="12.88671875" style="155" customWidth="1"/>
    <col min="9" max="9" width="15" style="155" customWidth="1"/>
    <col min="10" max="12" width="8.88671875" style="155"/>
    <col min="13" max="13" width="12.5546875" style="155" bestFit="1" customWidth="1"/>
    <col min="14" max="15" width="8.88671875" style="155"/>
    <col min="16" max="16" width="43.33203125" style="155" customWidth="1"/>
    <col min="17" max="19" width="8.88671875" style="155"/>
    <col min="20" max="20" width="12.33203125" style="155" bestFit="1" customWidth="1"/>
    <col min="21" max="257" width="8.88671875" style="155"/>
    <col min="258" max="258" width="12.88671875" style="155" bestFit="1" customWidth="1"/>
    <col min="259" max="259" width="11.6640625" style="155" customWidth="1"/>
    <col min="260" max="260" width="10.44140625" style="155" customWidth="1"/>
    <col min="261" max="261" width="12.44140625" style="155" customWidth="1"/>
    <col min="262" max="262" width="8.88671875" style="155"/>
    <col min="263" max="263" width="10.109375" style="155" customWidth="1"/>
    <col min="264" max="264" width="8.88671875" style="155"/>
    <col min="265" max="265" width="9.6640625" style="155" bestFit="1" customWidth="1"/>
    <col min="266" max="513" width="8.88671875" style="155"/>
    <col min="514" max="514" width="12.88671875" style="155" bestFit="1" customWidth="1"/>
    <col min="515" max="515" width="11.6640625" style="155" customWidth="1"/>
    <col min="516" max="516" width="10.44140625" style="155" customWidth="1"/>
    <col min="517" max="517" width="12.44140625" style="155" customWidth="1"/>
    <col min="518" max="518" width="8.88671875" style="155"/>
    <col min="519" max="519" width="10.109375" style="155" customWidth="1"/>
    <col min="520" max="520" width="8.88671875" style="155"/>
    <col min="521" max="521" width="9.6640625" style="155" bestFit="1" customWidth="1"/>
    <col min="522" max="769" width="8.88671875" style="155"/>
    <col min="770" max="770" width="12.88671875" style="155" bestFit="1" customWidth="1"/>
    <col min="771" max="771" width="11.6640625" style="155" customWidth="1"/>
    <col min="772" max="772" width="10.44140625" style="155" customWidth="1"/>
    <col min="773" max="773" width="12.44140625" style="155" customWidth="1"/>
    <col min="774" max="774" width="8.88671875" style="155"/>
    <col min="775" max="775" width="10.109375" style="155" customWidth="1"/>
    <col min="776" max="776" width="8.88671875" style="155"/>
    <col min="777" max="777" width="9.6640625" style="155" bestFit="1" customWidth="1"/>
    <col min="778" max="1025" width="8.88671875" style="155"/>
    <col min="1026" max="1026" width="12.88671875" style="155" bestFit="1" customWidth="1"/>
    <col min="1027" max="1027" width="11.6640625" style="155" customWidth="1"/>
    <col min="1028" max="1028" width="10.44140625" style="155" customWidth="1"/>
    <col min="1029" max="1029" width="12.44140625" style="155" customWidth="1"/>
    <col min="1030" max="1030" width="8.88671875" style="155"/>
    <col min="1031" max="1031" width="10.109375" style="155" customWidth="1"/>
    <col min="1032" max="1032" width="8.88671875" style="155"/>
    <col min="1033" max="1033" width="9.6640625" style="155" bestFit="1" customWidth="1"/>
    <col min="1034" max="1281" width="8.88671875" style="155"/>
    <col min="1282" max="1282" width="12.88671875" style="155" bestFit="1" customWidth="1"/>
    <col min="1283" max="1283" width="11.6640625" style="155" customWidth="1"/>
    <col min="1284" max="1284" width="10.44140625" style="155" customWidth="1"/>
    <col min="1285" max="1285" width="12.44140625" style="155" customWidth="1"/>
    <col min="1286" max="1286" width="8.88671875" style="155"/>
    <col min="1287" max="1287" width="10.109375" style="155" customWidth="1"/>
    <col min="1288" max="1288" width="8.88671875" style="155"/>
    <col min="1289" max="1289" width="9.6640625" style="155" bestFit="1" customWidth="1"/>
    <col min="1290" max="1537" width="8.88671875" style="155"/>
    <col min="1538" max="1538" width="12.88671875" style="155" bestFit="1" customWidth="1"/>
    <col min="1539" max="1539" width="11.6640625" style="155" customWidth="1"/>
    <col min="1540" max="1540" width="10.44140625" style="155" customWidth="1"/>
    <col min="1541" max="1541" width="12.44140625" style="155" customWidth="1"/>
    <col min="1542" max="1542" width="8.88671875" style="155"/>
    <col min="1543" max="1543" width="10.109375" style="155" customWidth="1"/>
    <col min="1544" max="1544" width="8.88671875" style="155"/>
    <col min="1545" max="1545" width="9.6640625" style="155" bestFit="1" customWidth="1"/>
    <col min="1546" max="1793" width="8.88671875" style="155"/>
    <col min="1794" max="1794" width="12.88671875" style="155" bestFit="1" customWidth="1"/>
    <col min="1795" max="1795" width="11.6640625" style="155" customWidth="1"/>
    <col min="1796" max="1796" width="10.44140625" style="155" customWidth="1"/>
    <col min="1797" max="1797" width="12.44140625" style="155" customWidth="1"/>
    <col min="1798" max="1798" width="8.88671875" style="155"/>
    <col min="1799" max="1799" width="10.109375" style="155" customWidth="1"/>
    <col min="1800" max="1800" width="8.88671875" style="155"/>
    <col min="1801" max="1801" width="9.6640625" style="155" bestFit="1" customWidth="1"/>
    <col min="1802" max="2049" width="8.88671875" style="155"/>
    <col min="2050" max="2050" width="12.88671875" style="155" bestFit="1" customWidth="1"/>
    <col min="2051" max="2051" width="11.6640625" style="155" customWidth="1"/>
    <col min="2052" max="2052" width="10.44140625" style="155" customWidth="1"/>
    <col min="2053" max="2053" width="12.44140625" style="155" customWidth="1"/>
    <col min="2054" max="2054" width="8.88671875" style="155"/>
    <col min="2055" max="2055" width="10.109375" style="155" customWidth="1"/>
    <col min="2056" max="2056" width="8.88671875" style="155"/>
    <col min="2057" max="2057" width="9.6640625" style="155" bestFit="1" customWidth="1"/>
    <col min="2058" max="2305" width="8.88671875" style="155"/>
    <col min="2306" max="2306" width="12.88671875" style="155" bestFit="1" customWidth="1"/>
    <col min="2307" max="2307" width="11.6640625" style="155" customWidth="1"/>
    <col min="2308" max="2308" width="10.44140625" style="155" customWidth="1"/>
    <col min="2309" max="2309" width="12.44140625" style="155" customWidth="1"/>
    <col min="2310" max="2310" width="8.88671875" style="155"/>
    <col min="2311" max="2311" width="10.109375" style="155" customWidth="1"/>
    <col min="2312" max="2312" width="8.88671875" style="155"/>
    <col min="2313" max="2313" width="9.6640625" style="155" bestFit="1" customWidth="1"/>
    <col min="2314" max="2561" width="8.88671875" style="155"/>
    <col min="2562" max="2562" width="12.88671875" style="155" bestFit="1" customWidth="1"/>
    <col min="2563" max="2563" width="11.6640625" style="155" customWidth="1"/>
    <col min="2564" max="2564" width="10.44140625" style="155" customWidth="1"/>
    <col min="2565" max="2565" width="12.44140625" style="155" customWidth="1"/>
    <col min="2566" max="2566" width="8.88671875" style="155"/>
    <col min="2567" max="2567" width="10.109375" style="155" customWidth="1"/>
    <col min="2568" max="2568" width="8.88671875" style="155"/>
    <col min="2569" max="2569" width="9.6640625" style="155" bestFit="1" customWidth="1"/>
    <col min="2570" max="2817" width="8.88671875" style="155"/>
    <col min="2818" max="2818" width="12.88671875" style="155" bestFit="1" customWidth="1"/>
    <col min="2819" max="2819" width="11.6640625" style="155" customWidth="1"/>
    <col min="2820" max="2820" width="10.44140625" style="155" customWidth="1"/>
    <col min="2821" max="2821" width="12.44140625" style="155" customWidth="1"/>
    <col min="2822" max="2822" width="8.88671875" style="155"/>
    <col min="2823" max="2823" width="10.109375" style="155" customWidth="1"/>
    <col min="2824" max="2824" width="8.88671875" style="155"/>
    <col min="2825" max="2825" width="9.6640625" style="155" bestFit="1" customWidth="1"/>
    <col min="2826" max="3073" width="8.88671875" style="155"/>
    <col min="3074" max="3074" width="12.88671875" style="155" bestFit="1" customWidth="1"/>
    <col min="3075" max="3075" width="11.6640625" style="155" customWidth="1"/>
    <col min="3076" max="3076" width="10.44140625" style="155" customWidth="1"/>
    <col min="3077" max="3077" width="12.44140625" style="155" customWidth="1"/>
    <col min="3078" max="3078" width="8.88671875" style="155"/>
    <col min="3079" max="3079" width="10.109375" style="155" customWidth="1"/>
    <col min="3080" max="3080" width="8.88671875" style="155"/>
    <col min="3081" max="3081" width="9.6640625" style="155" bestFit="1" customWidth="1"/>
    <col min="3082" max="3329" width="8.88671875" style="155"/>
    <col min="3330" max="3330" width="12.88671875" style="155" bestFit="1" customWidth="1"/>
    <col min="3331" max="3331" width="11.6640625" style="155" customWidth="1"/>
    <col min="3332" max="3332" width="10.44140625" style="155" customWidth="1"/>
    <col min="3333" max="3333" width="12.44140625" style="155" customWidth="1"/>
    <col min="3334" max="3334" width="8.88671875" style="155"/>
    <col min="3335" max="3335" width="10.109375" style="155" customWidth="1"/>
    <col min="3336" max="3336" width="8.88671875" style="155"/>
    <col min="3337" max="3337" width="9.6640625" style="155" bestFit="1" customWidth="1"/>
    <col min="3338" max="3585" width="8.88671875" style="155"/>
    <col min="3586" max="3586" width="12.88671875" style="155" bestFit="1" customWidth="1"/>
    <col min="3587" max="3587" width="11.6640625" style="155" customWidth="1"/>
    <col min="3588" max="3588" width="10.44140625" style="155" customWidth="1"/>
    <col min="3589" max="3589" width="12.44140625" style="155" customWidth="1"/>
    <col min="3590" max="3590" width="8.88671875" style="155"/>
    <col min="3591" max="3591" width="10.109375" style="155" customWidth="1"/>
    <col min="3592" max="3592" width="8.88671875" style="155"/>
    <col min="3593" max="3593" width="9.6640625" style="155" bestFit="1" customWidth="1"/>
    <col min="3594" max="3841" width="8.88671875" style="155"/>
    <col min="3842" max="3842" width="12.88671875" style="155" bestFit="1" customWidth="1"/>
    <col min="3843" max="3843" width="11.6640625" style="155" customWidth="1"/>
    <col min="3844" max="3844" width="10.44140625" style="155" customWidth="1"/>
    <col min="3845" max="3845" width="12.44140625" style="155" customWidth="1"/>
    <col min="3846" max="3846" width="8.88671875" style="155"/>
    <col min="3847" max="3847" width="10.109375" style="155" customWidth="1"/>
    <col min="3848" max="3848" width="8.88671875" style="155"/>
    <col min="3849" max="3849" width="9.6640625" style="155" bestFit="1" customWidth="1"/>
    <col min="3850" max="4097" width="8.88671875" style="155"/>
    <col min="4098" max="4098" width="12.88671875" style="155" bestFit="1" customWidth="1"/>
    <col min="4099" max="4099" width="11.6640625" style="155" customWidth="1"/>
    <col min="4100" max="4100" width="10.44140625" style="155" customWidth="1"/>
    <col min="4101" max="4101" width="12.44140625" style="155" customWidth="1"/>
    <col min="4102" max="4102" width="8.88671875" style="155"/>
    <col min="4103" max="4103" width="10.109375" style="155" customWidth="1"/>
    <col min="4104" max="4104" width="8.88671875" style="155"/>
    <col min="4105" max="4105" width="9.6640625" style="155" bestFit="1" customWidth="1"/>
    <col min="4106" max="4353" width="8.88671875" style="155"/>
    <col min="4354" max="4354" width="12.88671875" style="155" bestFit="1" customWidth="1"/>
    <col min="4355" max="4355" width="11.6640625" style="155" customWidth="1"/>
    <col min="4356" max="4356" width="10.44140625" style="155" customWidth="1"/>
    <col min="4357" max="4357" width="12.44140625" style="155" customWidth="1"/>
    <col min="4358" max="4358" width="8.88671875" style="155"/>
    <col min="4359" max="4359" width="10.109375" style="155" customWidth="1"/>
    <col min="4360" max="4360" width="8.88671875" style="155"/>
    <col min="4361" max="4361" width="9.6640625" style="155" bestFit="1" customWidth="1"/>
    <col min="4362" max="4609" width="8.88671875" style="155"/>
    <col min="4610" max="4610" width="12.88671875" style="155" bestFit="1" customWidth="1"/>
    <col min="4611" max="4611" width="11.6640625" style="155" customWidth="1"/>
    <col min="4612" max="4612" width="10.44140625" style="155" customWidth="1"/>
    <col min="4613" max="4613" width="12.44140625" style="155" customWidth="1"/>
    <col min="4614" max="4614" width="8.88671875" style="155"/>
    <col min="4615" max="4615" width="10.109375" style="155" customWidth="1"/>
    <col min="4616" max="4616" width="8.88671875" style="155"/>
    <col min="4617" max="4617" width="9.6640625" style="155" bestFit="1" customWidth="1"/>
    <col min="4618" max="4865" width="8.88671875" style="155"/>
    <col min="4866" max="4866" width="12.88671875" style="155" bestFit="1" customWidth="1"/>
    <col min="4867" max="4867" width="11.6640625" style="155" customWidth="1"/>
    <col min="4868" max="4868" width="10.44140625" style="155" customWidth="1"/>
    <col min="4869" max="4869" width="12.44140625" style="155" customWidth="1"/>
    <col min="4870" max="4870" width="8.88671875" style="155"/>
    <col min="4871" max="4871" width="10.109375" style="155" customWidth="1"/>
    <col min="4872" max="4872" width="8.88671875" style="155"/>
    <col min="4873" max="4873" width="9.6640625" style="155" bestFit="1" customWidth="1"/>
    <col min="4874" max="5121" width="8.88671875" style="155"/>
    <col min="5122" max="5122" width="12.88671875" style="155" bestFit="1" customWidth="1"/>
    <col min="5123" max="5123" width="11.6640625" style="155" customWidth="1"/>
    <col min="5124" max="5124" width="10.44140625" style="155" customWidth="1"/>
    <col min="5125" max="5125" width="12.44140625" style="155" customWidth="1"/>
    <col min="5126" max="5126" width="8.88671875" style="155"/>
    <col min="5127" max="5127" width="10.109375" style="155" customWidth="1"/>
    <col min="5128" max="5128" width="8.88671875" style="155"/>
    <col min="5129" max="5129" width="9.6640625" style="155" bestFit="1" customWidth="1"/>
    <col min="5130" max="5377" width="8.88671875" style="155"/>
    <col min="5378" max="5378" width="12.88671875" style="155" bestFit="1" customWidth="1"/>
    <col min="5379" max="5379" width="11.6640625" style="155" customWidth="1"/>
    <col min="5380" max="5380" width="10.44140625" style="155" customWidth="1"/>
    <col min="5381" max="5381" width="12.44140625" style="155" customWidth="1"/>
    <col min="5382" max="5382" width="8.88671875" style="155"/>
    <col min="5383" max="5383" width="10.109375" style="155" customWidth="1"/>
    <col min="5384" max="5384" width="8.88671875" style="155"/>
    <col min="5385" max="5385" width="9.6640625" style="155" bestFit="1" customWidth="1"/>
    <col min="5386" max="5633" width="8.88671875" style="155"/>
    <col min="5634" max="5634" width="12.88671875" style="155" bestFit="1" customWidth="1"/>
    <col min="5635" max="5635" width="11.6640625" style="155" customWidth="1"/>
    <col min="5636" max="5636" width="10.44140625" style="155" customWidth="1"/>
    <col min="5637" max="5637" width="12.44140625" style="155" customWidth="1"/>
    <col min="5638" max="5638" width="8.88671875" style="155"/>
    <col min="5639" max="5639" width="10.109375" style="155" customWidth="1"/>
    <col min="5640" max="5640" width="8.88671875" style="155"/>
    <col min="5641" max="5641" width="9.6640625" style="155" bestFit="1" customWidth="1"/>
    <col min="5642" max="5889" width="8.88671875" style="155"/>
    <col min="5890" max="5890" width="12.88671875" style="155" bestFit="1" customWidth="1"/>
    <col min="5891" max="5891" width="11.6640625" style="155" customWidth="1"/>
    <col min="5892" max="5892" width="10.44140625" style="155" customWidth="1"/>
    <col min="5893" max="5893" width="12.44140625" style="155" customWidth="1"/>
    <col min="5894" max="5894" width="8.88671875" style="155"/>
    <col min="5895" max="5895" width="10.109375" style="155" customWidth="1"/>
    <col min="5896" max="5896" width="8.88671875" style="155"/>
    <col min="5897" max="5897" width="9.6640625" style="155" bestFit="1" customWidth="1"/>
    <col min="5898" max="6145" width="8.88671875" style="155"/>
    <col min="6146" max="6146" width="12.88671875" style="155" bestFit="1" customWidth="1"/>
    <col min="6147" max="6147" width="11.6640625" style="155" customWidth="1"/>
    <col min="6148" max="6148" width="10.44140625" style="155" customWidth="1"/>
    <col min="6149" max="6149" width="12.44140625" style="155" customWidth="1"/>
    <col min="6150" max="6150" width="8.88671875" style="155"/>
    <col min="6151" max="6151" width="10.109375" style="155" customWidth="1"/>
    <col min="6152" max="6152" width="8.88671875" style="155"/>
    <col min="6153" max="6153" width="9.6640625" style="155" bestFit="1" customWidth="1"/>
    <col min="6154" max="6401" width="8.88671875" style="155"/>
    <col min="6402" max="6402" width="12.88671875" style="155" bestFit="1" customWidth="1"/>
    <col min="6403" max="6403" width="11.6640625" style="155" customWidth="1"/>
    <col min="6404" max="6404" width="10.44140625" style="155" customWidth="1"/>
    <col min="6405" max="6405" width="12.44140625" style="155" customWidth="1"/>
    <col min="6406" max="6406" width="8.88671875" style="155"/>
    <col min="6407" max="6407" width="10.109375" style="155" customWidth="1"/>
    <col min="6408" max="6408" width="8.88671875" style="155"/>
    <col min="6409" max="6409" width="9.6640625" style="155" bestFit="1" customWidth="1"/>
    <col min="6410" max="6657" width="8.88671875" style="155"/>
    <col min="6658" max="6658" width="12.88671875" style="155" bestFit="1" customWidth="1"/>
    <col min="6659" max="6659" width="11.6640625" style="155" customWidth="1"/>
    <col min="6660" max="6660" width="10.44140625" style="155" customWidth="1"/>
    <col min="6661" max="6661" width="12.44140625" style="155" customWidth="1"/>
    <col min="6662" max="6662" width="8.88671875" style="155"/>
    <col min="6663" max="6663" width="10.109375" style="155" customWidth="1"/>
    <col min="6664" max="6664" width="8.88671875" style="155"/>
    <col min="6665" max="6665" width="9.6640625" style="155" bestFit="1" customWidth="1"/>
    <col min="6666" max="6913" width="8.88671875" style="155"/>
    <col min="6914" max="6914" width="12.88671875" style="155" bestFit="1" customWidth="1"/>
    <col min="6915" max="6915" width="11.6640625" style="155" customWidth="1"/>
    <col min="6916" max="6916" width="10.44140625" style="155" customWidth="1"/>
    <col min="6917" max="6917" width="12.44140625" style="155" customWidth="1"/>
    <col min="6918" max="6918" width="8.88671875" style="155"/>
    <col min="6919" max="6919" width="10.109375" style="155" customWidth="1"/>
    <col min="6920" max="6920" width="8.88671875" style="155"/>
    <col min="6921" max="6921" width="9.6640625" style="155" bestFit="1" customWidth="1"/>
    <col min="6922" max="7169" width="8.88671875" style="155"/>
    <col min="7170" max="7170" width="12.88671875" style="155" bestFit="1" customWidth="1"/>
    <col min="7171" max="7171" width="11.6640625" style="155" customWidth="1"/>
    <col min="7172" max="7172" width="10.44140625" style="155" customWidth="1"/>
    <col min="7173" max="7173" width="12.44140625" style="155" customWidth="1"/>
    <col min="7174" max="7174" width="8.88671875" style="155"/>
    <col min="7175" max="7175" width="10.109375" style="155" customWidth="1"/>
    <col min="7176" max="7176" width="8.88671875" style="155"/>
    <col min="7177" max="7177" width="9.6640625" style="155" bestFit="1" customWidth="1"/>
    <col min="7178" max="7425" width="8.88671875" style="155"/>
    <col min="7426" max="7426" width="12.88671875" style="155" bestFit="1" customWidth="1"/>
    <col min="7427" max="7427" width="11.6640625" style="155" customWidth="1"/>
    <col min="7428" max="7428" width="10.44140625" style="155" customWidth="1"/>
    <col min="7429" max="7429" width="12.44140625" style="155" customWidth="1"/>
    <col min="7430" max="7430" width="8.88671875" style="155"/>
    <col min="7431" max="7431" width="10.109375" style="155" customWidth="1"/>
    <col min="7432" max="7432" width="8.88671875" style="155"/>
    <col min="7433" max="7433" width="9.6640625" style="155" bestFit="1" customWidth="1"/>
    <col min="7434" max="7681" width="8.88671875" style="155"/>
    <col min="7682" max="7682" width="12.88671875" style="155" bestFit="1" customWidth="1"/>
    <col min="7683" max="7683" width="11.6640625" style="155" customWidth="1"/>
    <col min="7684" max="7684" width="10.44140625" style="155" customWidth="1"/>
    <col min="7685" max="7685" width="12.44140625" style="155" customWidth="1"/>
    <col min="7686" max="7686" width="8.88671875" style="155"/>
    <col min="7687" max="7687" width="10.109375" style="155" customWidth="1"/>
    <col min="7688" max="7688" width="8.88671875" style="155"/>
    <col min="7689" max="7689" width="9.6640625" style="155" bestFit="1" customWidth="1"/>
    <col min="7690" max="7937" width="8.88671875" style="155"/>
    <col min="7938" max="7938" width="12.88671875" style="155" bestFit="1" customWidth="1"/>
    <col min="7939" max="7939" width="11.6640625" style="155" customWidth="1"/>
    <col min="7940" max="7940" width="10.44140625" style="155" customWidth="1"/>
    <col min="7941" max="7941" width="12.44140625" style="155" customWidth="1"/>
    <col min="7942" max="7942" width="8.88671875" style="155"/>
    <col min="7943" max="7943" width="10.109375" style="155" customWidth="1"/>
    <col min="7944" max="7944" width="8.88671875" style="155"/>
    <col min="7945" max="7945" width="9.6640625" style="155" bestFit="1" customWidth="1"/>
    <col min="7946" max="8193" width="8.88671875" style="155"/>
    <col min="8194" max="8194" width="12.88671875" style="155" bestFit="1" customWidth="1"/>
    <col min="8195" max="8195" width="11.6640625" style="155" customWidth="1"/>
    <col min="8196" max="8196" width="10.44140625" style="155" customWidth="1"/>
    <col min="8197" max="8197" width="12.44140625" style="155" customWidth="1"/>
    <col min="8198" max="8198" width="8.88671875" style="155"/>
    <col min="8199" max="8199" width="10.109375" style="155" customWidth="1"/>
    <col min="8200" max="8200" width="8.88671875" style="155"/>
    <col min="8201" max="8201" width="9.6640625" style="155" bestFit="1" customWidth="1"/>
    <col min="8202" max="8449" width="8.88671875" style="155"/>
    <col min="8450" max="8450" width="12.88671875" style="155" bestFit="1" customWidth="1"/>
    <col min="8451" max="8451" width="11.6640625" style="155" customWidth="1"/>
    <col min="8452" max="8452" width="10.44140625" style="155" customWidth="1"/>
    <col min="8453" max="8453" width="12.44140625" style="155" customWidth="1"/>
    <col min="8454" max="8454" width="8.88671875" style="155"/>
    <col min="8455" max="8455" width="10.109375" style="155" customWidth="1"/>
    <col min="8456" max="8456" width="8.88671875" style="155"/>
    <col min="8457" max="8457" width="9.6640625" style="155" bestFit="1" customWidth="1"/>
    <col min="8458" max="8705" width="8.88671875" style="155"/>
    <col min="8706" max="8706" width="12.88671875" style="155" bestFit="1" customWidth="1"/>
    <col min="8707" max="8707" width="11.6640625" style="155" customWidth="1"/>
    <col min="8708" max="8708" width="10.44140625" style="155" customWidth="1"/>
    <col min="8709" max="8709" width="12.44140625" style="155" customWidth="1"/>
    <col min="8710" max="8710" width="8.88671875" style="155"/>
    <col min="8711" max="8711" width="10.109375" style="155" customWidth="1"/>
    <col min="8712" max="8712" width="8.88671875" style="155"/>
    <col min="8713" max="8713" width="9.6640625" style="155" bestFit="1" customWidth="1"/>
    <col min="8714" max="8961" width="8.88671875" style="155"/>
    <col min="8962" max="8962" width="12.88671875" style="155" bestFit="1" customWidth="1"/>
    <col min="8963" max="8963" width="11.6640625" style="155" customWidth="1"/>
    <col min="8964" max="8964" width="10.44140625" style="155" customWidth="1"/>
    <col min="8965" max="8965" width="12.44140625" style="155" customWidth="1"/>
    <col min="8966" max="8966" width="8.88671875" style="155"/>
    <col min="8967" max="8967" width="10.109375" style="155" customWidth="1"/>
    <col min="8968" max="8968" width="8.88671875" style="155"/>
    <col min="8969" max="8969" width="9.6640625" style="155" bestFit="1" customWidth="1"/>
    <col min="8970" max="9217" width="8.88671875" style="155"/>
    <col min="9218" max="9218" width="12.88671875" style="155" bestFit="1" customWidth="1"/>
    <col min="9219" max="9219" width="11.6640625" style="155" customWidth="1"/>
    <col min="9220" max="9220" width="10.44140625" style="155" customWidth="1"/>
    <col min="9221" max="9221" width="12.44140625" style="155" customWidth="1"/>
    <col min="9222" max="9222" width="8.88671875" style="155"/>
    <col min="9223" max="9223" width="10.109375" style="155" customWidth="1"/>
    <col min="9224" max="9224" width="8.88671875" style="155"/>
    <col min="9225" max="9225" width="9.6640625" style="155" bestFit="1" customWidth="1"/>
    <col min="9226" max="9473" width="8.88671875" style="155"/>
    <col min="9474" max="9474" width="12.88671875" style="155" bestFit="1" customWidth="1"/>
    <col min="9475" max="9475" width="11.6640625" style="155" customWidth="1"/>
    <col min="9476" max="9476" width="10.44140625" style="155" customWidth="1"/>
    <col min="9477" max="9477" width="12.44140625" style="155" customWidth="1"/>
    <col min="9478" max="9478" width="8.88671875" style="155"/>
    <col min="9479" max="9479" width="10.109375" style="155" customWidth="1"/>
    <col min="9480" max="9480" width="8.88671875" style="155"/>
    <col min="9481" max="9481" width="9.6640625" style="155" bestFit="1" customWidth="1"/>
    <col min="9482" max="9729" width="8.88671875" style="155"/>
    <col min="9730" max="9730" width="12.88671875" style="155" bestFit="1" customWidth="1"/>
    <col min="9731" max="9731" width="11.6640625" style="155" customWidth="1"/>
    <col min="9732" max="9732" width="10.44140625" style="155" customWidth="1"/>
    <col min="9733" max="9733" width="12.44140625" style="155" customWidth="1"/>
    <col min="9734" max="9734" width="8.88671875" style="155"/>
    <col min="9735" max="9735" width="10.109375" style="155" customWidth="1"/>
    <col min="9736" max="9736" width="8.88671875" style="155"/>
    <col min="9737" max="9737" width="9.6640625" style="155" bestFit="1" customWidth="1"/>
    <col min="9738" max="9985" width="8.88671875" style="155"/>
    <col min="9986" max="9986" width="12.88671875" style="155" bestFit="1" customWidth="1"/>
    <col min="9987" max="9987" width="11.6640625" style="155" customWidth="1"/>
    <col min="9988" max="9988" width="10.44140625" style="155" customWidth="1"/>
    <col min="9989" max="9989" width="12.44140625" style="155" customWidth="1"/>
    <col min="9990" max="9990" width="8.88671875" style="155"/>
    <col min="9991" max="9991" width="10.109375" style="155" customWidth="1"/>
    <col min="9992" max="9992" width="8.88671875" style="155"/>
    <col min="9993" max="9993" width="9.6640625" style="155" bestFit="1" customWidth="1"/>
    <col min="9994" max="10241" width="8.88671875" style="155"/>
    <col min="10242" max="10242" width="12.88671875" style="155" bestFit="1" customWidth="1"/>
    <col min="10243" max="10243" width="11.6640625" style="155" customWidth="1"/>
    <col min="10244" max="10244" width="10.44140625" style="155" customWidth="1"/>
    <col min="10245" max="10245" width="12.44140625" style="155" customWidth="1"/>
    <col min="10246" max="10246" width="8.88671875" style="155"/>
    <col min="10247" max="10247" width="10.109375" style="155" customWidth="1"/>
    <col min="10248" max="10248" width="8.88671875" style="155"/>
    <col min="10249" max="10249" width="9.6640625" style="155" bestFit="1" customWidth="1"/>
    <col min="10250" max="10497" width="8.88671875" style="155"/>
    <col min="10498" max="10498" width="12.88671875" style="155" bestFit="1" customWidth="1"/>
    <col min="10499" max="10499" width="11.6640625" style="155" customWidth="1"/>
    <col min="10500" max="10500" width="10.44140625" style="155" customWidth="1"/>
    <col min="10501" max="10501" width="12.44140625" style="155" customWidth="1"/>
    <col min="10502" max="10502" width="8.88671875" style="155"/>
    <col min="10503" max="10503" width="10.109375" style="155" customWidth="1"/>
    <col min="10504" max="10504" width="8.88671875" style="155"/>
    <col min="10505" max="10505" width="9.6640625" style="155" bestFit="1" customWidth="1"/>
    <col min="10506" max="10753" width="8.88671875" style="155"/>
    <col min="10754" max="10754" width="12.88671875" style="155" bestFit="1" customWidth="1"/>
    <col min="10755" max="10755" width="11.6640625" style="155" customWidth="1"/>
    <col min="10756" max="10756" width="10.44140625" style="155" customWidth="1"/>
    <col min="10757" max="10757" width="12.44140625" style="155" customWidth="1"/>
    <col min="10758" max="10758" width="8.88671875" style="155"/>
    <col min="10759" max="10759" width="10.109375" style="155" customWidth="1"/>
    <col min="10760" max="10760" width="8.88671875" style="155"/>
    <col min="10761" max="10761" width="9.6640625" style="155" bestFit="1" customWidth="1"/>
    <col min="10762" max="11009" width="8.88671875" style="155"/>
    <col min="11010" max="11010" width="12.88671875" style="155" bestFit="1" customWidth="1"/>
    <col min="11011" max="11011" width="11.6640625" style="155" customWidth="1"/>
    <col min="11012" max="11012" width="10.44140625" style="155" customWidth="1"/>
    <col min="11013" max="11013" width="12.44140625" style="155" customWidth="1"/>
    <col min="11014" max="11014" width="8.88671875" style="155"/>
    <col min="11015" max="11015" width="10.109375" style="155" customWidth="1"/>
    <col min="11016" max="11016" width="8.88671875" style="155"/>
    <col min="11017" max="11017" width="9.6640625" style="155" bestFit="1" customWidth="1"/>
    <col min="11018" max="11265" width="8.88671875" style="155"/>
    <col min="11266" max="11266" width="12.88671875" style="155" bestFit="1" customWidth="1"/>
    <col min="11267" max="11267" width="11.6640625" style="155" customWidth="1"/>
    <col min="11268" max="11268" width="10.44140625" style="155" customWidth="1"/>
    <col min="11269" max="11269" width="12.44140625" style="155" customWidth="1"/>
    <col min="11270" max="11270" width="8.88671875" style="155"/>
    <col min="11271" max="11271" width="10.109375" style="155" customWidth="1"/>
    <col min="11272" max="11272" width="8.88671875" style="155"/>
    <col min="11273" max="11273" width="9.6640625" style="155" bestFit="1" customWidth="1"/>
    <col min="11274" max="11521" width="8.88671875" style="155"/>
    <col min="11522" max="11522" width="12.88671875" style="155" bestFit="1" customWidth="1"/>
    <col min="11523" max="11523" width="11.6640625" style="155" customWidth="1"/>
    <col min="11524" max="11524" width="10.44140625" style="155" customWidth="1"/>
    <col min="11525" max="11525" width="12.44140625" style="155" customWidth="1"/>
    <col min="11526" max="11526" width="8.88671875" style="155"/>
    <col min="11527" max="11527" width="10.109375" style="155" customWidth="1"/>
    <col min="11528" max="11528" width="8.88671875" style="155"/>
    <col min="11529" max="11529" width="9.6640625" style="155" bestFit="1" customWidth="1"/>
    <col min="11530" max="11777" width="8.88671875" style="155"/>
    <col min="11778" max="11778" width="12.88671875" style="155" bestFit="1" customWidth="1"/>
    <col min="11779" max="11779" width="11.6640625" style="155" customWidth="1"/>
    <col min="11780" max="11780" width="10.44140625" style="155" customWidth="1"/>
    <col min="11781" max="11781" width="12.44140625" style="155" customWidth="1"/>
    <col min="11782" max="11782" width="8.88671875" style="155"/>
    <col min="11783" max="11783" width="10.109375" style="155" customWidth="1"/>
    <col min="11784" max="11784" width="8.88671875" style="155"/>
    <col min="11785" max="11785" width="9.6640625" style="155" bestFit="1" customWidth="1"/>
    <col min="11786" max="12033" width="8.88671875" style="155"/>
    <col min="12034" max="12034" width="12.88671875" style="155" bestFit="1" customWidth="1"/>
    <col min="12035" max="12035" width="11.6640625" style="155" customWidth="1"/>
    <col min="12036" max="12036" width="10.44140625" style="155" customWidth="1"/>
    <col min="12037" max="12037" width="12.44140625" style="155" customWidth="1"/>
    <col min="12038" max="12038" width="8.88671875" style="155"/>
    <col min="12039" max="12039" width="10.109375" style="155" customWidth="1"/>
    <col min="12040" max="12040" width="8.88671875" style="155"/>
    <col min="12041" max="12041" width="9.6640625" style="155" bestFit="1" customWidth="1"/>
    <col min="12042" max="12289" width="8.88671875" style="155"/>
    <col min="12290" max="12290" width="12.88671875" style="155" bestFit="1" customWidth="1"/>
    <col min="12291" max="12291" width="11.6640625" style="155" customWidth="1"/>
    <col min="12292" max="12292" width="10.44140625" style="155" customWidth="1"/>
    <col min="12293" max="12293" width="12.44140625" style="155" customWidth="1"/>
    <col min="12294" max="12294" width="8.88671875" style="155"/>
    <col min="12295" max="12295" width="10.109375" style="155" customWidth="1"/>
    <col min="12296" max="12296" width="8.88671875" style="155"/>
    <col min="12297" max="12297" width="9.6640625" style="155" bestFit="1" customWidth="1"/>
    <col min="12298" max="12545" width="8.88671875" style="155"/>
    <col min="12546" max="12546" width="12.88671875" style="155" bestFit="1" customWidth="1"/>
    <col min="12547" max="12547" width="11.6640625" style="155" customWidth="1"/>
    <col min="12548" max="12548" width="10.44140625" style="155" customWidth="1"/>
    <col min="12549" max="12549" width="12.44140625" style="155" customWidth="1"/>
    <col min="12550" max="12550" width="8.88671875" style="155"/>
    <col min="12551" max="12551" width="10.109375" style="155" customWidth="1"/>
    <col min="12552" max="12552" width="8.88671875" style="155"/>
    <col min="12553" max="12553" width="9.6640625" style="155" bestFit="1" customWidth="1"/>
    <col min="12554" max="12801" width="8.88671875" style="155"/>
    <col min="12802" max="12802" width="12.88671875" style="155" bestFit="1" customWidth="1"/>
    <col min="12803" max="12803" width="11.6640625" style="155" customWidth="1"/>
    <col min="12804" max="12804" width="10.44140625" style="155" customWidth="1"/>
    <col min="12805" max="12805" width="12.44140625" style="155" customWidth="1"/>
    <col min="12806" max="12806" width="8.88671875" style="155"/>
    <col min="12807" max="12807" width="10.109375" style="155" customWidth="1"/>
    <col min="12808" max="12808" width="8.88671875" style="155"/>
    <col min="12809" max="12809" width="9.6640625" style="155" bestFit="1" customWidth="1"/>
    <col min="12810" max="13057" width="8.88671875" style="155"/>
    <col min="13058" max="13058" width="12.88671875" style="155" bestFit="1" customWidth="1"/>
    <col min="13059" max="13059" width="11.6640625" style="155" customWidth="1"/>
    <col min="13060" max="13060" width="10.44140625" style="155" customWidth="1"/>
    <col min="13061" max="13061" width="12.44140625" style="155" customWidth="1"/>
    <col min="13062" max="13062" width="8.88671875" style="155"/>
    <col min="13063" max="13063" width="10.109375" style="155" customWidth="1"/>
    <col min="13064" max="13064" width="8.88671875" style="155"/>
    <col min="13065" max="13065" width="9.6640625" style="155" bestFit="1" customWidth="1"/>
    <col min="13066" max="13313" width="8.88671875" style="155"/>
    <col min="13314" max="13314" width="12.88671875" style="155" bestFit="1" customWidth="1"/>
    <col min="13315" max="13315" width="11.6640625" style="155" customWidth="1"/>
    <col min="13316" max="13316" width="10.44140625" style="155" customWidth="1"/>
    <col min="13317" max="13317" width="12.44140625" style="155" customWidth="1"/>
    <col min="13318" max="13318" width="8.88671875" style="155"/>
    <col min="13319" max="13319" width="10.109375" style="155" customWidth="1"/>
    <col min="13320" max="13320" width="8.88671875" style="155"/>
    <col min="13321" max="13321" width="9.6640625" style="155" bestFit="1" customWidth="1"/>
    <col min="13322" max="13569" width="8.88671875" style="155"/>
    <col min="13570" max="13570" width="12.88671875" style="155" bestFit="1" customWidth="1"/>
    <col min="13571" max="13571" width="11.6640625" style="155" customWidth="1"/>
    <col min="13572" max="13572" width="10.44140625" style="155" customWidth="1"/>
    <col min="13573" max="13573" width="12.44140625" style="155" customWidth="1"/>
    <col min="13574" max="13574" width="8.88671875" style="155"/>
    <col min="13575" max="13575" width="10.109375" style="155" customWidth="1"/>
    <col min="13576" max="13576" width="8.88671875" style="155"/>
    <col min="13577" max="13577" width="9.6640625" style="155" bestFit="1" customWidth="1"/>
    <col min="13578" max="13825" width="8.88671875" style="155"/>
    <col min="13826" max="13826" width="12.88671875" style="155" bestFit="1" customWidth="1"/>
    <col min="13827" max="13827" width="11.6640625" style="155" customWidth="1"/>
    <col min="13828" max="13828" width="10.44140625" style="155" customWidth="1"/>
    <col min="13829" max="13829" width="12.44140625" style="155" customWidth="1"/>
    <col min="13830" max="13830" width="8.88671875" style="155"/>
    <col min="13831" max="13831" width="10.109375" style="155" customWidth="1"/>
    <col min="13832" max="13832" width="8.88671875" style="155"/>
    <col min="13833" max="13833" width="9.6640625" style="155" bestFit="1" customWidth="1"/>
    <col min="13834" max="14081" width="8.88671875" style="155"/>
    <col min="14082" max="14082" width="12.88671875" style="155" bestFit="1" customWidth="1"/>
    <col min="14083" max="14083" width="11.6640625" style="155" customWidth="1"/>
    <col min="14084" max="14084" width="10.44140625" style="155" customWidth="1"/>
    <col min="14085" max="14085" width="12.44140625" style="155" customWidth="1"/>
    <col min="14086" max="14086" width="8.88671875" style="155"/>
    <col min="14087" max="14087" width="10.109375" style="155" customWidth="1"/>
    <col min="14088" max="14088" width="8.88671875" style="155"/>
    <col min="14089" max="14089" width="9.6640625" style="155" bestFit="1" customWidth="1"/>
    <col min="14090" max="14337" width="8.88671875" style="155"/>
    <col min="14338" max="14338" width="12.88671875" style="155" bestFit="1" customWidth="1"/>
    <col min="14339" max="14339" width="11.6640625" style="155" customWidth="1"/>
    <col min="14340" max="14340" width="10.44140625" style="155" customWidth="1"/>
    <col min="14341" max="14341" width="12.44140625" style="155" customWidth="1"/>
    <col min="14342" max="14342" width="8.88671875" style="155"/>
    <col min="14343" max="14343" width="10.109375" style="155" customWidth="1"/>
    <col min="14344" max="14344" width="8.88671875" style="155"/>
    <col min="14345" max="14345" width="9.6640625" style="155" bestFit="1" customWidth="1"/>
    <col min="14346" max="14593" width="8.88671875" style="155"/>
    <col min="14594" max="14594" width="12.88671875" style="155" bestFit="1" customWidth="1"/>
    <col min="14595" max="14595" width="11.6640625" style="155" customWidth="1"/>
    <col min="14596" max="14596" width="10.44140625" style="155" customWidth="1"/>
    <col min="14597" max="14597" width="12.44140625" style="155" customWidth="1"/>
    <col min="14598" max="14598" width="8.88671875" style="155"/>
    <col min="14599" max="14599" width="10.109375" style="155" customWidth="1"/>
    <col min="14600" max="14600" width="8.88671875" style="155"/>
    <col min="14601" max="14601" width="9.6640625" style="155" bestFit="1" customWidth="1"/>
    <col min="14602" max="14849" width="8.88671875" style="155"/>
    <col min="14850" max="14850" width="12.88671875" style="155" bestFit="1" customWidth="1"/>
    <col min="14851" max="14851" width="11.6640625" style="155" customWidth="1"/>
    <col min="14852" max="14852" width="10.44140625" style="155" customWidth="1"/>
    <col min="14853" max="14853" width="12.44140625" style="155" customWidth="1"/>
    <col min="14854" max="14854" width="8.88671875" style="155"/>
    <col min="14855" max="14855" width="10.109375" style="155" customWidth="1"/>
    <col min="14856" max="14856" width="8.88671875" style="155"/>
    <col min="14857" max="14857" width="9.6640625" style="155" bestFit="1" customWidth="1"/>
    <col min="14858" max="15105" width="8.88671875" style="155"/>
    <col min="15106" max="15106" width="12.88671875" style="155" bestFit="1" customWidth="1"/>
    <col min="15107" max="15107" width="11.6640625" style="155" customWidth="1"/>
    <col min="15108" max="15108" width="10.44140625" style="155" customWidth="1"/>
    <col min="15109" max="15109" width="12.44140625" style="155" customWidth="1"/>
    <col min="15110" max="15110" width="8.88671875" style="155"/>
    <col min="15111" max="15111" width="10.109375" style="155" customWidth="1"/>
    <col min="15112" max="15112" width="8.88671875" style="155"/>
    <col min="15113" max="15113" width="9.6640625" style="155" bestFit="1" customWidth="1"/>
    <col min="15114" max="15361" width="8.88671875" style="155"/>
    <col min="15362" max="15362" width="12.88671875" style="155" bestFit="1" customWidth="1"/>
    <col min="15363" max="15363" width="11.6640625" style="155" customWidth="1"/>
    <col min="15364" max="15364" width="10.44140625" style="155" customWidth="1"/>
    <col min="15365" max="15365" width="12.44140625" style="155" customWidth="1"/>
    <col min="15366" max="15366" width="8.88671875" style="155"/>
    <col min="15367" max="15367" width="10.109375" style="155" customWidth="1"/>
    <col min="15368" max="15368" width="8.88671875" style="155"/>
    <col min="15369" max="15369" width="9.6640625" style="155" bestFit="1" customWidth="1"/>
    <col min="15370" max="15617" width="8.88671875" style="155"/>
    <col min="15618" max="15618" width="12.88671875" style="155" bestFit="1" customWidth="1"/>
    <col min="15619" max="15619" width="11.6640625" style="155" customWidth="1"/>
    <col min="15620" max="15620" width="10.44140625" style="155" customWidth="1"/>
    <col min="15621" max="15621" width="12.44140625" style="155" customWidth="1"/>
    <col min="15622" max="15622" width="8.88671875" style="155"/>
    <col min="15623" max="15623" width="10.109375" style="155" customWidth="1"/>
    <col min="15624" max="15624" width="8.88671875" style="155"/>
    <col min="15625" max="15625" width="9.6640625" style="155" bestFit="1" customWidth="1"/>
    <col min="15626" max="15873" width="8.88671875" style="155"/>
    <col min="15874" max="15874" width="12.88671875" style="155" bestFit="1" customWidth="1"/>
    <col min="15875" max="15875" width="11.6640625" style="155" customWidth="1"/>
    <col min="15876" max="15876" width="10.44140625" style="155" customWidth="1"/>
    <col min="15877" max="15877" width="12.44140625" style="155" customWidth="1"/>
    <col min="15878" max="15878" width="8.88671875" style="155"/>
    <col min="15879" max="15879" width="10.109375" style="155" customWidth="1"/>
    <col min="15880" max="15880" width="8.88671875" style="155"/>
    <col min="15881" max="15881" width="9.6640625" style="155" bestFit="1" customWidth="1"/>
    <col min="15882" max="16129" width="8.88671875" style="155"/>
    <col min="16130" max="16130" width="12.88671875" style="155" bestFit="1" customWidth="1"/>
    <col min="16131" max="16131" width="11.6640625" style="155" customWidth="1"/>
    <col min="16132" max="16132" width="10.44140625" style="155" customWidth="1"/>
    <col min="16133" max="16133" width="12.44140625" style="155" customWidth="1"/>
    <col min="16134" max="16134" width="8.88671875" style="155"/>
    <col min="16135" max="16135" width="10.109375" style="155" customWidth="1"/>
    <col min="16136" max="16136" width="8.88671875" style="155"/>
    <col min="16137" max="16137" width="9.6640625" style="155" bestFit="1" customWidth="1"/>
    <col min="16138" max="16384" width="8.88671875" style="155"/>
  </cols>
  <sheetData>
    <row r="1" spans="2:13" ht="13.8" thickBot="1" x14ac:dyDescent="0.3"/>
    <row r="2" spans="2:13" ht="18" x14ac:dyDescent="0.35">
      <c r="B2" s="244" t="s">
        <v>481</v>
      </c>
      <c r="C2" s="245"/>
      <c r="D2" s="245"/>
      <c r="E2" s="245"/>
      <c r="F2" s="245"/>
      <c r="G2" s="246"/>
    </row>
    <row r="3" spans="2:13" ht="34.200000000000003" customHeight="1" thickBot="1" x14ac:dyDescent="0.3">
      <c r="B3" s="247" t="s">
        <v>480</v>
      </c>
      <c r="C3" s="248"/>
      <c r="D3" s="248"/>
      <c r="E3" s="248"/>
      <c r="F3" s="248"/>
      <c r="G3" s="249"/>
    </row>
    <row r="4" spans="2:13" ht="13.8" customHeight="1" x14ac:dyDescent="0.25">
      <c r="B4" s="169"/>
      <c r="C4" s="169"/>
      <c r="D4" s="169"/>
      <c r="E4" s="169"/>
      <c r="F4" s="169"/>
      <c r="G4" s="169"/>
    </row>
    <row r="5" spans="2:13" ht="18" x14ac:dyDescent="0.25">
      <c r="B5" s="168" t="s">
        <v>479</v>
      </c>
      <c r="C5" s="168" t="s">
        <v>9</v>
      </c>
      <c r="D5" s="168" t="s">
        <v>391</v>
      </c>
      <c r="E5" s="168" t="s">
        <v>478</v>
      </c>
      <c r="F5" s="168" t="s">
        <v>13</v>
      </c>
      <c r="G5" s="168" t="s">
        <v>477</v>
      </c>
      <c r="H5" s="167"/>
      <c r="I5" s="166"/>
      <c r="J5" s="250" t="s">
        <v>476</v>
      </c>
      <c r="K5" s="250"/>
      <c r="L5" s="250"/>
      <c r="M5" s="250"/>
    </row>
    <row r="6" spans="2:13" ht="14.4" x14ac:dyDescent="0.3">
      <c r="B6" s="10"/>
      <c r="C6" s="162"/>
      <c r="D6" s="10"/>
      <c r="E6" s="10"/>
      <c r="F6" s="10"/>
      <c r="G6" s="10"/>
    </row>
    <row r="7" spans="2:13" ht="14.4" x14ac:dyDescent="0.3">
      <c r="B7" s="10"/>
      <c r="C7" s="162"/>
      <c r="D7" s="10"/>
      <c r="E7" s="10"/>
      <c r="F7" s="10"/>
      <c r="G7" s="10"/>
      <c r="J7" s="165" t="s">
        <v>52</v>
      </c>
      <c r="K7" s="165" t="s">
        <v>475</v>
      </c>
      <c r="L7" s="165" t="s">
        <v>21</v>
      </c>
      <c r="M7" s="165" t="s">
        <v>34</v>
      </c>
    </row>
    <row r="8" spans="2:13" ht="14.4" x14ac:dyDescent="0.3">
      <c r="B8" s="10"/>
      <c r="C8" s="162"/>
      <c r="D8" s="10"/>
      <c r="E8" s="10"/>
      <c r="F8" s="10"/>
      <c r="G8" s="10"/>
      <c r="J8" s="164" t="s">
        <v>474</v>
      </c>
      <c r="K8" s="163" t="s">
        <v>473</v>
      </c>
      <c r="L8" s="163" t="s">
        <v>472</v>
      </c>
      <c r="M8" s="163" t="s">
        <v>471</v>
      </c>
    </row>
    <row r="9" spans="2:13" ht="14.4" x14ac:dyDescent="0.3">
      <c r="B9" s="10"/>
      <c r="C9" s="162"/>
      <c r="D9" s="10"/>
      <c r="E9" s="10"/>
      <c r="F9" s="10"/>
      <c r="G9" s="10"/>
      <c r="J9" s="161" t="s">
        <v>470</v>
      </c>
      <c r="K9" s="160" t="s">
        <v>469</v>
      </c>
      <c r="L9" s="160" t="s">
        <v>468</v>
      </c>
      <c r="M9" s="160" t="s">
        <v>467</v>
      </c>
    </row>
    <row r="10" spans="2:13" ht="14.4" x14ac:dyDescent="0.3">
      <c r="B10" s="10"/>
      <c r="C10" s="10"/>
      <c r="D10" s="10"/>
      <c r="E10" s="10"/>
      <c r="F10" s="10"/>
      <c r="G10" s="10"/>
      <c r="J10" s="161" t="s">
        <v>466</v>
      </c>
      <c r="K10" s="160" t="s">
        <v>465</v>
      </c>
      <c r="L10" s="160" t="s">
        <v>464</v>
      </c>
      <c r="M10" s="160" t="s">
        <v>463</v>
      </c>
    </row>
    <row r="11" spans="2:13" ht="14.4" x14ac:dyDescent="0.3">
      <c r="B11" s="10"/>
      <c r="C11" s="10"/>
      <c r="D11" s="10"/>
      <c r="E11" s="10"/>
      <c r="F11" s="10"/>
      <c r="G11" s="10"/>
      <c r="J11" s="161" t="s">
        <v>462</v>
      </c>
      <c r="K11" s="160" t="s">
        <v>461</v>
      </c>
      <c r="L11" s="160" t="s">
        <v>460</v>
      </c>
      <c r="M11" s="160" t="s">
        <v>459</v>
      </c>
    </row>
    <row r="12" spans="2:13" ht="14.4" x14ac:dyDescent="0.3">
      <c r="B12" s="10"/>
      <c r="C12" s="10"/>
      <c r="D12" s="10"/>
      <c r="E12" s="10"/>
      <c r="F12" s="10"/>
      <c r="G12" s="10"/>
      <c r="J12" s="161" t="s">
        <v>458</v>
      </c>
      <c r="K12" s="160" t="s">
        <v>457</v>
      </c>
      <c r="L12" s="160" t="s">
        <v>456</v>
      </c>
      <c r="M12" s="160" t="s">
        <v>455</v>
      </c>
    </row>
    <row r="13" spans="2:13" ht="14.4" x14ac:dyDescent="0.3">
      <c r="B13" s="10"/>
      <c r="C13" s="10"/>
      <c r="D13" s="10"/>
      <c r="E13" s="10"/>
      <c r="F13" s="10"/>
      <c r="G13" s="10"/>
      <c r="J13" s="159" t="s">
        <v>454</v>
      </c>
      <c r="K13" s="158" t="s">
        <v>453</v>
      </c>
      <c r="L13" s="158" t="s">
        <v>452</v>
      </c>
      <c r="M13" s="158" t="s">
        <v>451</v>
      </c>
    </row>
    <row r="14" spans="2:13" ht="14.4" x14ac:dyDescent="0.3">
      <c r="B14" s="10"/>
      <c r="C14" s="10"/>
      <c r="D14" s="10"/>
      <c r="E14" s="10"/>
      <c r="F14" s="10"/>
      <c r="G14" s="10"/>
    </row>
    <row r="15" spans="2:13" ht="14.4" x14ac:dyDescent="0.3">
      <c r="B15" s="10"/>
      <c r="C15" s="10"/>
      <c r="D15" s="10"/>
      <c r="E15" s="10"/>
      <c r="F15" s="10"/>
      <c r="G15" s="10"/>
      <c r="K15" s="251" t="s">
        <v>450</v>
      </c>
      <c r="L15" s="251"/>
    </row>
    <row r="16" spans="2:13" ht="13.8" thickBot="1" x14ac:dyDescent="0.3"/>
    <row r="17" spans="2:9" x14ac:dyDescent="0.25">
      <c r="B17" s="252" t="s">
        <v>449</v>
      </c>
      <c r="C17" s="253"/>
      <c r="D17" s="253"/>
      <c r="E17" s="253"/>
      <c r="F17" s="253"/>
      <c r="G17" s="253"/>
      <c r="H17" s="254"/>
      <c r="I17" s="156"/>
    </row>
    <row r="18" spans="2:9" x14ac:dyDescent="0.25">
      <c r="B18" s="238" t="s">
        <v>448</v>
      </c>
      <c r="C18" s="239"/>
      <c r="D18" s="239"/>
      <c r="E18" s="239"/>
      <c r="F18" s="239"/>
      <c r="G18" s="239"/>
      <c r="H18" s="240"/>
    </row>
    <row r="19" spans="2:9" x14ac:dyDescent="0.25">
      <c r="B19" s="238" t="s">
        <v>447</v>
      </c>
      <c r="C19" s="239"/>
      <c r="D19" s="239"/>
      <c r="E19" s="239"/>
      <c r="F19" s="239"/>
      <c r="G19" s="239"/>
      <c r="H19" s="240"/>
    </row>
    <row r="20" spans="2:9" x14ac:dyDescent="0.25">
      <c r="B20" s="238" t="s">
        <v>446</v>
      </c>
      <c r="C20" s="239"/>
      <c r="D20" s="239"/>
      <c r="E20" s="239"/>
      <c r="F20" s="239"/>
      <c r="G20" s="239"/>
      <c r="H20" s="240"/>
    </row>
    <row r="21" spans="2:9" x14ac:dyDescent="0.25">
      <c r="B21" s="238" t="s">
        <v>445</v>
      </c>
      <c r="C21" s="239"/>
      <c r="D21" s="239"/>
      <c r="E21" s="239"/>
      <c r="F21" s="239"/>
      <c r="G21" s="239"/>
      <c r="H21" s="240"/>
    </row>
    <row r="22" spans="2:9" ht="13.8" thickBot="1" x14ac:dyDescent="0.3">
      <c r="B22" s="241" t="s">
        <v>444</v>
      </c>
      <c r="C22" s="242"/>
      <c r="D22" s="242"/>
      <c r="E22" s="242"/>
      <c r="F22" s="242"/>
      <c r="G22" s="242"/>
      <c r="H22" s="243"/>
    </row>
    <row r="24" spans="2:9" x14ac:dyDescent="0.25">
      <c r="I24" s="156"/>
    </row>
    <row r="25" spans="2:9" ht="15.6" x14ac:dyDescent="0.3">
      <c r="B25" s="157" t="s">
        <v>443</v>
      </c>
      <c r="C25" s="155" t="s">
        <v>442</v>
      </c>
      <c r="I25" s="156"/>
    </row>
    <row r="26" spans="2:9" x14ac:dyDescent="0.25">
      <c r="C26" s="155" t="s">
        <v>441</v>
      </c>
      <c r="I26" s="156"/>
    </row>
    <row r="27" spans="2:9" x14ac:dyDescent="0.25">
      <c r="I27" s="156"/>
    </row>
    <row r="28" spans="2:9" x14ac:dyDescent="0.25">
      <c r="I28" s="156"/>
    </row>
    <row r="29" spans="2:9" x14ac:dyDescent="0.25">
      <c r="I29" s="156"/>
    </row>
  </sheetData>
  <mergeCells count="10">
    <mergeCell ref="B21:H21"/>
    <mergeCell ref="B22:H22"/>
    <mergeCell ref="B2:G2"/>
    <mergeCell ref="B3:G3"/>
    <mergeCell ref="J5:M5"/>
    <mergeCell ref="K15:L15"/>
    <mergeCell ref="B17:H17"/>
    <mergeCell ref="B18:H18"/>
    <mergeCell ref="B19:H19"/>
    <mergeCell ref="B20:H20"/>
  </mergeCells>
  <dataValidations count="6">
    <dataValidation type="list" allowBlank="1" showInputMessage="1" showErrorMessage="1" errorTitle="Invalid Area" error="Please select a valid area from the dropdown list based on region." promptTitle="Area Selection" prompt="Choose area based on selected region in Column F." sqref="G6:G15" xr:uid="{96C2DF35-18D5-402A-B081-B70F5AEA5D61}">
      <formula1>INDIRECT(F6)</formula1>
    </dataValidation>
    <dataValidation type="list" allowBlank="1" showInputMessage="1" showErrorMessage="1" errorTitle="Invalid Region" error="Please select from East, West, North or South only." promptTitle="Select Region" prompt="Choose region from the list only." sqref="F6:F15" xr:uid="{F431EF1C-B8EF-4AE0-84D0-AFC1C95B2BC5}">
      <formula1>$J$7:$M$7</formula1>
    </dataValidation>
    <dataValidation type="custom" allowBlank="1" showInputMessage="1" showErrorMessage="1" errorTitle="Invalid UserID" error="UserID must be atleast 5 characters long." promptTitle="UserID Length" prompt="Please enter atleast 5 characters." sqref="E6:E15" xr:uid="{5A1AC1B1-F675-449B-87B7-D5B10E21FB40}">
      <formula1>LEN(E6)&gt;=5</formula1>
    </dataValidation>
    <dataValidation type="whole" allowBlank="1" showInputMessage="1" showErrorMessage="1" errorTitle="InValid Salary" error="Salary must be between ₹25,000 and ₹85,000." promptTitle="Valid Salary" prompt="Enter a Salary between ₹25,000 and ₹85,000." sqref="D6:D15" xr:uid="{AB461268-AD8A-40F7-8A9A-10F1082F60E4}">
      <formula1>25000</formula1>
      <formula2>85000</formula2>
    </dataValidation>
    <dataValidation type="date" operator="lessThanOrEqual" allowBlank="1" showInputMessage="1" showErrorMessage="1" errorTitle="Invalid Date" error="Birthdate after 2002 is not allowed." promptTitle="Valid Birthdate" prompt="Enter date of birth on or before 31-12-2002." sqref="C6:C15" xr:uid="{0B67811E-4D78-4D75-AF70-8212BDD263F3}">
      <formula1>37621</formula1>
    </dataValidation>
    <dataValidation type="whole" allowBlank="1" showInputMessage="1" showErrorMessage="1" errorTitle="Invalid Entry" error="Please enter number between 1 and 1000.Decimals are not allowed." promptTitle="Emp_Code Entry" prompt="Enter a whole number between 1 and 1000. Decimals are not allowed." sqref="B6:B15" xr:uid="{5CE957C0-1600-4884-A897-F3A06B789C5B}">
      <formula1>1</formula1>
      <formula2>1000</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1254D-E796-46E5-846F-3DFA1FD0401B}">
  <dimension ref="B2:S26"/>
  <sheetViews>
    <sheetView workbookViewId="0">
      <selection activeCell="I42" sqref="I42"/>
    </sheetView>
  </sheetViews>
  <sheetFormatPr defaultRowHeight="14.4" x14ac:dyDescent="0.3"/>
  <cols>
    <col min="2" max="2" width="10.109375" bestFit="1" customWidth="1"/>
    <col min="3" max="3" width="16" customWidth="1"/>
    <col min="4" max="4" width="8.5546875" customWidth="1"/>
    <col min="5" max="5" width="8.33203125" customWidth="1"/>
    <col min="9" max="9" width="6.88671875" bestFit="1" customWidth="1"/>
    <col min="10" max="18" width="9.6640625" customWidth="1"/>
    <col min="19" max="19" width="16.109375" customWidth="1"/>
  </cols>
  <sheetData>
    <row r="2" spans="2:19" x14ac:dyDescent="0.3">
      <c r="B2" s="267" t="s">
        <v>509</v>
      </c>
      <c r="C2" s="268"/>
      <c r="D2" s="268"/>
      <c r="E2" s="268"/>
      <c r="F2" s="269"/>
    </row>
    <row r="3" spans="2:19" ht="20.399999999999999" x14ac:dyDescent="0.35">
      <c r="B3" s="270" t="s">
        <v>508</v>
      </c>
      <c r="C3" s="271"/>
      <c r="D3" s="271"/>
      <c r="E3" s="271"/>
      <c r="F3" s="272"/>
    </row>
    <row r="4" spans="2:19" x14ac:dyDescent="0.3">
      <c r="B4" s="273" t="s">
        <v>507</v>
      </c>
      <c r="C4" s="274"/>
      <c r="D4" s="275"/>
      <c r="E4" s="274"/>
      <c r="F4" s="276"/>
      <c r="I4" s="277" t="s">
        <v>506</v>
      </c>
      <c r="J4" s="278"/>
      <c r="K4" s="278"/>
      <c r="L4" s="278"/>
      <c r="M4" s="278"/>
      <c r="N4" s="278"/>
      <c r="O4" s="278"/>
      <c r="P4" s="278"/>
      <c r="Q4" s="278"/>
      <c r="R4" s="278"/>
      <c r="S4" s="279"/>
    </row>
    <row r="5" spans="2:19" x14ac:dyDescent="0.3">
      <c r="B5" s="191" t="s">
        <v>505</v>
      </c>
      <c r="C5" s="196">
        <v>1</v>
      </c>
      <c r="D5" s="195"/>
      <c r="E5" s="283" t="str">
        <f>IFERROR(VLOOKUP(C7,'AS13-Customers'!A2:F13,3,FALSE),"")</f>
        <v>Tunis, Tunisia</v>
      </c>
      <c r="F5" s="284"/>
      <c r="I5" s="280"/>
      <c r="J5" s="281"/>
      <c r="K5" s="281"/>
      <c r="L5" s="281"/>
      <c r="M5" s="281"/>
      <c r="N5" s="281"/>
      <c r="O5" s="281"/>
      <c r="P5" s="281"/>
      <c r="Q5" s="281"/>
      <c r="R5" s="281"/>
      <c r="S5" s="282"/>
    </row>
    <row r="6" spans="2:19" x14ac:dyDescent="0.3">
      <c r="B6" s="191" t="s">
        <v>283</v>
      </c>
      <c r="C6" s="194">
        <f ca="1">TODAY()</f>
        <v>45864</v>
      </c>
      <c r="D6" s="193" t="s">
        <v>504</v>
      </c>
      <c r="E6" s="285"/>
      <c r="F6" s="286"/>
      <c r="J6" s="192"/>
      <c r="K6" s="192"/>
      <c r="L6" s="192"/>
      <c r="M6" s="192"/>
      <c r="N6" s="192"/>
      <c r="O6" s="192"/>
      <c r="P6" s="192"/>
      <c r="Q6" s="192"/>
      <c r="R6" s="192"/>
      <c r="S6" s="192"/>
    </row>
    <row r="7" spans="2:19" x14ac:dyDescent="0.3">
      <c r="B7" s="191" t="s">
        <v>503</v>
      </c>
      <c r="C7" s="190" t="s">
        <v>502</v>
      </c>
      <c r="D7" s="189"/>
      <c r="E7" s="287"/>
      <c r="F7" s="288"/>
      <c r="I7" s="289" t="s">
        <v>501</v>
      </c>
      <c r="J7" s="289"/>
    </row>
    <row r="8" spans="2:19" x14ac:dyDescent="0.3">
      <c r="B8" s="187" t="s">
        <v>384</v>
      </c>
      <c r="C8" s="187" t="s">
        <v>218</v>
      </c>
      <c r="D8" s="188" t="s">
        <v>500</v>
      </c>
      <c r="E8" s="187" t="s">
        <v>499</v>
      </c>
      <c r="F8" s="187" t="s">
        <v>498</v>
      </c>
    </row>
    <row r="9" spans="2:19" x14ac:dyDescent="0.3">
      <c r="B9" s="180">
        <f t="shared" ref="B9:B19" si="0">IF(C9&lt;&gt;"",ROW()-8,"")</f>
        <v>1</v>
      </c>
      <c r="C9" s="182" t="s">
        <v>497</v>
      </c>
      <c r="D9" s="180">
        <v>2</v>
      </c>
      <c r="E9" s="180">
        <f t="shared" ref="E9:E19" si="1">IFERROR(VLOOKUP(C9,Product,2,FALSE),"")</f>
        <v>50</v>
      </c>
      <c r="F9" s="179">
        <f t="shared" ref="F9:F19" si="2">IF(AND(ISNUMBER(D9),ISNUMBER(E9)),D9*E9,"")</f>
        <v>100</v>
      </c>
      <c r="I9" s="186">
        <v>1</v>
      </c>
      <c r="J9" s="257" t="s">
        <v>496</v>
      </c>
      <c r="K9" s="257"/>
      <c r="L9" s="257"/>
      <c r="M9" s="257"/>
      <c r="N9" s="257"/>
      <c r="O9" s="257"/>
      <c r="P9" s="257"/>
      <c r="Q9" s="257"/>
      <c r="R9" s="257"/>
      <c r="S9" s="258"/>
    </row>
    <row r="10" spans="2:19" x14ac:dyDescent="0.3">
      <c r="B10" s="180">
        <f t="shared" si="0"/>
        <v>2</v>
      </c>
      <c r="C10" s="182" t="s">
        <v>495</v>
      </c>
      <c r="D10" s="183">
        <v>30</v>
      </c>
      <c r="E10" s="180">
        <f t="shared" si="1"/>
        <v>100</v>
      </c>
      <c r="F10" s="179">
        <f t="shared" si="2"/>
        <v>3000</v>
      </c>
      <c r="I10" s="185">
        <v>2</v>
      </c>
      <c r="J10" s="259" t="s">
        <v>494</v>
      </c>
      <c r="K10" s="259"/>
      <c r="L10" s="259"/>
      <c r="M10" s="259"/>
      <c r="N10" s="259"/>
      <c r="O10" s="259"/>
      <c r="P10" s="259"/>
      <c r="Q10" s="259"/>
      <c r="R10" s="259"/>
      <c r="S10" s="260"/>
    </row>
    <row r="11" spans="2:19" ht="14.4" customHeight="1" x14ac:dyDescent="0.3">
      <c r="B11" s="180" t="str">
        <f t="shared" si="0"/>
        <v/>
      </c>
      <c r="C11" s="182"/>
      <c r="D11" s="183"/>
      <c r="E11" s="180" t="str">
        <f t="shared" si="1"/>
        <v/>
      </c>
      <c r="F11" s="179" t="str">
        <f t="shared" si="2"/>
        <v/>
      </c>
      <c r="I11" s="185">
        <v>3</v>
      </c>
      <c r="J11" s="261" t="s">
        <v>493</v>
      </c>
      <c r="K11" s="261"/>
      <c r="L11" s="261"/>
      <c r="M11" s="261"/>
      <c r="N11" s="261"/>
      <c r="O11" s="261"/>
      <c r="P11" s="261"/>
      <c r="Q11" s="261"/>
      <c r="R11" s="261"/>
      <c r="S11" s="262"/>
    </row>
    <row r="12" spans="2:19" x14ac:dyDescent="0.3">
      <c r="B12" s="180" t="str">
        <f t="shared" si="0"/>
        <v/>
      </c>
      <c r="C12" s="182"/>
      <c r="D12" s="183"/>
      <c r="E12" s="180" t="str">
        <f t="shared" si="1"/>
        <v/>
      </c>
      <c r="F12" s="179" t="str">
        <f t="shared" si="2"/>
        <v/>
      </c>
      <c r="I12" s="185">
        <v>4</v>
      </c>
      <c r="J12" s="259" t="s">
        <v>492</v>
      </c>
      <c r="K12" s="259"/>
      <c r="L12" s="259"/>
      <c r="M12" s="259"/>
      <c r="N12" s="259"/>
      <c r="O12" s="259"/>
      <c r="P12" s="259"/>
      <c r="Q12" s="259"/>
      <c r="R12" s="259"/>
      <c r="S12" s="260"/>
    </row>
    <row r="13" spans="2:19" x14ac:dyDescent="0.3">
      <c r="B13" s="180" t="str">
        <f t="shared" si="0"/>
        <v/>
      </c>
      <c r="C13" s="182"/>
      <c r="D13" s="183"/>
      <c r="E13" s="180" t="str">
        <f t="shared" si="1"/>
        <v/>
      </c>
      <c r="F13" s="179" t="str">
        <f t="shared" si="2"/>
        <v/>
      </c>
      <c r="I13" s="185">
        <v>5</v>
      </c>
      <c r="J13" s="259" t="s">
        <v>491</v>
      </c>
      <c r="K13" s="259"/>
      <c r="L13" s="259"/>
      <c r="M13" s="259"/>
      <c r="N13" s="259"/>
      <c r="O13" s="259"/>
      <c r="P13" s="259"/>
      <c r="Q13" s="259"/>
      <c r="R13" s="259"/>
      <c r="S13" s="260"/>
    </row>
    <row r="14" spans="2:19" x14ac:dyDescent="0.3">
      <c r="B14" s="180" t="str">
        <f t="shared" si="0"/>
        <v/>
      </c>
      <c r="C14" s="182"/>
      <c r="D14" s="183"/>
      <c r="E14" s="180" t="str">
        <f t="shared" si="1"/>
        <v/>
      </c>
      <c r="F14" s="179" t="str">
        <f t="shared" si="2"/>
        <v/>
      </c>
      <c r="I14" s="185">
        <v>6</v>
      </c>
      <c r="J14" s="259" t="s">
        <v>490</v>
      </c>
      <c r="K14" s="259"/>
      <c r="L14" s="259"/>
      <c r="M14" s="259"/>
      <c r="N14" s="259"/>
      <c r="O14" s="259"/>
      <c r="P14" s="259"/>
      <c r="Q14" s="259"/>
      <c r="R14" s="259"/>
      <c r="S14" s="260"/>
    </row>
    <row r="15" spans="2:19" x14ac:dyDescent="0.3">
      <c r="B15" s="180" t="str">
        <f t="shared" si="0"/>
        <v/>
      </c>
      <c r="C15" s="182"/>
      <c r="D15" s="183"/>
      <c r="E15" s="180" t="str">
        <f t="shared" si="1"/>
        <v/>
      </c>
      <c r="F15" s="179" t="str">
        <f t="shared" si="2"/>
        <v/>
      </c>
      <c r="I15" s="184">
        <v>7</v>
      </c>
      <c r="J15" s="263" t="s">
        <v>489</v>
      </c>
      <c r="K15" s="263"/>
      <c r="L15" s="263"/>
      <c r="M15" s="263"/>
      <c r="N15" s="263"/>
      <c r="O15" s="263"/>
      <c r="P15" s="263"/>
      <c r="Q15" s="263"/>
      <c r="R15" s="263"/>
      <c r="S15" s="264"/>
    </row>
    <row r="16" spans="2:19" x14ac:dyDescent="0.3">
      <c r="B16" s="180" t="str">
        <f t="shared" si="0"/>
        <v/>
      </c>
      <c r="C16" s="182"/>
      <c r="D16" s="183"/>
      <c r="E16" s="180" t="str">
        <f t="shared" si="1"/>
        <v/>
      </c>
      <c r="F16" s="179" t="str">
        <f t="shared" si="2"/>
        <v/>
      </c>
    </row>
    <row r="17" spans="2:6" x14ac:dyDescent="0.3">
      <c r="B17" s="180" t="str">
        <f t="shared" si="0"/>
        <v/>
      </c>
      <c r="C17" s="182"/>
      <c r="D17" s="183"/>
      <c r="E17" s="180" t="str">
        <f t="shared" si="1"/>
        <v/>
      </c>
      <c r="F17" s="179" t="str">
        <f t="shared" si="2"/>
        <v/>
      </c>
    </row>
    <row r="18" spans="2:6" x14ac:dyDescent="0.3">
      <c r="B18" s="180" t="str">
        <f t="shared" si="0"/>
        <v/>
      </c>
      <c r="C18" s="182"/>
      <c r="D18" s="183"/>
      <c r="E18" s="180" t="str">
        <f t="shared" si="1"/>
        <v/>
      </c>
      <c r="F18" s="179" t="str">
        <f t="shared" si="2"/>
        <v/>
      </c>
    </row>
    <row r="19" spans="2:6" x14ac:dyDescent="0.3">
      <c r="B19" s="180" t="str">
        <f t="shared" si="0"/>
        <v/>
      </c>
      <c r="C19" s="182"/>
      <c r="D19" s="181"/>
      <c r="E19" s="180" t="str">
        <f t="shared" si="1"/>
        <v/>
      </c>
      <c r="F19" s="179" t="str">
        <f t="shared" si="2"/>
        <v/>
      </c>
    </row>
    <row r="20" spans="2:6" x14ac:dyDescent="0.3">
      <c r="B20" s="178"/>
      <c r="C20" s="177"/>
      <c r="D20" s="265" t="s">
        <v>488</v>
      </c>
      <c r="E20" s="266"/>
      <c r="F20" s="174">
        <f>SUM(F9:F19)</f>
        <v>3100</v>
      </c>
    </row>
    <row r="21" spans="2:6" x14ac:dyDescent="0.3">
      <c r="B21" s="176"/>
      <c r="C21" s="175"/>
      <c r="D21" s="265" t="s">
        <v>487</v>
      </c>
      <c r="E21" s="266"/>
      <c r="F21" s="174">
        <f>F20*5%</f>
        <v>155</v>
      </c>
    </row>
    <row r="22" spans="2:6" x14ac:dyDescent="0.3">
      <c r="B22" s="176"/>
      <c r="C22" s="175"/>
      <c r="D22" s="265" t="s">
        <v>486</v>
      </c>
      <c r="E22" s="266"/>
      <c r="F22" s="174">
        <f>IF(F20&gt;=2500,F20*2%,0)</f>
        <v>62</v>
      </c>
    </row>
    <row r="23" spans="2:6" x14ac:dyDescent="0.3">
      <c r="B23" s="173"/>
      <c r="C23" s="172"/>
      <c r="D23" s="255" t="s">
        <v>485</v>
      </c>
      <c r="E23" s="256"/>
      <c r="F23" s="171">
        <f>F20+F21-F22</f>
        <v>3193</v>
      </c>
    </row>
    <row r="25" spans="2:6" ht="15.6" x14ac:dyDescent="0.3">
      <c r="B25" s="170" t="s">
        <v>484</v>
      </c>
      <c r="C25" t="s">
        <v>483</v>
      </c>
    </row>
    <row r="26" spans="2:6" x14ac:dyDescent="0.3">
      <c r="B26" t="s">
        <v>482</v>
      </c>
    </row>
  </sheetData>
  <mergeCells count="17">
    <mergeCell ref="B2:F2"/>
    <mergeCell ref="B3:F3"/>
    <mergeCell ref="B4:F4"/>
    <mergeCell ref="I4:S5"/>
    <mergeCell ref="E5:F7"/>
    <mergeCell ref="I7:J7"/>
    <mergeCell ref="D23:E23"/>
    <mergeCell ref="J9:S9"/>
    <mergeCell ref="J10:S10"/>
    <mergeCell ref="J11:S11"/>
    <mergeCell ref="J12:S12"/>
    <mergeCell ref="J13:S13"/>
    <mergeCell ref="J14:S14"/>
    <mergeCell ref="J15:S15"/>
    <mergeCell ref="D20:E20"/>
    <mergeCell ref="D21:E21"/>
    <mergeCell ref="D22:E22"/>
  </mergeCells>
  <dataValidations count="2">
    <dataValidation type="list" allowBlank="1" showInputMessage="1" showErrorMessage="1" sqref="C7" xr:uid="{71B1F6A7-FFE2-41F1-AFE0-5400DFFA085D}">
      <formula1>CustList</formula1>
    </dataValidation>
    <dataValidation type="list" allowBlank="1" showInputMessage="1" showErrorMessage="1" sqref="C9:C19" xr:uid="{6D2F800F-6FD9-4F4C-BE08-5CEDD48A40A1}">
      <formula1>ProList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81BB-3FE4-4B74-9BAF-283E10FE455C}">
  <dimension ref="B1:H1000"/>
  <sheetViews>
    <sheetView workbookViewId="0">
      <selection activeCell="C9" sqref="C9"/>
    </sheetView>
  </sheetViews>
  <sheetFormatPr defaultColWidth="14.44140625" defaultRowHeight="14.4" x14ac:dyDescent="0.3"/>
  <cols>
    <col min="1" max="1" width="11" customWidth="1"/>
    <col min="2" max="2" width="17.88671875" customWidth="1"/>
    <col min="3" max="3" width="11.109375" customWidth="1"/>
    <col min="4" max="4" width="8.6640625" customWidth="1"/>
    <col min="5" max="5" width="17.88671875" customWidth="1"/>
    <col min="6" max="6" width="11.109375" customWidth="1"/>
    <col min="7" max="7" width="8.6640625" customWidth="1"/>
    <col min="8" max="8" width="14.88671875" customWidth="1"/>
    <col min="9" max="26" width="8.6640625" customWidth="1"/>
  </cols>
  <sheetData>
    <row r="1" spans="2:8" ht="14.25" customHeight="1" x14ac:dyDescent="0.3">
      <c r="B1" s="202" t="s">
        <v>131</v>
      </c>
      <c r="C1" s="202"/>
      <c r="D1" s="202"/>
      <c r="E1" s="202"/>
      <c r="F1" s="202"/>
      <c r="G1" s="202"/>
      <c r="H1" s="202"/>
    </row>
    <row r="2" spans="2:8" ht="14.25" customHeight="1" x14ac:dyDescent="0.3">
      <c r="B2" s="206" t="s">
        <v>130</v>
      </c>
      <c r="C2" s="206"/>
      <c r="D2" s="206"/>
      <c r="E2" s="206"/>
      <c r="F2" s="206"/>
      <c r="G2" s="206"/>
      <c r="H2" s="206"/>
    </row>
    <row r="3" spans="2:8" ht="14.25" customHeight="1" x14ac:dyDescent="0.3"/>
    <row r="4" spans="2:8" ht="14.25" customHeight="1" x14ac:dyDescent="0.3"/>
    <row r="5" spans="2:8" ht="14.25" customHeight="1" x14ac:dyDescent="0.3">
      <c r="E5" s="30" t="s">
        <v>128</v>
      </c>
      <c r="F5" s="30" t="s">
        <v>129</v>
      </c>
    </row>
    <row r="6" spans="2:8" ht="14.25" customHeight="1" x14ac:dyDescent="0.3">
      <c r="E6" s="25" t="s">
        <v>127</v>
      </c>
      <c r="F6" s="24">
        <v>0.96589557673564153</v>
      </c>
    </row>
    <row r="7" spans="2:8" ht="14.25" customHeight="1" x14ac:dyDescent="0.3">
      <c r="E7" s="25" t="s">
        <v>127</v>
      </c>
      <c r="F7" s="24">
        <v>0.94392708385781399</v>
      </c>
    </row>
    <row r="8" spans="2:8" ht="14.25" customHeight="1" x14ac:dyDescent="0.3">
      <c r="B8" s="29" t="s">
        <v>128</v>
      </c>
      <c r="C8" s="10"/>
      <c r="E8" s="25" t="s">
        <v>127</v>
      </c>
      <c r="F8" s="24">
        <v>0.92309264525721524</v>
      </c>
    </row>
    <row r="9" spans="2:8" ht="14.25" customHeight="1" x14ac:dyDescent="0.3">
      <c r="B9" s="27" t="s">
        <v>127</v>
      </c>
      <c r="C9" s="28">
        <f>AVERAGEIF(Mname,B9,Score)</f>
        <v>0.91886115604430774</v>
      </c>
      <c r="E9" s="25" t="s">
        <v>127</v>
      </c>
      <c r="F9" s="24">
        <v>0.91184511983622285</v>
      </c>
    </row>
    <row r="10" spans="2:8" ht="14.25" customHeight="1" x14ac:dyDescent="0.3">
      <c r="B10" s="27" t="s">
        <v>125</v>
      </c>
      <c r="C10" s="26">
        <f>AVERAGEIF(Mname,B10,Score)</f>
        <v>1.0222065508139568</v>
      </c>
      <c r="E10" s="25" t="s">
        <v>127</v>
      </c>
      <c r="F10" s="24">
        <v>0.9118255099358572</v>
      </c>
    </row>
    <row r="11" spans="2:8" ht="14.25" customHeight="1" x14ac:dyDescent="0.3">
      <c r="B11" s="27" t="s">
        <v>126</v>
      </c>
      <c r="C11" s="26">
        <f>AVERAGEIF(Mname,B11,Score)</f>
        <v>1.0157355036666562</v>
      </c>
      <c r="E11" s="25" t="s">
        <v>127</v>
      </c>
      <c r="F11" s="24">
        <v>0.90810515968284966</v>
      </c>
    </row>
    <row r="12" spans="2:8" ht="14.25" customHeight="1" x14ac:dyDescent="0.3">
      <c r="E12" s="25" t="s">
        <v>127</v>
      </c>
      <c r="F12" s="24">
        <v>0.89440647514660199</v>
      </c>
    </row>
    <row r="13" spans="2:8" ht="14.25" customHeight="1" x14ac:dyDescent="0.3">
      <c r="E13" s="25" t="s">
        <v>127</v>
      </c>
      <c r="F13" s="24">
        <v>0.89179167790225944</v>
      </c>
    </row>
    <row r="14" spans="2:8" ht="14.25" customHeight="1" x14ac:dyDescent="0.3">
      <c r="E14" s="25" t="s">
        <v>125</v>
      </c>
      <c r="F14" s="24">
        <v>1.036565959732173</v>
      </c>
    </row>
    <row r="15" spans="2:8" ht="14.25" customHeight="1" x14ac:dyDescent="0.3">
      <c r="E15" s="25" t="s">
        <v>125</v>
      </c>
      <c r="F15" s="24">
        <v>1.0337164992501291</v>
      </c>
    </row>
    <row r="16" spans="2:8" ht="14.25" customHeight="1" x14ac:dyDescent="0.3">
      <c r="E16" s="25" t="s">
        <v>125</v>
      </c>
      <c r="F16" s="24">
        <v>1.0278529134819105</v>
      </c>
    </row>
    <row r="17" spans="5:6" ht="14.25" customHeight="1" x14ac:dyDescent="0.3">
      <c r="E17" s="25" t="s">
        <v>126</v>
      </c>
      <c r="F17" s="24">
        <v>1.0225254867552653</v>
      </c>
    </row>
    <row r="18" spans="5:6" ht="14.25" customHeight="1" x14ac:dyDescent="0.3">
      <c r="E18" s="25" t="s">
        <v>125</v>
      </c>
      <c r="F18" s="24">
        <v>1.0205521205568453</v>
      </c>
    </row>
    <row r="19" spans="5:6" ht="14.25" customHeight="1" x14ac:dyDescent="0.3">
      <c r="E19" s="25" t="s">
        <v>125</v>
      </c>
      <c r="F19" s="24">
        <v>1.0161556517969272</v>
      </c>
    </row>
    <row r="20" spans="5:6" ht="14.25" customHeight="1" x14ac:dyDescent="0.3">
      <c r="E20" s="25" t="s">
        <v>126</v>
      </c>
      <c r="F20" s="24">
        <v>1.0146878982904652</v>
      </c>
    </row>
    <row r="21" spans="5:6" ht="14.25" customHeight="1" x14ac:dyDescent="0.3">
      <c r="E21" s="25" t="s">
        <v>126</v>
      </c>
      <c r="F21" s="24">
        <v>1.0146878982904652</v>
      </c>
    </row>
    <row r="22" spans="5:6" ht="14.25" customHeight="1" x14ac:dyDescent="0.3">
      <c r="E22" s="25" t="s">
        <v>126</v>
      </c>
      <c r="F22" s="24">
        <v>1.0146878982904652</v>
      </c>
    </row>
    <row r="23" spans="5:6" ht="14.25" customHeight="1" x14ac:dyDescent="0.3">
      <c r="E23" s="25" t="s">
        <v>126</v>
      </c>
      <c r="F23" s="24">
        <v>1.0140790017282357</v>
      </c>
    </row>
    <row r="24" spans="5:6" ht="14.25" customHeight="1" x14ac:dyDescent="0.3">
      <c r="E24" s="25" t="s">
        <v>126</v>
      </c>
      <c r="F24" s="24">
        <v>1.0137448386450401</v>
      </c>
    </row>
    <row r="25" spans="5:6" ht="14.25" customHeight="1" x14ac:dyDescent="0.3">
      <c r="E25" s="25" t="s">
        <v>125</v>
      </c>
      <c r="F25" s="24">
        <v>1.0103129611817092</v>
      </c>
    </row>
    <row r="26" spans="5:6" ht="14.25" customHeight="1" x14ac:dyDescent="0.3">
      <c r="E26" s="25" t="s">
        <v>125</v>
      </c>
      <c r="F26" s="24">
        <v>1.010289749698003</v>
      </c>
    </row>
    <row r="27" spans="5:6" ht="14.25" customHeight="1" x14ac:dyDescent="0.3"/>
    <row r="28" spans="5:6" ht="14.25" customHeight="1" x14ac:dyDescent="0.3"/>
    <row r="29" spans="5:6" ht="14.25" customHeight="1" x14ac:dyDescent="0.3"/>
    <row r="30" spans="5:6" ht="14.25" customHeight="1" x14ac:dyDescent="0.3"/>
    <row r="31" spans="5:6" ht="14.25" customHeight="1" x14ac:dyDescent="0.3"/>
    <row r="32" spans="5:6" ht="14.25" customHeight="1" x14ac:dyDescent="0.3"/>
    <row r="33" customFormat="1" ht="14.25" customHeight="1" x14ac:dyDescent="0.3"/>
    <row r="34" customFormat="1" ht="14.25" customHeight="1" x14ac:dyDescent="0.3"/>
    <row r="35" customFormat="1" ht="14.25" customHeight="1" x14ac:dyDescent="0.3"/>
    <row r="36" customFormat="1" ht="14.25" customHeight="1" x14ac:dyDescent="0.3"/>
    <row r="37" customFormat="1" ht="14.25" customHeight="1" x14ac:dyDescent="0.3"/>
    <row r="38" customFormat="1" ht="14.25" customHeight="1" x14ac:dyDescent="0.3"/>
    <row r="39" customFormat="1" ht="14.25" customHeight="1" x14ac:dyDescent="0.3"/>
    <row r="40" customFormat="1" ht="14.25" customHeight="1" x14ac:dyDescent="0.3"/>
    <row r="41" customFormat="1" ht="14.25" customHeight="1" x14ac:dyDescent="0.3"/>
    <row r="42" customFormat="1" ht="14.25" customHeight="1" x14ac:dyDescent="0.3"/>
    <row r="43" customFormat="1" ht="14.25" customHeight="1" x14ac:dyDescent="0.3"/>
    <row r="44" customFormat="1" ht="14.25" customHeight="1" x14ac:dyDescent="0.3"/>
    <row r="45" customFormat="1" ht="14.25" customHeight="1" x14ac:dyDescent="0.3"/>
    <row r="46" customFormat="1" ht="14.25" customHeight="1" x14ac:dyDescent="0.3"/>
    <row r="47" customFormat="1" ht="14.25" customHeight="1" x14ac:dyDescent="0.3"/>
    <row r="48" customFormat="1" ht="14.25" customHeight="1" x14ac:dyDescent="0.3"/>
    <row r="49" customFormat="1" ht="14.25" customHeight="1" x14ac:dyDescent="0.3"/>
    <row r="50" customFormat="1" ht="14.25" customHeight="1" x14ac:dyDescent="0.3"/>
    <row r="51" customFormat="1" ht="14.25" customHeight="1" x14ac:dyDescent="0.3"/>
    <row r="52" customFormat="1" ht="14.25" customHeight="1" x14ac:dyDescent="0.3"/>
    <row r="53" customFormat="1" ht="14.25" customHeight="1" x14ac:dyDescent="0.3"/>
    <row r="54" customFormat="1" ht="14.25" customHeight="1" x14ac:dyDescent="0.3"/>
    <row r="55" customFormat="1" ht="14.25" customHeight="1" x14ac:dyDescent="0.3"/>
    <row r="56" customFormat="1" ht="14.25" customHeight="1" x14ac:dyDescent="0.3"/>
    <row r="57" customFormat="1" ht="14.25" customHeight="1" x14ac:dyDescent="0.3"/>
    <row r="58" customFormat="1" ht="14.25" customHeight="1" x14ac:dyDescent="0.3"/>
    <row r="59" customFormat="1" ht="14.25" customHeight="1" x14ac:dyDescent="0.3"/>
    <row r="60" customFormat="1" ht="14.25" customHeight="1" x14ac:dyDescent="0.3"/>
    <row r="61" customFormat="1" ht="14.25" customHeight="1" x14ac:dyDescent="0.3"/>
    <row r="62" customFormat="1" ht="14.25" customHeight="1" x14ac:dyDescent="0.3"/>
    <row r="63" customFormat="1" ht="14.25" customHeight="1" x14ac:dyDescent="0.3"/>
    <row r="64" customFormat="1" ht="14.25" customHeight="1" x14ac:dyDescent="0.3"/>
    <row r="65" customFormat="1" ht="14.25" customHeight="1" x14ac:dyDescent="0.3"/>
    <row r="66" customFormat="1" ht="14.25" customHeight="1" x14ac:dyDescent="0.3"/>
    <row r="67" customFormat="1" ht="14.25" customHeight="1" x14ac:dyDescent="0.3"/>
    <row r="68" customFormat="1" ht="14.25" customHeight="1" x14ac:dyDescent="0.3"/>
    <row r="69" customFormat="1" ht="14.25" customHeight="1" x14ac:dyDescent="0.3"/>
    <row r="70" customFormat="1" ht="14.25" customHeight="1" x14ac:dyDescent="0.3"/>
    <row r="71" customFormat="1" ht="14.25" customHeight="1" x14ac:dyDescent="0.3"/>
    <row r="72" customFormat="1" ht="14.25" customHeight="1" x14ac:dyDescent="0.3"/>
    <row r="73" customFormat="1" ht="14.25" customHeight="1" x14ac:dyDescent="0.3"/>
    <row r="74" customFormat="1" ht="14.25" customHeight="1" x14ac:dyDescent="0.3"/>
    <row r="75" customFormat="1" ht="14.25" customHeight="1" x14ac:dyDescent="0.3"/>
    <row r="76" customFormat="1" ht="14.25" customHeight="1" x14ac:dyDescent="0.3"/>
    <row r="77" customFormat="1" ht="14.25" customHeight="1" x14ac:dyDescent="0.3"/>
    <row r="78" customFormat="1" ht="14.25" customHeight="1" x14ac:dyDescent="0.3"/>
    <row r="79" customFormat="1" ht="14.25" customHeight="1" x14ac:dyDescent="0.3"/>
    <row r="80" customFormat="1" ht="14.25" customHeight="1" x14ac:dyDescent="0.3"/>
    <row r="81" customFormat="1" ht="14.25" customHeight="1" x14ac:dyDescent="0.3"/>
    <row r="82" customFormat="1" ht="14.25" customHeight="1" x14ac:dyDescent="0.3"/>
    <row r="83" customFormat="1" ht="14.25" customHeight="1" x14ac:dyDescent="0.3"/>
    <row r="84" customFormat="1" ht="14.25" customHeight="1" x14ac:dyDescent="0.3"/>
    <row r="85" customFormat="1" ht="14.25" customHeight="1" x14ac:dyDescent="0.3"/>
    <row r="86" customFormat="1" ht="14.25" customHeight="1" x14ac:dyDescent="0.3"/>
    <row r="87" customFormat="1" ht="14.25" customHeight="1" x14ac:dyDescent="0.3"/>
    <row r="88" customFormat="1" ht="14.25" customHeight="1" x14ac:dyDescent="0.3"/>
    <row r="89" customFormat="1" ht="14.25" customHeight="1" x14ac:dyDescent="0.3"/>
    <row r="90" customFormat="1" ht="14.25" customHeight="1" x14ac:dyDescent="0.3"/>
    <row r="91" customFormat="1" ht="14.25" customHeight="1" x14ac:dyDescent="0.3"/>
    <row r="92" customFormat="1" ht="14.25" customHeight="1" x14ac:dyDescent="0.3"/>
    <row r="93" customFormat="1" ht="14.25" customHeight="1" x14ac:dyDescent="0.3"/>
    <row r="94" customFormat="1" ht="14.25" customHeight="1" x14ac:dyDescent="0.3"/>
    <row r="95" customFormat="1" ht="14.25" customHeight="1" x14ac:dyDescent="0.3"/>
    <row r="96" customFormat="1" ht="14.25" customHeight="1" x14ac:dyDescent="0.3"/>
    <row r="97" customFormat="1" ht="14.25" customHeight="1" x14ac:dyDescent="0.3"/>
    <row r="98" customFormat="1" ht="14.25" customHeight="1" x14ac:dyDescent="0.3"/>
    <row r="99" customFormat="1" ht="14.25" customHeight="1" x14ac:dyDescent="0.3"/>
    <row r="100" customFormat="1" ht="14.25" customHeight="1" x14ac:dyDescent="0.3"/>
    <row r="101" customFormat="1" ht="14.25" customHeight="1" x14ac:dyDescent="0.3"/>
    <row r="102" customFormat="1" ht="14.25" customHeight="1" x14ac:dyDescent="0.3"/>
    <row r="103" customFormat="1" ht="14.25" customHeight="1" x14ac:dyDescent="0.3"/>
    <row r="104" customFormat="1" ht="14.25" customHeight="1" x14ac:dyDescent="0.3"/>
    <row r="105" customFormat="1" ht="14.25" customHeight="1" x14ac:dyDescent="0.3"/>
    <row r="106" customFormat="1" ht="14.25" customHeight="1" x14ac:dyDescent="0.3"/>
    <row r="107" customFormat="1" ht="14.25" customHeight="1" x14ac:dyDescent="0.3"/>
    <row r="108" customFormat="1" ht="14.25" customHeight="1" x14ac:dyDescent="0.3"/>
    <row r="109" customFormat="1" ht="14.25" customHeight="1" x14ac:dyDescent="0.3"/>
    <row r="110" customFormat="1" ht="14.25" customHeight="1" x14ac:dyDescent="0.3"/>
    <row r="111" customFormat="1" ht="14.25" customHeight="1" x14ac:dyDescent="0.3"/>
    <row r="112" customFormat="1" ht="14.25" customHeight="1" x14ac:dyDescent="0.3"/>
    <row r="113" customFormat="1" ht="14.25" customHeight="1" x14ac:dyDescent="0.3"/>
    <row r="114" customFormat="1" ht="14.25" customHeight="1" x14ac:dyDescent="0.3"/>
    <row r="115" customFormat="1" ht="14.25" customHeight="1" x14ac:dyDescent="0.3"/>
    <row r="116" customFormat="1" ht="14.25" customHeight="1" x14ac:dyDescent="0.3"/>
    <row r="117" customFormat="1" ht="14.25" customHeight="1" x14ac:dyDescent="0.3"/>
    <row r="118" customFormat="1" ht="14.25" customHeight="1" x14ac:dyDescent="0.3"/>
    <row r="119" customFormat="1" ht="14.25" customHeight="1" x14ac:dyDescent="0.3"/>
    <row r="120" customFormat="1" ht="14.25" customHeight="1" x14ac:dyDescent="0.3"/>
    <row r="121" customFormat="1" ht="14.25" customHeight="1" x14ac:dyDescent="0.3"/>
    <row r="122" customFormat="1" ht="14.25" customHeight="1" x14ac:dyDescent="0.3"/>
    <row r="123" customFormat="1" ht="14.25" customHeight="1" x14ac:dyDescent="0.3"/>
    <row r="124" customFormat="1" ht="14.25" customHeight="1" x14ac:dyDescent="0.3"/>
    <row r="125" customFormat="1" ht="14.25" customHeight="1" x14ac:dyDescent="0.3"/>
    <row r="126" customFormat="1" ht="14.25" customHeight="1" x14ac:dyDescent="0.3"/>
    <row r="127" customFormat="1" ht="14.25" customHeight="1" x14ac:dyDescent="0.3"/>
    <row r="128" customFormat="1" ht="14.25" customHeight="1" x14ac:dyDescent="0.3"/>
    <row r="129" customFormat="1" ht="14.25" customHeight="1" x14ac:dyDescent="0.3"/>
    <row r="130" customFormat="1" ht="14.25" customHeight="1" x14ac:dyDescent="0.3"/>
    <row r="131" customFormat="1" ht="14.25" customHeight="1" x14ac:dyDescent="0.3"/>
    <row r="132" customFormat="1" ht="14.25" customHeight="1" x14ac:dyDescent="0.3"/>
    <row r="133" customFormat="1" ht="14.25" customHeight="1" x14ac:dyDescent="0.3"/>
    <row r="134" customFormat="1" ht="14.25" customHeight="1" x14ac:dyDescent="0.3"/>
    <row r="135" customFormat="1" ht="14.25" customHeight="1" x14ac:dyDescent="0.3"/>
    <row r="136" customFormat="1" ht="14.25" customHeight="1" x14ac:dyDescent="0.3"/>
    <row r="137" customFormat="1" ht="14.25" customHeight="1" x14ac:dyDescent="0.3"/>
    <row r="138" customFormat="1" ht="14.25" customHeight="1" x14ac:dyDescent="0.3"/>
    <row r="139" customFormat="1" ht="14.25" customHeight="1" x14ac:dyDescent="0.3"/>
    <row r="140" customFormat="1" ht="14.25" customHeight="1" x14ac:dyDescent="0.3"/>
    <row r="141" customFormat="1" ht="14.25" customHeight="1" x14ac:dyDescent="0.3"/>
    <row r="142" customFormat="1" ht="14.25" customHeight="1" x14ac:dyDescent="0.3"/>
    <row r="143" customFormat="1" ht="14.25" customHeight="1" x14ac:dyDescent="0.3"/>
    <row r="144" customFormat="1" ht="14.25" customHeight="1" x14ac:dyDescent="0.3"/>
    <row r="145" customFormat="1" ht="14.25" customHeight="1" x14ac:dyDescent="0.3"/>
    <row r="146" customFormat="1" ht="14.25" customHeight="1" x14ac:dyDescent="0.3"/>
    <row r="147" customFormat="1" ht="14.25" customHeight="1" x14ac:dyDescent="0.3"/>
    <row r="148" customFormat="1" ht="14.25" customHeight="1" x14ac:dyDescent="0.3"/>
    <row r="149" customFormat="1" ht="14.25" customHeight="1" x14ac:dyDescent="0.3"/>
    <row r="150" customFormat="1" ht="14.25" customHeight="1" x14ac:dyDescent="0.3"/>
    <row r="151" customFormat="1" ht="14.25" customHeight="1" x14ac:dyDescent="0.3"/>
    <row r="152" customFormat="1" ht="14.25" customHeight="1" x14ac:dyDescent="0.3"/>
    <row r="153" customFormat="1" ht="14.25" customHeight="1" x14ac:dyDescent="0.3"/>
    <row r="154" customFormat="1" ht="14.25" customHeight="1" x14ac:dyDescent="0.3"/>
    <row r="155" customFormat="1" ht="14.25" customHeight="1" x14ac:dyDescent="0.3"/>
    <row r="156" customFormat="1" ht="14.25" customHeight="1" x14ac:dyDescent="0.3"/>
    <row r="157" customFormat="1" ht="14.25" customHeight="1" x14ac:dyDescent="0.3"/>
    <row r="158" customFormat="1" ht="14.25" customHeight="1" x14ac:dyDescent="0.3"/>
    <row r="159" customFormat="1" ht="14.25" customHeight="1" x14ac:dyDescent="0.3"/>
    <row r="160" customFormat="1" ht="14.25" customHeight="1" x14ac:dyDescent="0.3"/>
    <row r="161" customFormat="1" ht="14.25" customHeight="1" x14ac:dyDescent="0.3"/>
    <row r="162" customFormat="1" ht="14.25" customHeight="1" x14ac:dyDescent="0.3"/>
    <row r="163" customFormat="1" ht="14.25" customHeight="1" x14ac:dyDescent="0.3"/>
    <row r="164" customFormat="1" ht="14.25" customHeight="1" x14ac:dyDescent="0.3"/>
    <row r="165" customFormat="1" ht="14.25" customHeight="1" x14ac:dyDescent="0.3"/>
    <row r="166" customFormat="1" ht="14.25" customHeight="1" x14ac:dyDescent="0.3"/>
    <row r="167" customFormat="1" ht="14.25" customHeight="1" x14ac:dyDescent="0.3"/>
    <row r="168" customFormat="1" ht="14.25" customHeight="1" x14ac:dyDescent="0.3"/>
    <row r="169" customFormat="1" ht="14.25" customHeight="1" x14ac:dyDescent="0.3"/>
    <row r="170" customFormat="1" ht="14.25" customHeight="1" x14ac:dyDescent="0.3"/>
    <row r="171" customFormat="1" ht="14.25" customHeight="1" x14ac:dyDescent="0.3"/>
    <row r="172" customFormat="1" ht="14.25" customHeight="1" x14ac:dyDescent="0.3"/>
    <row r="173" customFormat="1" ht="14.25" customHeight="1" x14ac:dyDescent="0.3"/>
    <row r="174" customFormat="1" ht="14.25" customHeight="1" x14ac:dyDescent="0.3"/>
    <row r="175" customFormat="1" ht="14.25" customHeight="1" x14ac:dyDescent="0.3"/>
    <row r="176" customFormat="1" ht="14.25" customHeight="1" x14ac:dyDescent="0.3"/>
    <row r="177" customFormat="1" ht="14.25" customHeight="1" x14ac:dyDescent="0.3"/>
    <row r="178" customFormat="1" ht="14.25" customHeight="1" x14ac:dyDescent="0.3"/>
    <row r="179" customFormat="1" ht="14.25" customHeight="1" x14ac:dyDescent="0.3"/>
    <row r="180" customFormat="1" ht="14.25" customHeight="1" x14ac:dyDescent="0.3"/>
    <row r="181" customFormat="1" ht="14.25" customHeight="1" x14ac:dyDescent="0.3"/>
    <row r="182" customFormat="1" ht="14.25" customHeight="1" x14ac:dyDescent="0.3"/>
    <row r="183" customFormat="1" ht="14.25" customHeight="1" x14ac:dyDescent="0.3"/>
    <row r="184" customFormat="1" ht="14.25" customHeight="1" x14ac:dyDescent="0.3"/>
    <row r="185" customFormat="1" ht="14.25" customHeight="1" x14ac:dyDescent="0.3"/>
    <row r="186" customFormat="1" ht="14.25" customHeight="1" x14ac:dyDescent="0.3"/>
    <row r="187" customFormat="1" ht="14.25" customHeight="1" x14ac:dyDescent="0.3"/>
    <row r="188" customFormat="1" ht="14.25" customHeight="1" x14ac:dyDescent="0.3"/>
    <row r="189" customFormat="1" ht="14.25" customHeight="1" x14ac:dyDescent="0.3"/>
    <row r="190" customFormat="1" ht="14.25" customHeight="1" x14ac:dyDescent="0.3"/>
    <row r="191" customFormat="1" ht="14.25" customHeight="1" x14ac:dyDescent="0.3"/>
    <row r="192" customFormat="1" ht="14.25" customHeight="1" x14ac:dyDescent="0.3"/>
    <row r="193" customFormat="1" ht="14.25" customHeight="1" x14ac:dyDescent="0.3"/>
    <row r="194" customFormat="1" ht="14.25" customHeight="1" x14ac:dyDescent="0.3"/>
    <row r="195" customFormat="1" ht="14.25" customHeight="1" x14ac:dyDescent="0.3"/>
    <row r="196" customFormat="1" ht="14.25" customHeight="1" x14ac:dyDescent="0.3"/>
    <row r="197" customFormat="1" ht="14.25" customHeight="1" x14ac:dyDescent="0.3"/>
    <row r="198" customFormat="1" ht="14.25" customHeight="1" x14ac:dyDescent="0.3"/>
    <row r="199" customFormat="1" ht="14.25" customHeight="1" x14ac:dyDescent="0.3"/>
    <row r="200" customFormat="1" ht="14.25" customHeight="1" x14ac:dyDescent="0.3"/>
    <row r="201" customFormat="1" ht="14.25" customHeight="1" x14ac:dyDescent="0.3"/>
    <row r="202" customFormat="1" ht="14.25" customHeight="1" x14ac:dyDescent="0.3"/>
    <row r="203" customFormat="1" ht="14.25" customHeight="1" x14ac:dyDescent="0.3"/>
    <row r="204" customFormat="1" ht="14.25" customHeight="1" x14ac:dyDescent="0.3"/>
    <row r="205" customFormat="1" ht="14.25" customHeight="1" x14ac:dyDescent="0.3"/>
    <row r="206" customFormat="1" ht="14.25" customHeight="1" x14ac:dyDescent="0.3"/>
    <row r="207" customFormat="1" ht="14.25" customHeight="1" x14ac:dyDescent="0.3"/>
    <row r="208" customFormat="1" ht="14.25" customHeight="1" x14ac:dyDescent="0.3"/>
    <row r="209" customFormat="1" ht="14.25" customHeight="1" x14ac:dyDescent="0.3"/>
    <row r="210" customFormat="1" ht="14.25" customHeight="1" x14ac:dyDescent="0.3"/>
    <row r="211" customFormat="1" ht="14.25" customHeight="1" x14ac:dyDescent="0.3"/>
    <row r="212" customFormat="1" ht="14.25" customHeight="1" x14ac:dyDescent="0.3"/>
    <row r="213" customFormat="1" ht="14.25" customHeight="1" x14ac:dyDescent="0.3"/>
    <row r="214" customFormat="1" ht="14.25" customHeight="1" x14ac:dyDescent="0.3"/>
    <row r="215" customFormat="1" ht="14.25" customHeight="1" x14ac:dyDescent="0.3"/>
    <row r="216" customFormat="1" ht="14.25" customHeight="1" x14ac:dyDescent="0.3"/>
    <row r="217" customFormat="1" ht="14.25" customHeight="1" x14ac:dyDescent="0.3"/>
    <row r="218" customFormat="1" ht="14.25" customHeight="1" x14ac:dyDescent="0.3"/>
    <row r="219" customFormat="1" ht="14.25" customHeight="1" x14ac:dyDescent="0.3"/>
    <row r="220" customFormat="1" ht="14.25" customHeight="1" x14ac:dyDescent="0.3"/>
    <row r="221" customFormat="1" ht="14.25" customHeight="1" x14ac:dyDescent="0.3"/>
    <row r="222" customFormat="1" ht="14.25" customHeight="1" x14ac:dyDescent="0.3"/>
    <row r="223" customFormat="1" ht="14.25" customHeight="1" x14ac:dyDescent="0.3"/>
    <row r="224" customFormat="1" ht="14.25" customHeight="1" x14ac:dyDescent="0.3"/>
    <row r="225" customFormat="1" ht="14.25" customHeight="1" x14ac:dyDescent="0.3"/>
    <row r="226" customFormat="1" ht="14.25" customHeight="1" x14ac:dyDescent="0.3"/>
    <row r="227" customFormat="1" ht="14.25" customHeight="1" x14ac:dyDescent="0.3"/>
    <row r="228" customFormat="1" ht="14.25" customHeight="1" x14ac:dyDescent="0.3"/>
    <row r="229" customFormat="1" ht="14.25" customHeight="1" x14ac:dyDescent="0.3"/>
    <row r="230" customFormat="1" ht="14.25" customHeight="1" x14ac:dyDescent="0.3"/>
    <row r="231" customFormat="1" ht="14.25" customHeight="1" x14ac:dyDescent="0.3"/>
    <row r="232" customFormat="1" ht="14.25" customHeight="1" x14ac:dyDescent="0.3"/>
    <row r="233" customFormat="1" ht="14.25" customHeight="1" x14ac:dyDescent="0.3"/>
    <row r="234" customFormat="1" ht="14.25" customHeight="1" x14ac:dyDescent="0.3"/>
    <row r="235" customFormat="1" ht="14.25" customHeight="1" x14ac:dyDescent="0.3"/>
    <row r="236" customFormat="1" ht="14.25" customHeight="1" x14ac:dyDescent="0.3"/>
    <row r="237" customFormat="1" ht="14.25" customHeight="1" x14ac:dyDescent="0.3"/>
    <row r="238" customFormat="1" ht="14.25" customHeight="1" x14ac:dyDescent="0.3"/>
    <row r="239" customFormat="1" ht="14.25" customHeight="1" x14ac:dyDescent="0.3"/>
    <row r="240" customFormat="1" ht="14.25" customHeight="1" x14ac:dyDescent="0.3"/>
    <row r="241" customFormat="1" ht="14.25" customHeight="1" x14ac:dyDescent="0.3"/>
    <row r="242" customFormat="1" ht="14.25" customHeight="1" x14ac:dyDescent="0.3"/>
    <row r="243" customFormat="1" ht="14.25" customHeight="1" x14ac:dyDescent="0.3"/>
    <row r="244" customFormat="1" ht="14.25" customHeight="1" x14ac:dyDescent="0.3"/>
    <row r="245" customFormat="1" ht="14.25" customHeight="1" x14ac:dyDescent="0.3"/>
    <row r="246" customFormat="1" ht="14.25" customHeight="1" x14ac:dyDescent="0.3"/>
    <row r="247" customFormat="1" ht="14.25" customHeight="1" x14ac:dyDescent="0.3"/>
    <row r="248" customFormat="1" ht="14.25" customHeight="1" x14ac:dyDescent="0.3"/>
    <row r="249" customFormat="1" ht="14.25" customHeight="1" x14ac:dyDescent="0.3"/>
    <row r="250" customFormat="1" ht="14.25" customHeight="1" x14ac:dyDescent="0.3"/>
    <row r="251" customFormat="1" ht="14.25" customHeight="1" x14ac:dyDescent="0.3"/>
    <row r="252" customFormat="1" ht="14.25" customHeight="1" x14ac:dyDescent="0.3"/>
    <row r="253" customFormat="1" ht="14.25" customHeight="1" x14ac:dyDescent="0.3"/>
    <row r="254" customFormat="1" ht="14.25" customHeight="1" x14ac:dyDescent="0.3"/>
    <row r="255" customFormat="1" ht="14.25" customHeight="1" x14ac:dyDescent="0.3"/>
    <row r="256" customFormat="1" ht="14.25" customHeight="1" x14ac:dyDescent="0.3"/>
    <row r="257" customFormat="1" ht="14.25" customHeight="1" x14ac:dyDescent="0.3"/>
    <row r="258" customFormat="1" ht="14.25" customHeight="1" x14ac:dyDescent="0.3"/>
    <row r="259" customFormat="1" ht="14.25" customHeight="1" x14ac:dyDescent="0.3"/>
    <row r="260" customFormat="1" ht="14.25" customHeight="1" x14ac:dyDescent="0.3"/>
    <row r="261" customFormat="1" ht="14.25" customHeight="1" x14ac:dyDescent="0.3"/>
    <row r="262" customFormat="1" ht="14.25" customHeight="1" x14ac:dyDescent="0.3"/>
    <row r="263" customFormat="1" ht="14.25" customHeight="1" x14ac:dyDescent="0.3"/>
    <row r="264" customFormat="1" ht="14.25" customHeight="1" x14ac:dyDescent="0.3"/>
    <row r="265" customFormat="1" ht="14.25" customHeight="1" x14ac:dyDescent="0.3"/>
    <row r="266" customFormat="1" ht="14.25" customHeight="1" x14ac:dyDescent="0.3"/>
    <row r="267" customFormat="1" ht="14.25" customHeight="1" x14ac:dyDescent="0.3"/>
    <row r="268" customFormat="1" ht="14.25" customHeight="1" x14ac:dyDescent="0.3"/>
    <row r="269" customFormat="1" ht="14.25" customHeight="1" x14ac:dyDescent="0.3"/>
    <row r="270" customFormat="1" ht="14.25" customHeight="1" x14ac:dyDescent="0.3"/>
    <row r="271" customFormat="1" ht="14.25" customHeight="1" x14ac:dyDescent="0.3"/>
    <row r="272" customFormat="1" ht="14.25" customHeight="1" x14ac:dyDescent="0.3"/>
    <row r="273" customFormat="1" ht="14.25" customHeight="1" x14ac:dyDescent="0.3"/>
    <row r="274" customFormat="1" ht="14.25" customHeight="1" x14ac:dyDescent="0.3"/>
    <row r="275" customFormat="1" ht="14.25" customHeight="1" x14ac:dyDescent="0.3"/>
    <row r="276" customFormat="1" ht="14.25" customHeight="1" x14ac:dyDescent="0.3"/>
    <row r="277" customFormat="1" ht="14.25" customHeight="1" x14ac:dyDescent="0.3"/>
    <row r="278" customFormat="1" ht="14.25" customHeight="1" x14ac:dyDescent="0.3"/>
    <row r="279" customFormat="1" ht="14.25" customHeight="1" x14ac:dyDescent="0.3"/>
    <row r="280" customFormat="1" ht="14.25" customHeight="1" x14ac:dyDescent="0.3"/>
    <row r="281" customFormat="1" ht="14.25" customHeight="1" x14ac:dyDescent="0.3"/>
    <row r="282" customFormat="1" ht="14.25" customHeight="1" x14ac:dyDescent="0.3"/>
    <row r="283" customFormat="1" ht="14.25" customHeight="1" x14ac:dyDescent="0.3"/>
    <row r="284" customFormat="1" ht="14.25" customHeight="1" x14ac:dyDescent="0.3"/>
    <row r="285" customFormat="1" ht="14.25" customHeight="1" x14ac:dyDescent="0.3"/>
    <row r="286" customFormat="1" ht="14.25" customHeight="1" x14ac:dyDescent="0.3"/>
    <row r="287" customFormat="1" ht="14.25" customHeight="1" x14ac:dyDescent="0.3"/>
    <row r="288" customFormat="1" ht="14.25" customHeight="1" x14ac:dyDescent="0.3"/>
    <row r="289" customFormat="1" ht="14.25" customHeight="1" x14ac:dyDescent="0.3"/>
    <row r="290" customFormat="1" ht="14.25" customHeight="1" x14ac:dyDescent="0.3"/>
    <row r="291" customFormat="1" ht="14.25" customHeight="1" x14ac:dyDescent="0.3"/>
    <row r="292" customFormat="1" ht="14.25" customHeight="1" x14ac:dyDescent="0.3"/>
    <row r="293" customFormat="1" ht="14.25" customHeight="1" x14ac:dyDescent="0.3"/>
    <row r="294" customFormat="1" ht="14.25" customHeight="1" x14ac:dyDescent="0.3"/>
    <row r="295" customFormat="1" ht="14.25" customHeight="1" x14ac:dyDescent="0.3"/>
    <row r="296" customFormat="1" ht="14.25" customHeight="1" x14ac:dyDescent="0.3"/>
    <row r="297" customFormat="1" ht="14.25" customHeight="1" x14ac:dyDescent="0.3"/>
    <row r="298" customFormat="1" ht="14.25" customHeight="1" x14ac:dyDescent="0.3"/>
    <row r="299" customFormat="1" ht="14.25" customHeight="1" x14ac:dyDescent="0.3"/>
    <row r="300" customFormat="1" ht="14.25" customHeight="1" x14ac:dyDescent="0.3"/>
    <row r="301" customFormat="1" ht="14.25" customHeight="1" x14ac:dyDescent="0.3"/>
    <row r="302" customFormat="1" ht="14.25" customHeight="1" x14ac:dyDescent="0.3"/>
    <row r="303" customFormat="1" ht="14.25" customHeight="1" x14ac:dyDescent="0.3"/>
    <row r="304" customFormat="1" ht="14.25" customHeight="1" x14ac:dyDescent="0.3"/>
    <row r="305" customFormat="1" ht="14.25" customHeight="1" x14ac:dyDescent="0.3"/>
    <row r="306" customFormat="1" ht="14.25" customHeight="1" x14ac:dyDescent="0.3"/>
    <row r="307" customFormat="1" ht="14.25" customHeight="1" x14ac:dyDescent="0.3"/>
    <row r="308" customFormat="1" ht="14.25" customHeight="1" x14ac:dyDescent="0.3"/>
    <row r="309" customFormat="1" ht="14.25" customHeight="1" x14ac:dyDescent="0.3"/>
    <row r="310" customFormat="1" ht="14.25" customHeight="1" x14ac:dyDescent="0.3"/>
    <row r="311" customFormat="1" ht="14.25" customHeight="1" x14ac:dyDescent="0.3"/>
    <row r="312" customFormat="1" ht="14.25" customHeight="1" x14ac:dyDescent="0.3"/>
    <row r="313" customFormat="1" ht="14.25" customHeight="1" x14ac:dyDescent="0.3"/>
    <row r="314" customFormat="1" ht="14.25" customHeight="1" x14ac:dyDescent="0.3"/>
    <row r="315" customFormat="1" ht="14.25" customHeight="1" x14ac:dyDescent="0.3"/>
    <row r="316" customFormat="1" ht="14.25" customHeight="1" x14ac:dyDescent="0.3"/>
    <row r="317" customFormat="1" ht="14.25" customHeight="1" x14ac:dyDescent="0.3"/>
    <row r="318" customFormat="1" ht="14.25" customHeight="1" x14ac:dyDescent="0.3"/>
    <row r="319" customFormat="1" ht="14.25" customHeight="1" x14ac:dyDescent="0.3"/>
    <row r="320" customFormat="1" ht="14.25" customHeight="1" x14ac:dyDescent="0.3"/>
    <row r="321" customFormat="1" ht="14.25" customHeight="1" x14ac:dyDescent="0.3"/>
    <row r="322" customFormat="1" ht="14.25" customHeight="1" x14ac:dyDescent="0.3"/>
    <row r="323" customFormat="1" ht="14.25" customHeight="1" x14ac:dyDescent="0.3"/>
    <row r="324" customFormat="1" ht="14.25" customHeight="1" x14ac:dyDescent="0.3"/>
    <row r="325" customFormat="1" ht="14.25" customHeight="1" x14ac:dyDescent="0.3"/>
    <row r="326" customFormat="1" ht="14.25" customHeight="1" x14ac:dyDescent="0.3"/>
    <row r="327" customFormat="1" ht="14.25" customHeight="1" x14ac:dyDescent="0.3"/>
    <row r="328" customFormat="1" ht="14.25" customHeight="1" x14ac:dyDescent="0.3"/>
    <row r="329" customFormat="1" ht="14.25" customHeight="1" x14ac:dyDescent="0.3"/>
    <row r="330" customFormat="1" ht="14.25" customHeight="1" x14ac:dyDescent="0.3"/>
    <row r="331" customFormat="1" ht="14.25" customHeight="1" x14ac:dyDescent="0.3"/>
    <row r="332" customFormat="1" ht="14.25" customHeight="1" x14ac:dyDescent="0.3"/>
    <row r="333" customFormat="1" ht="14.25" customHeight="1" x14ac:dyDescent="0.3"/>
    <row r="334" customFormat="1" ht="14.25" customHeight="1" x14ac:dyDescent="0.3"/>
    <row r="335" customFormat="1" ht="14.25" customHeight="1" x14ac:dyDescent="0.3"/>
    <row r="336" customFormat="1" ht="14.25" customHeight="1" x14ac:dyDescent="0.3"/>
    <row r="337" customFormat="1" ht="14.25" customHeight="1" x14ac:dyDescent="0.3"/>
    <row r="338" customFormat="1" ht="14.25" customHeight="1" x14ac:dyDescent="0.3"/>
    <row r="339" customFormat="1" ht="14.25" customHeight="1" x14ac:dyDescent="0.3"/>
    <row r="340" customFormat="1" ht="14.25" customHeight="1" x14ac:dyDescent="0.3"/>
    <row r="341" customFormat="1" ht="14.25" customHeight="1" x14ac:dyDescent="0.3"/>
    <row r="342" customFormat="1" ht="14.25" customHeight="1" x14ac:dyDescent="0.3"/>
    <row r="343" customFormat="1" ht="14.25" customHeight="1" x14ac:dyDescent="0.3"/>
    <row r="344" customFormat="1" ht="14.25" customHeight="1" x14ac:dyDescent="0.3"/>
    <row r="345" customFormat="1" ht="14.25" customHeight="1" x14ac:dyDescent="0.3"/>
    <row r="346" customFormat="1" ht="14.25" customHeight="1" x14ac:dyDescent="0.3"/>
    <row r="347" customFormat="1" ht="14.25" customHeight="1" x14ac:dyDescent="0.3"/>
    <row r="348" customFormat="1" ht="14.25" customHeight="1" x14ac:dyDescent="0.3"/>
    <row r="349" customFormat="1" ht="14.25" customHeight="1" x14ac:dyDescent="0.3"/>
    <row r="350" customFormat="1" ht="14.25" customHeight="1" x14ac:dyDescent="0.3"/>
    <row r="351" customFormat="1" ht="14.25" customHeight="1" x14ac:dyDescent="0.3"/>
    <row r="352" customFormat="1" ht="14.25" customHeight="1" x14ac:dyDescent="0.3"/>
    <row r="353" customFormat="1" ht="14.25" customHeight="1" x14ac:dyDescent="0.3"/>
    <row r="354" customFormat="1" ht="14.25" customHeight="1" x14ac:dyDescent="0.3"/>
    <row r="355" customFormat="1" ht="14.25" customHeight="1" x14ac:dyDescent="0.3"/>
    <row r="356" customFormat="1" ht="14.25" customHeight="1" x14ac:dyDescent="0.3"/>
    <row r="357" customFormat="1" ht="14.25" customHeight="1" x14ac:dyDescent="0.3"/>
    <row r="358" customFormat="1" ht="14.25" customHeight="1" x14ac:dyDescent="0.3"/>
    <row r="359" customFormat="1" ht="14.25" customHeight="1" x14ac:dyDescent="0.3"/>
    <row r="360" customFormat="1" ht="14.25" customHeight="1" x14ac:dyDescent="0.3"/>
    <row r="361" customFormat="1" ht="14.25" customHeight="1" x14ac:dyDescent="0.3"/>
    <row r="362" customFormat="1" ht="14.25" customHeight="1" x14ac:dyDescent="0.3"/>
    <row r="363" customFormat="1" ht="14.25" customHeight="1" x14ac:dyDescent="0.3"/>
    <row r="364" customFormat="1" ht="14.25" customHeight="1" x14ac:dyDescent="0.3"/>
    <row r="365" customFormat="1" ht="14.25" customHeight="1" x14ac:dyDescent="0.3"/>
    <row r="366" customFormat="1" ht="14.25" customHeight="1" x14ac:dyDescent="0.3"/>
    <row r="367" customFormat="1" ht="14.25" customHeight="1" x14ac:dyDescent="0.3"/>
    <row r="368" customFormat="1" ht="14.25" customHeight="1" x14ac:dyDescent="0.3"/>
    <row r="369" customFormat="1" ht="14.25" customHeight="1" x14ac:dyDescent="0.3"/>
    <row r="370" customFormat="1" ht="14.25" customHeight="1" x14ac:dyDescent="0.3"/>
    <row r="371" customFormat="1" ht="14.25" customHeight="1" x14ac:dyDescent="0.3"/>
    <row r="372" customFormat="1" ht="14.25" customHeight="1" x14ac:dyDescent="0.3"/>
    <row r="373" customFormat="1" ht="14.25" customHeight="1" x14ac:dyDescent="0.3"/>
    <row r="374" customFormat="1" ht="14.25" customHeight="1" x14ac:dyDescent="0.3"/>
    <row r="375" customFormat="1" ht="14.25" customHeight="1" x14ac:dyDescent="0.3"/>
    <row r="376" customFormat="1" ht="14.25" customHeight="1" x14ac:dyDescent="0.3"/>
    <row r="377" customFormat="1" ht="14.25" customHeight="1" x14ac:dyDescent="0.3"/>
    <row r="378" customFormat="1" ht="14.25" customHeight="1" x14ac:dyDescent="0.3"/>
    <row r="379" customFormat="1" ht="14.25" customHeight="1" x14ac:dyDescent="0.3"/>
    <row r="380" customFormat="1" ht="14.25" customHeight="1" x14ac:dyDescent="0.3"/>
    <row r="381" customFormat="1" ht="14.25" customHeight="1" x14ac:dyDescent="0.3"/>
    <row r="382" customFormat="1" ht="14.25" customHeight="1" x14ac:dyDescent="0.3"/>
    <row r="383" customFormat="1" ht="14.25" customHeight="1" x14ac:dyDescent="0.3"/>
    <row r="384" customFormat="1" ht="14.25" customHeight="1" x14ac:dyDescent="0.3"/>
    <row r="385" customFormat="1" ht="14.25" customHeight="1" x14ac:dyDescent="0.3"/>
    <row r="386" customFormat="1" ht="14.25" customHeight="1" x14ac:dyDescent="0.3"/>
    <row r="387" customFormat="1" ht="14.25" customHeight="1" x14ac:dyDescent="0.3"/>
    <row r="388" customFormat="1" ht="14.25" customHeight="1" x14ac:dyDescent="0.3"/>
    <row r="389" customFormat="1" ht="14.25" customHeight="1" x14ac:dyDescent="0.3"/>
    <row r="390" customFormat="1" ht="14.25" customHeight="1" x14ac:dyDescent="0.3"/>
    <row r="391" customFormat="1" ht="14.25" customHeight="1" x14ac:dyDescent="0.3"/>
    <row r="392" customFormat="1" ht="14.25" customHeight="1" x14ac:dyDescent="0.3"/>
    <row r="393" customFormat="1" ht="14.25" customHeight="1" x14ac:dyDescent="0.3"/>
    <row r="394" customFormat="1" ht="14.25" customHeight="1" x14ac:dyDescent="0.3"/>
    <row r="395" customFormat="1" ht="14.25" customHeight="1" x14ac:dyDescent="0.3"/>
    <row r="396" customFormat="1" ht="14.25" customHeight="1" x14ac:dyDescent="0.3"/>
    <row r="397" customFormat="1" ht="14.25" customHeight="1" x14ac:dyDescent="0.3"/>
    <row r="398" customFormat="1" ht="14.25" customHeight="1" x14ac:dyDescent="0.3"/>
    <row r="399" customFormat="1" ht="14.25" customHeight="1" x14ac:dyDescent="0.3"/>
    <row r="400" customFormat="1" ht="14.25" customHeight="1" x14ac:dyDescent="0.3"/>
    <row r="401" customFormat="1" ht="14.25" customHeight="1" x14ac:dyDescent="0.3"/>
    <row r="402" customFormat="1" ht="14.25" customHeight="1" x14ac:dyDescent="0.3"/>
    <row r="403" customFormat="1" ht="14.25" customHeight="1" x14ac:dyDescent="0.3"/>
    <row r="404" customFormat="1" ht="14.25" customHeight="1" x14ac:dyDescent="0.3"/>
    <row r="405" customFormat="1" ht="14.25" customHeight="1" x14ac:dyDescent="0.3"/>
    <row r="406" customFormat="1" ht="14.25" customHeight="1" x14ac:dyDescent="0.3"/>
    <row r="407" customFormat="1" ht="14.25" customHeight="1" x14ac:dyDescent="0.3"/>
    <row r="408" customFormat="1" ht="14.25" customHeight="1" x14ac:dyDescent="0.3"/>
    <row r="409" customFormat="1" ht="14.25" customHeight="1" x14ac:dyDescent="0.3"/>
    <row r="410" customFormat="1" ht="14.25" customHeight="1" x14ac:dyDescent="0.3"/>
    <row r="411" customFormat="1" ht="14.25" customHeight="1" x14ac:dyDescent="0.3"/>
    <row r="412" customFormat="1" ht="14.25" customHeight="1" x14ac:dyDescent="0.3"/>
    <row r="413" customFormat="1" ht="14.25" customHeight="1" x14ac:dyDescent="0.3"/>
    <row r="414" customFormat="1" ht="14.25" customHeight="1" x14ac:dyDescent="0.3"/>
    <row r="415" customFormat="1" ht="14.25" customHeight="1" x14ac:dyDescent="0.3"/>
    <row r="416" customFormat="1" ht="14.25" customHeight="1" x14ac:dyDescent="0.3"/>
    <row r="417" customFormat="1" ht="14.25" customHeight="1" x14ac:dyDescent="0.3"/>
    <row r="418" customFormat="1" ht="14.25" customHeight="1" x14ac:dyDescent="0.3"/>
    <row r="419" customFormat="1" ht="14.25" customHeight="1" x14ac:dyDescent="0.3"/>
    <row r="420" customFormat="1" ht="14.25" customHeight="1" x14ac:dyDescent="0.3"/>
    <row r="421" customFormat="1" ht="14.25" customHeight="1" x14ac:dyDescent="0.3"/>
    <row r="422" customFormat="1" ht="14.25" customHeight="1" x14ac:dyDescent="0.3"/>
    <row r="423" customFormat="1" ht="14.25" customHeight="1" x14ac:dyDescent="0.3"/>
    <row r="424" customFormat="1" ht="14.25" customHeight="1" x14ac:dyDescent="0.3"/>
    <row r="425" customFormat="1" ht="14.25" customHeight="1" x14ac:dyDescent="0.3"/>
    <row r="426" customFormat="1" ht="14.25" customHeight="1" x14ac:dyDescent="0.3"/>
    <row r="427" customFormat="1" ht="14.25" customHeight="1" x14ac:dyDescent="0.3"/>
    <row r="428" customFormat="1" ht="14.25" customHeight="1" x14ac:dyDescent="0.3"/>
    <row r="429" customFormat="1" ht="14.25" customHeight="1" x14ac:dyDescent="0.3"/>
    <row r="430" customFormat="1" ht="14.25" customHeight="1" x14ac:dyDescent="0.3"/>
    <row r="431" customFormat="1" ht="14.25" customHeight="1" x14ac:dyDescent="0.3"/>
    <row r="432" customFormat="1" ht="14.25" customHeight="1" x14ac:dyDescent="0.3"/>
    <row r="433" customFormat="1" ht="14.25" customHeight="1" x14ac:dyDescent="0.3"/>
    <row r="434" customFormat="1" ht="14.25" customHeight="1" x14ac:dyDescent="0.3"/>
    <row r="435" customFormat="1" ht="14.25" customHeight="1" x14ac:dyDescent="0.3"/>
    <row r="436" customFormat="1" ht="14.25" customHeight="1" x14ac:dyDescent="0.3"/>
    <row r="437" customFormat="1" ht="14.25" customHeight="1" x14ac:dyDescent="0.3"/>
    <row r="438" customFormat="1" ht="14.25" customHeight="1" x14ac:dyDescent="0.3"/>
    <row r="439" customFormat="1" ht="14.25" customHeight="1" x14ac:dyDescent="0.3"/>
    <row r="440" customFormat="1" ht="14.25" customHeight="1" x14ac:dyDescent="0.3"/>
    <row r="441" customFormat="1" ht="14.25" customHeight="1" x14ac:dyDescent="0.3"/>
    <row r="442" customFormat="1" ht="14.25" customHeight="1" x14ac:dyDescent="0.3"/>
    <row r="443" customFormat="1" ht="14.25" customHeight="1" x14ac:dyDescent="0.3"/>
    <row r="444" customFormat="1" ht="14.25" customHeight="1" x14ac:dyDescent="0.3"/>
    <row r="445" customFormat="1" ht="14.25" customHeight="1" x14ac:dyDescent="0.3"/>
    <row r="446" customFormat="1" ht="14.25" customHeight="1" x14ac:dyDescent="0.3"/>
    <row r="447" customFormat="1" ht="14.25" customHeight="1" x14ac:dyDescent="0.3"/>
    <row r="448" customFormat="1" ht="14.25" customHeight="1" x14ac:dyDescent="0.3"/>
    <row r="449" customFormat="1" ht="14.25" customHeight="1" x14ac:dyDescent="0.3"/>
    <row r="450" customFormat="1" ht="14.25" customHeight="1" x14ac:dyDescent="0.3"/>
    <row r="451" customFormat="1" ht="14.25" customHeight="1" x14ac:dyDescent="0.3"/>
    <row r="452" customFormat="1" ht="14.25" customHeight="1" x14ac:dyDescent="0.3"/>
    <row r="453" customFormat="1" ht="14.25" customHeight="1" x14ac:dyDescent="0.3"/>
    <row r="454" customFormat="1" ht="14.25" customHeight="1" x14ac:dyDescent="0.3"/>
    <row r="455" customFormat="1" ht="14.25" customHeight="1" x14ac:dyDescent="0.3"/>
    <row r="456" customFormat="1" ht="14.25" customHeight="1" x14ac:dyDescent="0.3"/>
    <row r="457" customFormat="1" ht="14.25" customHeight="1" x14ac:dyDescent="0.3"/>
    <row r="458" customFormat="1" ht="14.25" customHeight="1" x14ac:dyDescent="0.3"/>
    <row r="459" customFormat="1" ht="14.25" customHeight="1" x14ac:dyDescent="0.3"/>
    <row r="460" customFormat="1" ht="14.25" customHeight="1" x14ac:dyDescent="0.3"/>
    <row r="461" customFormat="1" ht="14.25" customHeight="1" x14ac:dyDescent="0.3"/>
    <row r="462" customFormat="1" ht="14.25" customHeight="1" x14ac:dyDescent="0.3"/>
    <row r="463" customFormat="1" ht="14.25" customHeight="1" x14ac:dyDescent="0.3"/>
    <row r="464" customFormat="1" ht="14.25" customHeight="1" x14ac:dyDescent="0.3"/>
    <row r="465" customFormat="1" ht="14.25" customHeight="1" x14ac:dyDescent="0.3"/>
    <row r="466" customFormat="1" ht="14.25" customHeight="1" x14ac:dyDescent="0.3"/>
    <row r="467" customFormat="1" ht="14.25" customHeight="1" x14ac:dyDescent="0.3"/>
    <row r="468" customFormat="1" ht="14.25" customHeight="1" x14ac:dyDescent="0.3"/>
    <row r="469" customFormat="1" ht="14.25" customHeight="1" x14ac:dyDescent="0.3"/>
    <row r="470" customFormat="1" ht="14.25" customHeight="1" x14ac:dyDescent="0.3"/>
    <row r="471" customFormat="1" ht="14.25" customHeight="1" x14ac:dyDescent="0.3"/>
    <row r="472" customFormat="1" ht="14.25" customHeight="1" x14ac:dyDescent="0.3"/>
    <row r="473" customFormat="1" ht="14.25" customHeight="1" x14ac:dyDescent="0.3"/>
    <row r="474" customFormat="1" ht="14.25" customHeight="1" x14ac:dyDescent="0.3"/>
    <row r="475" customFormat="1" ht="14.25" customHeight="1" x14ac:dyDescent="0.3"/>
    <row r="476" customFormat="1" ht="14.25" customHeight="1" x14ac:dyDescent="0.3"/>
    <row r="477" customFormat="1" ht="14.25" customHeight="1" x14ac:dyDescent="0.3"/>
    <row r="478" customFormat="1" ht="14.25" customHeight="1" x14ac:dyDescent="0.3"/>
    <row r="479" customFormat="1" ht="14.25" customHeight="1" x14ac:dyDescent="0.3"/>
    <row r="480" customFormat="1" ht="14.25" customHeight="1" x14ac:dyDescent="0.3"/>
    <row r="481" customFormat="1" ht="14.25" customHeight="1" x14ac:dyDescent="0.3"/>
    <row r="482" customFormat="1" ht="14.25" customHeight="1" x14ac:dyDescent="0.3"/>
    <row r="483" customFormat="1" ht="14.25" customHeight="1" x14ac:dyDescent="0.3"/>
    <row r="484" customFormat="1" ht="14.25" customHeight="1" x14ac:dyDescent="0.3"/>
    <row r="485" customFormat="1" ht="14.25" customHeight="1" x14ac:dyDescent="0.3"/>
    <row r="486" customFormat="1" ht="14.25" customHeight="1" x14ac:dyDescent="0.3"/>
    <row r="487" customFormat="1" ht="14.25" customHeight="1" x14ac:dyDescent="0.3"/>
    <row r="488" customFormat="1" ht="14.25" customHeight="1" x14ac:dyDescent="0.3"/>
    <row r="489" customFormat="1" ht="14.25" customHeight="1" x14ac:dyDescent="0.3"/>
    <row r="490" customFormat="1" ht="14.25" customHeight="1" x14ac:dyDescent="0.3"/>
    <row r="491" customFormat="1" ht="14.25" customHeight="1" x14ac:dyDescent="0.3"/>
    <row r="492" customFormat="1" ht="14.25" customHeight="1" x14ac:dyDescent="0.3"/>
    <row r="493" customFormat="1" ht="14.25" customHeight="1" x14ac:dyDescent="0.3"/>
    <row r="494" customFormat="1" ht="14.25" customHeight="1" x14ac:dyDescent="0.3"/>
    <row r="495" customFormat="1" ht="14.25" customHeight="1" x14ac:dyDescent="0.3"/>
    <row r="496" customFormat="1" ht="14.25" customHeight="1" x14ac:dyDescent="0.3"/>
    <row r="497" customFormat="1" ht="14.25" customHeight="1" x14ac:dyDescent="0.3"/>
    <row r="498" customFormat="1" ht="14.25" customHeight="1" x14ac:dyDescent="0.3"/>
    <row r="499" customFormat="1" ht="14.25" customHeight="1" x14ac:dyDescent="0.3"/>
    <row r="500" customFormat="1" ht="14.25" customHeight="1" x14ac:dyDescent="0.3"/>
    <row r="501" customFormat="1" ht="14.25" customHeight="1" x14ac:dyDescent="0.3"/>
    <row r="502" customFormat="1" ht="14.25" customHeight="1" x14ac:dyDescent="0.3"/>
    <row r="503" customFormat="1" ht="14.25" customHeight="1" x14ac:dyDescent="0.3"/>
    <row r="504" customFormat="1" ht="14.25" customHeight="1" x14ac:dyDescent="0.3"/>
    <row r="505" customFormat="1" ht="14.25" customHeight="1" x14ac:dyDescent="0.3"/>
    <row r="506" customFormat="1" ht="14.25" customHeight="1" x14ac:dyDescent="0.3"/>
    <row r="507" customFormat="1" ht="14.25" customHeight="1" x14ac:dyDescent="0.3"/>
    <row r="508" customFormat="1" ht="14.25" customHeight="1" x14ac:dyDescent="0.3"/>
    <row r="509" customFormat="1" ht="14.25" customHeight="1" x14ac:dyDescent="0.3"/>
    <row r="510" customFormat="1" ht="14.25" customHeight="1" x14ac:dyDescent="0.3"/>
    <row r="511" customFormat="1" ht="14.25" customHeight="1" x14ac:dyDescent="0.3"/>
    <row r="512" customFormat="1" ht="14.25" customHeight="1" x14ac:dyDescent="0.3"/>
    <row r="513" customFormat="1" ht="14.25" customHeight="1" x14ac:dyDescent="0.3"/>
    <row r="514" customFormat="1" ht="14.25" customHeight="1" x14ac:dyDescent="0.3"/>
    <row r="515" customFormat="1" ht="14.25" customHeight="1" x14ac:dyDescent="0.3"/>
    <row r="516" customFormat="1" ht="14.25" customHeight="1" x14ac:dyDescent="0.3"/>
    <row r="517" customFormat="1" ht="14.25" customHeight="1" x14ac:dyDescent="0.3"/>
    <row r="518" customFormat="1" ht="14.25" customHeight="1" x14ac:dyDescent="0.3"/>
    <row r="519" customFormat="1" ht="14.25" customHeight="1" x14ac:dyDescent="0.3"/>
    <row r="520" customFormat="1" ht="14.25" customHeight="1" x14ac:dyDescent="0.3"/>
    <row r="521" customFormat="1" ht="14.25" customHeight="1" x14ac:dyDescent="0.3"/>
    <row r="522" customFormat="1" ht="14.25" customHeight="1" x14ac:dyDescent="0.3"/>
    <row r="523" customFormat="1" ht="14.25" customHeight="1" x14ac:dyDescent="0.3"/>
    <row r="524" customFormat="1" ht="14.25" customHeight="1" x14ac:dyDescent="0.3"/>
    <row r="525" customFormat="1" ht="14.25" customHeight="1" x14ac:dyDescent="0.3"/>
    <row r="526" customFormat="1" ht="14.25" customHeight="1" x14ac:dyDescent="0.3"/>
    <row r="527" customFormat="1" ht="14.25" customHeight="1" x14ac:dyDescent="0.3"/>
    <row r="528" customFormat="1" ht="14.25" customHeight="1" x14ac:dyDescent="0.3"/>
    <row r="529" customFormat="1" ht="14.25" customHeight="1" x14ac:dyDescent="0.3"/>
    <row r="530" customFormat="1" ht="14.25" customHeight="1" x14ac:dyDescent="0.3"/>
    <row r="531" customFormat="1" ht="14.25" customHeight="1" x14ac:dyDescent="0.3"/>
    <row r="532" customFormat="1" ht="14.25" customHeight="1" x14ac:dyDescent="0.3"/>
    <row r="533" customFormat="1" ht="14.25" customHeight="1" x14ac:dyDescent="0.3"/>
    <row r="534" customFormat="1" ht="14.25" customHeight="1" x14ac:dyDescent="0.3"/>
    <row r="535" customFormat="1" ht="14.25" customHeight="1" x14ac:dyDescent="0.3"/>
    <row r="536" customFormat="1" ht="14.25" customHeight="1" x14ac:dyDescent="0.3"/>
    <row r="537" customFormat="1" ht="14.25" customHeight="1" x14ac:dyDescent="0.3"/>
    <row r="538" customFormat="1" ht="14.25" customHeight="1" x14ac:dyDescent="0.3"/>
    <row r="539" customFormat="1" ht="14.25" customHeight="1" x14ac:dyDescent="0.3"/>
    <row r="540" customFormat="1" ht="14.25" customHeight="1" x14ac:dyDescent="0.3"/>
    <row r="541" customFormat="1" ht="14.25" customHeight="1" x14ac:dyDescent="0.3"/>
    <row r="542" customFormat="1" ht="14.25" customHeight="1" x14ac:dyDescent="0.3"/>
    <row r="543" customFormat="1" ht="14.25" customHeight="1" x14ac:dyDescent="0.3"/>
    <row r="544" customFormat="1" ht="14.25" customHeight="1" x14ac:dyDescent="0.3"/>
    <row r="545" customFormat="1" ht="14.25" customHeight="1" x14ac:dyDescent="0.3"/>
    <row r="546" customFormat="1" ht="14.25" customHeight="1" x14ac:dyDescent="0.3"/>
    <row r="547" customFormat="1" ht="14.25" customHeight="1" x14ac:dyDescent="0.3"/>
    <row r="548" customFormat="1" ht="14.25" customHeight="1" x14ac:dyDescent="0.3"/>
    <row r="549" customFormat="1" ht="14.25" customHeight="1" x14ac:dyDescent="0.3"/>
    <row r="550" customFormat="1" ht="14.25" customHeight="1" x14ac:dyDescent="0.3"/>
    <row r="551" customFormat="1" ht="14.25" customHeight="1" x14ac:dyDescent="0.3"/>
    <row r="552" customFormat="1" ht="14.25" customHeight="1" x14ac:dyDescent="0.3"/>
    <row r="553" customFormat="1" ht="14.25" customHeight="1" x14ac:dyDescent="0.3"/>
    <row r="554" customFormat="1" ht="14.25" customHeight="1" x14ac:dyDescent="0.3"/>
    <row r="555" customFormat="1" ht="14.25" customHeight="1" x14ac:dyDescent="0.3"/>
    <row r="556" customFormat="1" ht="14.25" customHeight="1" x14ac:dyDescent="0.3"/>
    <row r="557" customFormat="1" ht="14.25" customHeight="1" x14ac:dyDescent="0.3"/>
    <row r="558" customFormat="1" ht="14.25" customHeight="1" x14ac:dyDescent="0.3"/>
    <row r="559" customFormat="1" ht="14.25" customHeight="1" x14ac:dyDescent="0.3"/>
    <row r="560" customFormat="1" ht="14.25" customHeight="1" x14ac:dyDescent="0.3"/>
    <row r="561" customFormat="1" ht="14.25" customHeight="1" x14ac:dyDescent="0.3"/>
    <row r="562" customFormat="1" ht="14.25" customHeight="1" x14ac:dyDescent="0.3"/>
    <row r="563" customFormat="1" ht="14.25" customHeight="1" x14ac:dyDescent="0.3"/>
    <row r="564" customFormat="1" ht="14.25" customHeight="1" x14ac:dyDescent="0.3"/>
    <row r="565" customFormat="1" ht="14.25" customHeight="1" x14ac:dyDescent="0.3"/>
    <row r="566" customFormat="1" ht="14.25" customHeight="1" x14ac:dyDescent="0.3"/>
    <row r="567" customFormat="1" ht="14.25" customHeight="1" x14ac:dyDescent="0.3"/>
    <row r="568" customFormat="1" ht="14.25" customHeight="1" x14ac:dyDescent="0.3"/>
    <row r="569" customFormat="1" ht="14.25" customHeight="1" x14ac:dyDescent="0.3"/>
    <row r="570" customFormat="1" ht="14.25" customHeight="1" x14ac:dyDescent="0.3"/>
    <row r="571" customFormat="1" ht="14.25" customHeight="1" x14ac:dyDescent="0.3"/>
    <row r="572" customFormat="1" ht="14.25" customHeight="1" x14ac:dyDescent="0.3"/>
    <row r="573" customFormat="1" ht="14.25" customHeight="1" x14ac:dyDescent="0.3"/>
    <row r="574" customFormat="1" ht="14.25" customHeight="1" x14ac:dyDescent="0.3"/>
    <row r="575" customFormat="1" ht="14.25" customHeight="1" x14ac:dyDescent="0.3"/>
    <row r="576" customFormat="1" ht="14.25" customHeight="1" x14ac:dyDescent="0.3"/>
    <row r="577" customFormat="1" ht="14.25" customHeight="1" x14ac:dyDescent="0.3"/>
    <row r="578" customFormat="1" ht="14.25" customHeight="1" x14ac:dyDescent="0.3"/>
    <row r="579" customFormat="1" ht="14.25" customHeight="1" x14ac:dyDescent="0.3"/>
    <row r="580" customFormat="1" ht="14.25" customHeight="1" x14ac:dyDescent="0.3"/>
    <row r="581" customFormat="1" ht="14.25" customHeight="1" x14ac:dyDescent="0.3"/>
    <row r="582" customFormat="1" ht="14.25" customHeight="1" x14ac:dyDescent="0.3"/>
    <row r="583" customFormat="1" ht="14.25" customHeight="1" x14ac:dyDescent="0.3"/>
    <row r="584" customFormat="1" ht="14.25" customHeight="1" x14ac:dyDescent="0.3"/>
    <row r="585" customFormat="1" ht="14.25" customHeight="1" x14ac:dyDescent="0.3"/>
    <row r="586" customFormat="1" ht="14.25" customHeight="1" x14ac:dyDescent="0.3"/>
    <row r="587" customFormat="1" ht="14.25" customHeight="1" x14ac:dyDescent="0.3"/>
    <row r="588" customFormat="1" ht="14.25" customHeight="1" x14ac:dyDescent="0.3"/>
    <row r="589" customFormat="1" ht="14.25" customHeight="1" x14ac:dyDescent="0.3"/>
    <row r="590" customFormat="1" ht="14.25" customHeight="1" x14ac:dyDescent="0.3"/>
    <row r="591" customFormat="1" ht="14.25" customHeight="1" x14ac:dyDescent="0.3"/>
    <row r="592" customFormat="1" ht="14.25" customHeight="1" x14ac:dyDescent="0.3"/>
    <row r="593" customFormat="1" ht="14.25" customHeight="1" x14ac:dyDescent="0.3"/>
    <row r="594" customFormat="1" ht="14.25" customHeight="1" x14ac:dyDescent="0.3"/>
    <row r="595" customFormat="1" ht="14.25" customHeight="1" x14ac:dyDescent="0.3"/>
    <row r="596" customFormat="1" ht="14.25" customHeight="1" x14ac:dyDescent="0.3"/>
    <row r="597" customFormat="1" ht="14.25" customHeight="1" x14ac:dyDescent="0.3"/>
    <row r="598" customFormat="1" ht="14.25" customHeight="1" x14ac:dyDescent="0.3"/>
    <row r="599" customFormat="1" ht="14.25" customHeight="1" x14ac:dyDescent="0.3"/>
    <row r="600" customFormat="1" ht="14.25" customHeight="1" x14ac:dyDescent="0.3"/>
    <row r="601" customFormat="1" ht="14.25" customHeight="1" x14ac:dyDescent="0.3"/>
    <row r="602" customFormat="1" ht="14.25" customHeight="1" x14ac:dyDescent="0.3"/>
    <row r="603" customFormat="1" ht="14.25" customHeight="1" x14ac:dyDescent="0.3"/>
    <row r="604" customFormat="1" ht="14.25" customHeight="1" x14ac:dyDescent="0.3"/>
    <row r="605" customFormat="1" ht="14.25" customHeight="1" x14ac:dyDescent="0.3"/>
    <row r="606" customFormat="1" ht="14.25" customHeight="1" x14ac:dyDescent="0.3"/>
    <row r="607" customFormat="1" ht="14.25" customHeight="1" x14ac:dyDescent="0.3"/>
    <row r="608" customFormat="1" ht="14.25" customHeight="1" x14ac:dyDescent="0.3"/>
    <row r="609" customFormat="1" ht="14.25" customHeight="1" x14ac:dyDescent="0.3"/>
    <row r="610" customFormat="1" ht="14.25" customHeight="1" x14ac:dyDescent="0.3"/>
    <row r="611" customFormat="1" ht="14.25" customHeight="1" x14ac:dyDescent="0.3"/>
    <row r="612" customFormat="1" ht="14.25" customHeight="1" x14ac:dyDescent="0.3"/>
    <row r="613" customFormat="1" ht="14.25" customHeight="1" x14ac:dyDescent="0.3"/>
    <row r="614" customFormat="1" ht="14.25" customHeight="1" x14ac:dyDescent="0.3"/>
    <row r="615" customFormat="1" ht="14.25" customHeight="1" x14ac:dyDescent="0.3"/>
    <row r="616" customFormat="1" ht="14.25" customHeight="1" x14ac:dyDescent="0.3"/>
    <row r="617" customFormat="1" ht="14.25" customHeight="1" x14ac:dyDescent="0.3"/>
    <row r="618" customFormat="1" ht="14.25" customHeight="1" x14ac:dyDescent="0.3"/>
    <row r="619" customFormat="1" ht="14.25" customHeight="1" x14ac:dyDescent="0.3"/>
    <row r="620" customFormat="1" ht="14.25" customHeight="1" x14ac:dyDescent="0.3"/>
    <row r="621" customFormat="1" ht="14.25" customHeight="1" x14ac:dyDescent="0.3"/>
    <row r="622" customFormat="1" ht="14.25" customHeight="1" x14ac:dyDescent="0.3"/>
    <row r="623" customFormat="1" ht="14.25" customHeight="1" x14ac:dyDescent="0.3"/>
    <row r="624" customFormat="1" ht="14.25" customHeight="1" x14ac:dyDescent="0.3"/>
    <row r="625" customFormat="1" ht="14.25" customHeight="1" x14ac:dyDescent="0.3"/>
    <row r="626" customFormat="1" ht="14.25" customHeight="1" x14ac:dyDescent="0.3"/>
    <row r="627" customFormat="1" ht="14.25" customHeight="1" x14ac:dyDescent="0.3"/>
    <row r="628" customFormat="1" ht="14.25" customHeight="1" x14ac:dyDescent="0.3"/>
    <row r="629" customFormat="1" ht="14.25" customHeight="1" x14ac:dyDescent="0.3"/>
    <row r="630" customFormat="1" ht="14.25" customHeight="1" x14ac:dyDescent="0.3"/>
    <row r="631" customFormat="1" ht="14.25" customHeight="1" x14ac:dyDescent="0.3"/>
    <row r="632" customFormat="1" ht="14.25" customHeight="1" x14ac:dyDescent="0.3"/>
    <row r="633" customFormat="1" ht="14.25" customHeight="1" x14ac:dyDescent="0.3"/>
    <row r="634" customFormat="1" ht="14.25" customHeight="1" x14ac:dyDescent="0.3"/>
    <row r="635" customFormat="1" ht="14.25" customHeight="1" x14ac:dyDescent="0.3"/>
    <row r="636" customFormat="1" ht="14.25" customHeight="1" x14ac:dyDescent="0.3"/>
    <row r="637" customFormat="1" ht="14.25" customHeight="1" x14ac:dyDescent="0.3"/>
    <row r="638" customFormat="1" ht="14.25" customHeight="1" x14ac:dyDescent="0.3"/>
    <row r="639" customFormat="1" ht="14.25" customHeight="1" x14ac:dyDescent="0.3"/>
    <row r="640" customFormat="1" ht="14.25" customHeight="1" x14ac:dyDescent="0.3"/>
    <row r="641" customFormat="1" ht="14.25" customHeight="1" x14ac:dyDescent="0.3"/>
    <row r="642" customFormat="1" ht="14.25" customHeight="1" x14ac:dyDescent="0.3"/>
    <row r="643" customFormat="1" ht="14.25" customHeight="1" x14ac:dyDescent="0.3"/>
    <row r="644" customFormat="1" ht="14.25" customHeight="1" x14ac:dyDescent="0.3"/>
    <row r="645" customFormat="1" ht="14.25" customHeight="1" x14ac:dyDescent="0.3"/>
    <row r="646" customFormat="1" ht="14.25" customHeight="1" x14ac:dyDescent="0.3"/>
    <row r="647" customFormat="1" ht="14.25" customHeight="1" x14ac:dyDescent="0.3"/>
    <row r="648" customFormat="1" ht="14.25" customHeight="1" x14ac:dyDescent="0.3"/>
    <row r="649" customFormat="1" ht="14.25" customHeight="1" x14ac:dyDescent="0.3"/>
    <row r="650" customFormat="1" ht="14.25" customHeight="1" x14ac:dyDescent="0.3"/>
    <row r="651" customFormat="1" ht="14.25" customHeight="1" x14ac:dyDescent="0.3"/>
    <row r="652" customFormat="1" ht="14.25" customHeight="1" x14ac:dyDescent="0.3"/>
    <row r="653" customFormat="1" ht="14.25" customHeight="1" x14ac:dyDescent="0.3"/>
    <row r="654" customFormat="1" ht="14.25" customHeight="1" x14ac:dyDescent="0.3"/>
    <row r="655" customFormat="1" ht="14.25" customHeight="1" x14ac:dyDescent="0.3"/>
    <row r="656" customFormat="1" ht="14.25" customHeight="1" x14ac:dyDescent="0.3"/>
    <row r="657" customFormat="1" ht="14.25" customHeight="1" x14ac:dyDescent="0.3"/>
    <row r="658" customFormat="1" ht="14.25" customHeight="1" x14ac:dyDescent="0.3"/>
    <row r="659" customFormat="1" ht="14.25" customHeight="1" x14ac:dyDescent="0.3"/>
    <row r="660" customFormat="1" ht="14.25" customHeight="1" x14ac:dyDescent="0.3"/>
    <row r="661" customFormat="1" ht="14.25" customHeight="1" x14ac:dyDescent="0.3"/>
    <row r="662" customFormat="1" ht="14.25" customHeight="1" x14ac:dyDescent="0.3"/>
    <row r="663" customFormat="1" ht="14.25" customHeight="1" x14ac:dyDescent="0.3"/>
    <row r="664" customFormat="1" ht="14.25" customHeight="1" x14ac:dyDescent="0.3"/>
    <row r="665" customFormat="1" ht="14.25" customHeight="1" x14ac:dyDescent="0.3"/>
    <row r="666" customFormat="1" ht="14.25" customHeight="1" x14ac:dyDescent="0.3"/>
    <row r="667" customFormat="1" ht="14.25" customHeight="1" x14ac:dyDescent="0.3"/>
    <row r="668" customFormat="1" ht="14.25" customHeight="1" x14ac:dyDescent="0.3"/>
    <row r="669" customFormat="1" ht="14.25" customHeight="1" x14ac:dyDescent="0.3"/>
    <row r="670" customFormat="1" ht="14.25" customHeight="1" x14ac:dyDescent="0.3"/>
    <row r="671" customFormat="1" ht="14.25" customHeight="1" x14ac:dyDescent="0.3"/>
    <row r="672" customFormat="1" ht="14.25" customHeight="1" x14ac:dyDescent="0.3"/>
    <row r="673" customFormat="1" ht="14.25" customHeight="1" x14ac:dyDescent="0.3"/>
    <row r="674" customFormat="1" ht="14.25" customHeight="1" x14ac:dyDescent="0.3"/>
    <row r="675" customFormat="1" ht="14.25" customHeight="1" x14ac:dyDescent="0.3"/>
    <row r="676" customFormat="1" ht="14.25" customHeight="1" x14ac:dyDescent="0.3"/>
    <row r="677" customFormat="1" ht="14.25" customHeight="1" x14ac:dyDescent="0.3"/>
    <row r="678" customFormat="1" ht="14.25" customHeight="1" x14ac:dyDescent="0.3"/>
    <row r="679" customFormat="1" ht="14.25" customHeight="1" x14ac:dyDescent="0.3"/>
    <row r="680" customFormat="1" ht="14.25" customHeight="1" x14ac:dyDescent="0.3"/>
    <row r="681" customFormat="1" ht="14.25" customHeight="1" x14ac:dyDescent="0.3"/>
    <row r="682" customFormat="1" ht="14.25" customHeight="1" x14ac:dyDescent="0.3"/>
    <row r="683" customFormat="1" ht="14.25" customHeight="1" x14ac:dyDescent="0.3"/>
    <row r="684" customFormat="1" ht="14.25" customHeight="1" x14ac:dyDescent="0.3"/>
    <row r="685" customFormat="1" ht="14.25" customHeight="1" x14ac:dyDescent="0.3"/>
    <row r="686" customFormat="1" ht="14.25" customHeight="1" x14ac:dyDescent="0.3"/>
    <row r="687" customFormat="1" ht="14.25" customHeight="1" x14ac:dyDescent="0.3"/>
    <row r="688" customFormat="1" ht="14.25" customHeight="1" x14ac:dyDescent="0.3"/>
    <row r="689" customFormat="1" ht="14.25" customHeight="1" x14ac:dyDescent="0.3"/>
    <row r="690" customFormat="1" ht="14.25" customHeight="1" x14ac:dyDescent="0.3"/>
    <row r="691" customFormat="1" ht="14.25" customHeight="1" x14ac:dyDescent="0.3"/>
    <row r="692" customFormat="1" ht="14.25" customHeight="1" x14ac:dyDescent="0.3"/>
    <row r="693" customFormat="1" ht="14.25" customHeight="1" x14ac:dyDescent="0.3"/>
    <row r="694" customFormat="1" ht="14.25" customHeight="1" x14ac:dyDescent="0.3"/>
    <row r="695" customFormat="1" ht="14.25" customHeight="1" x14ac:dyDescent="0.3"/>
    <row r="696" customFormat="1" ht="14.25" customHeight="1" x14ac:dyDescent="0.3"/>
    <row r="697" customFormat="1" ht="14.25" customHeight="1" x14ac:dyDescent="0.3"/>
    <row r="698" customFormat="1" ht="14.25" customHeight="1" x14ac:dyDescent="0.3"/>
    <row r="699" customFormat="1" ht="14.25" customHeight="1" x14ac:dyDescent="0.3"/>
    <row r="700" customFormat="1" ht="14.25" customHeight="1" x14ac:dyDescent="0.3"/>
    <row r="701" customFormat="1" ht="14.25" customHeight="1" x14ac:dyDescent="0.3"/>
    <row r="702" customFormat="1" ht="14.25" customHeight="1" x14ac:dyDescent="0.3"/>
    <row r="703" customFormat="1" ht="14.25" customHeight="1" x14ac:dyDescent="0.3"/>
    <row r="704" customFormat="1" ht="14.25" customHeight="1" x14ac:dyDescent="0.3"/>
    <row r="705" customFormat="1" ht="14.25" customHeight="1" x14ac:dyDescent="0.3"/>
    <row r="706" customFormat="1" ht="14.25" customHeight="1" x14ac:dyDescent="0.3"/>
    <row r="707" customFormat="1" ht="14.25" customHeight="1" x14ac:dyDescent="0.3"/>
    <row r="708" customFormat="1" ht="14.25" customHeight="1" x14ac:dyDescent="0.3"/>
    <row r="709" customFormat="1" ht="14.25" customHeight="1" x14ac:dyDescent="0.3"/>
    <row r="710" customFormat="1" ht="14.25" customHeight="1" x14ac:dyDescent="0.3"/>
    <row r="711" customFormat="1" ht="14.25" customHeight="1" x14ac:dyDescent="0.3"/>
    <row r="712" customFormat="1" ht="14.25" customHeight="1" x14ac:dyDescent="0.3"/>
    <row r="713" customFormat="1" ht="14.25" customHeight="1" x14ac:dyDescent="0.3"/>
    <row r="714" customFormat="1" ht="14.25" customHeight="1" x14ac:dyDescent="0.3"/>
    <row r="715" customFormat="1" ht="14.25" customHeight="1" x14ac:dyDescent="0.3"/>
    <row r="716" customFormat="1" ht="14.25" customHeight="1" x14ac:dyDescent="0.3"/>
    <row r="717" customFormat="1" ht="14.25" customHeight="1" x14ac:dyDescent="0.3"/>
    <row r="718" customFormat="1" ht="14.25" customHeight="1" x14ac:dyDescent="0.3"/>
    <row r="719" customFormat="1" ht="14.25" customHeight="1" x14ac:dyDescent="0.3"/>
    <row r="720" customFormat="1" ht="14.25" customHeight="1" x14ac:dyDescent="0.3"/>
    <row r="721" customFormat="1" ht="14.25" customHeight="1" x14ac:dyDescent="0.3"/>
    <row r="722" customFormat="1" ht="14.25" customHeight="1" x14ac:dyDescent="0.3"/>
    <row r="723" customFormat="1" ht="14.25" customHeight="1" x14ac:dyDescent="0.3"/>
    <row r="724" customFormat="1" ht="14.25" customHeight="1" x14ac:dyDescent="0.3"/>
    <row r="725" customFormat="1" ht="14.25" customHeight="1" x14ac:dyDescent="0.3"/>
    <row r="726" customFormat="1" ht="14.25" customHeight="1" x14ac:dyDescent="0.3"/>
    <row r="727" customFormat="1" ht="14.25" customHeight="1" x14ac:dyDescent="0.3"/>
    <row r="728" customFormat="1" ht="14.25" customHeight="1" x14ac:dyDescent="0.3"/>
    <row r="729" customFormat="1" ht="14.25" customHeight="1" x14ac:dyDescent="0.3"/>
    <row r="730" customFormat="1" ht="14.25" customHeight="1" x14ac:dyDescent="0.3"/>
    <row r="731" customFormat="1" ht="14.25" customHeight="1" x14ac:dyDescent="0.3"/>
    <row r="732" customFormat="1" ht="14.25" customHeight="1" x14ac:dyDescent="0.3"/>
    <row r="733" customFormat="1" ht="14.25" customHeight="1" x14ac:dyDescent="0.3"/>
    <row r="734" customFormat="1" ht="14.25" customHeight="1" x14ac:dyDescent="0.3"/>
    <row r="735" customFormat="1" ht="14.25" customHeight="1" x14ac:dyDescent="0.3"/>
    <row r="736" customFormat="1" ht="14.25" customHeight="1" x14ac:dyDescent="0.3"/>
    <row r="737" customFormat="1" ht="14.25" customHeight="1" x14ac:dyDescent="0.3"/>
    <row r="738" customFormat="1" ht="14.25" customHeight="1" x14ac:dyDescent="0.3"/>
    <row r="739" customFormat="1" ht="14.25" customHeight="1" x14ac:dyDescent="0.3"/>
    <row r="740" customFormat="1" ht="14.25" customHeight="1" x14ac:dyDescent="0.3"/>
    <row r="741" customFormat="1" ht="14.25" customHeight="1" x14ac:dyDescent="0.3"/>
    <row r="742" customFormat="1" ht="14.25" customHeight="1" x14ac:dyDescent="0.3"/>
    <row r="743" customFormat="1" ht="14.25" customHeight="1" x14ac:dyDescent="0.3"/>
    <row r="744" customFormat="1" ht="14.25" customHeight="1" x14ac:dyDescent="0.3"/>
    <row r="745" customFormat="1" ht="14.25" customHeight="1" x14ac:dyDescent="0.3"/>
    <row r="746" customFormat="1" ht="14.25" customHeight="1" x14ac:dyDescent="0.3"/>
    <row r="747" customFormat="1" ht="14.25" customHeight="1" x14ac:dyDescent="0.3"/>
    <row r="748" customFormat="1" ht="14.25" customHeight="1" x14ac:dyDescent="0.3"/>
    <row r="749" customFormat="1" ht="14.25" customHeight="1" x14ac:dyDescent="0.3"/>
    <row r="750" customFormat="1" ht="14.25" customHeight="1" x14ac:dyDescent="0.3"/>
    <row r="751" customFormat="1" ht="14.25" customHeight="1" x14ac:dyDescent="0.3"/>
    <row r="752" customFormat="1" ht="14.25" customHeight="1" x14ac:dyDescent="0.3"/>
    <row r="753" customFormat="1" ht="14.25" customHeight="1" x14ac:dyDescent="0.3"/>
    <row r="754" customFormat="1" ht="14.25" customHeight="1" x14ac:dyDescent="0.3"/>
    <row r="755" customFormat="1" ht="14.25" customHeight="1" x14ac:dyDescent="0.3"/>
    <row r="756" customFormat="1" ht="14.25" customHeight="1" x14ac:dyDescent="0.3"/>
    <row r="757" customFormat="1" ht="14.25" customHeight="1" x14ac:dyDescent="0.3"/>
    <row r="758" customFormat="1" ht="14.25" customHeight="1" x14ac:dyDescent="0.3"/>
    <row r="759" customFormat="1" ht="14.25" customHeight="1" x14ac:dyDescent="0.3"/>
    <row r="760" customFormat="1" ht="14.25" customHeight="1" x14ac:dyDescent="0.3"/>
    <row r="761" customFormat="1" ht="14.25" customHeight="1" x14ac:dyDescent="0.3"/>
    <row r="762" customFormat="1" ht="14.25" customHeight="1" x14ac:dyDescent="0.3"/>
    <row r="763" customFormat="1" ht="14.25" customHeight="1" x14ac:dyDescent="0.3"/>
    <row r="764" customFormat="1" ht="14.25" customHeight="1" x14ac:dyDescent="0.3"/>
    <row r="765" customFormat="1" ht="14.25" customHeight="1" x14ac:dyDescent="0.3"/>
    <row r="766" customFormat="1" ht="14.25" customHeight="1" x14ac:dyDescent="0.3"/>
    <row r="767" customFormat="1" ht="14.25" customHeight="1" x14ac:dyDescent="0.3"/>
    <row r="768" customFormat="1" ht="14.25" customHeight="1" x14ac:dyDescent="0.3"/>
    <row r="769" customFormat="1" ht="14.25" customHeight="1" x14ac:dyDescent="0.3"/>
    <row r="770" customFormat="1" ht="14.25" customHeight="1" x14ac:dyDescent="0.3"/>
    <row r="771" customFormat="1" ht="14.25" customHeight="1" x14ac:dyDescent="0.3"/>
    <row r="772" customFormat="1" ht="14.25" customHeight="1" x14ac:dyDescent="0.3"/>
    <row r="773" customFormat="1" ht="14.25" customHeight="1" x14ac:dyDescent="0.3"/>
    <row r="774" customFormat="1" ht="14.25" customHeight="1" x14ac:dyDescent="0.3"/>
    <row r="775" customFormat="1" ht="14.25" customHeight="1" x14ac:dyDescent="0.3"/>
    <row r="776" customFormat="1" ht="14.25" customHeight="1" x14ac:dyDescent="0.3"/>
    <row r="777" customFormat="1" ht="14.25" customHeight="1" x14ac:dyDescent="0.3"/>
    <row r="778" customFormat="1" ht="14.25" customHeight="1" x14ac:dyDescent="0.3"/>
    <row r="779" customFormat="1" ht="14.25" customHeight="1" x14ac:dyDescent="0.3"/>
    <row r="780" customFormat="1" ht="14.25" customHeight="1" x14ac:dyDescent="0.3"/>
    <row r="781" customFormat="1" ht="14.25" customHeight="1" x14ac:dyDescent="0.3"/>
    <row r="782" customFormat="1" ht="14.25" customHeight="1" x14ac:dyDescent="0.3"/>
    <row r="783" customFormat="1" ht="14.25" customHeight="1" x14ac:dyDescent="0.3"/>
    <row r="784" customFormat="1" ht="14.25" customHeight="1" x14ac:dyDescent="0.3"/>
    <row r="785" customFormat="1" ht="14.25" customHeight="1" x14ac:dyDescent="0.3"/>
    <row r="786" customFormat="1" ht="14.25" customHeight="1" x14ac:dyDescent="0.3"/>
    <row r="787" customFormat="1" ht="14.25" customHeight="1" x14ac:dyDescent="0.3"/>
    <row r="788" customFormat="1" ht="14.25" customHeight="1" x14ac:dyDescent="0.3"/>
    <row r="789" customFormat="1" ht="14.25" customHeight="1" x14ac:dyDescent="0.3"/>
    <row r="790" customFormat="1" ht="14.25" customHeight="1" x14ac:dyDescent="0.3"/>
    <row r="791" customFormat="1" ht="14.25" customHeight="1" x14ac:dyDescent="0.3"/>
    <row r="792" customFormat="1" ht="14.25" customHeight="1" x14ac:dyDescent="0.3"/>
    <row r="793" customFormat="1" ht="14.25" customHeight="1" x14ac:dyDescent="0.3"/>
    <row r="794" customFormat="1" ht="14.25" customHeight="1" x14ac:dyDescent="0.3"/>
    <row r="795" customFormat="1" ht="14.25" customHeight="1" x14ac:dyDescent="0.3"/>
    <row r="796" customFormat="1" ht="14.25" customHeight="1" x14ac:dyDescent="0.3"/>
    <row r="797" customFormat="1" ht="14.25" customHeight="1" x14ac:dyDescent="0.3"/>
    <row r="798" customFormat="1" ht="14.25" customHeight="1" x14ac:dyDescent="0.3"/>
    <row r="799" customFormat="1" ht="14.25" customHeight="1" x14ac:dyDescent="0.3"/>
    <row r="800" customFormat="1" ht="14.25" customHeight="1" x14ac:dyDescent="0.3"/>
    <row r="801" customFormat="1" ht="14.25" customHeight="1" x14ac:dyDescent="0.3"/>
    <row r="802" customFormat="1" ht="14.25" customHeight="1" x14ac:dyDescent="0.3"/>
    <row r="803" customFormat="1" ht="14.25" customHeight="1" x14ac:dyDescent="0.3"/>
    <row r="804" customFormat="1" ht="14.25" customHeight="1" x14ac:dyDescent="0.3"/>
    <row r="805" customFormat="1" ht="14.25" customHeight="1" x14ac:dyDescent="0.3"/>
    <row r="806" customFormat="1" ht="14.25" customHeight="1" x14ac:dyDescent="0.3"/>
    <row r="807" customFormat="1" ht="14.25" customHeight="1" x14ac:dyDescent="0.3"/>
    <row r="808" customFormat="1" ht="14.25" customHeight="1" x14ac:dyDescent="0.3"/>
    <row r="809" customFormat="1" ht="14.25" customHeight="1" x14ac:dyDescent="0.3"/>
    <row r="810" customFormat="1" ht="14.25" customHeight="1" x14ac:dyDescent="0.3"/>
    <row r="811" customFormat="1" ht="14.25" customHeight="1" x14ac:dyDescent="0.3"/>
    <row r="812" customFormat="1" ht="14.25" customHeight="1" x14ac:dyDescent="0.3"/>
    <row r="813" customFormat="1" ht="14.25" customHeight="1" x14ac:dyDescent="0.3"/>
    <row r="814" customFormat="1" ht="14.25" customHeight="1" x14ac:dyDescent="0.3"/>
    <row r="815" customFormat="1" ht="14.25" customHeight="1" x14ac:dyDescent="0.3"/>
    <row r="816" customFormat="1" ht="14.25" customHeight="1" x14ac:dyDescent="0.3"/>
    <row r="817" customFormat="1" ht="14.25" customHeight="1" x14ac:dyDescent="0.3"/>
    <row r="818" customFormat="1" ht="14.25" customHeight="1" x14ac:dyDescent="0.3"/>
    <row r="819" customFormat="1" ht="14.25" customHeight="1" x14ac:dyDescent="0.3"/>
    <row r="820" customFormat="1" ht="14.25" customHeight="1" x14ac:dyDescent="0.3"/>
    <row r="821" customFormat="1" ht="14.25" customHeight="1" x14ac:dyDescent="0.3"/>
    <row r="822" customFormat="1" ht="14.25" customHeight="1" x14ac:dyDescent="0.3"/>
    <row r="823" customFormat="1" ht="14.25" customHeight="1" x14ac:dyDescent="0.3"/>
    <row r="824" customFormat="1" ht="14.25" customHeight="1" x14ac:dyDescent="0.3"/>
    <row r="825" customFormat="1" ht="14.25" customHeight="1" x14ac:dyDescent="0.3"/>
    <row r="826" customFormat="1" ht="14.25" customHeight="1" x14ac:dyDescent="0.3"/>
    <row r="827" customFormat="1" ht="14.25" customHeight="1" x14ac:dyDescent="0.3"/>
    <row r="828" customFormat="1" ht="14.25" customHeight="1" x14ac:dyDescent="0.3"/>
    <row r="829" customFormat="1" ht="14.25" customHeight="1" x14ac:dyDescent="0.3"/>
    <row r="830" customFormat="1" ht="14.25" customHeight="1" x14ac:dyDescent="0.3"/>
    <row r="831" customFormat="1" ht="14.25" customHeight="1" x14ac:dyDescent="0.3"/>
    <row r="832" customFormat="1" ht="14.25" customHeight="1" x14ac:dyDescent="0.3"/>
    <row r="833" customFormat="1" ht="14.25" customHeight="1" x14ac:dyDescent="0.3"/>
    <row r="834" customFormat="1" ht="14.25" customHeight="1" x14ac:dyDescent="0.3"/>
    <row r="835" customFormat="1" ht="14.25" customHeight="1" x14ac:dyDescent="0.3"/>
    <row r="836" customFormat="1" ht="14.25" customHeight="1" x14ac:dyDescent="0.3"/>
    <row r="837" customFormat="1" ht="14.25" customHeight="1" x14ac:dyDescent="0.3"/>
    <row r="838" customFormat="1" ht="14.25" customHeight="1" x14ac:dyDescent="0.3"/>
    <row r="839" customFormat="1" ht="14.25" customHeight="1" x14ac:dyDescent="0.3"/>
    <row r="840" customFormat="1" ht="14.25" customHeight="1" x14ac:dyDescent="0.3"/>
    <row r="841" customFormat="1" ht="14.25" customHeight="1" x14ac:dyDescent="0.3"/>
    <row r="842" customFormat="1" ht="14.25" customHeight="1" x14ac:dyDescent="0.3"/>
    <row r="843" customFormat="1" ht="14.25" customHeight="1" x14ac:dyDescent="0.3"/>
    <row r="844" customFormat="1" ht="14.25" customHeight="1" x14ac:dyDescent="0.3"/>
    <row r="845" customFormat="1" ht="14.25" customHeight="1" x14ac:dyDescent="0.3"/>
    <row r="846" customFormat="1" ht="14.25" customHeight="1" x14ac:dyDescent="0.3"/>
    <row r="847" customFormat="1" ht="14.25" customHeight="1" x14ac:dyDescent="0.3"/>
    <row r="848" customFormat="1" ht="14.25" customHeight="1" x14ac:dyDescent="0.3"/>
    <row r="849" customFormat="1" ht="14.25" customHeight="1" x14ac:dyDescent="0.3"/>
    <row r="850" customFormat="1" ht="14.25" customHeight="1" x14ac:dyDescent="0.3"/>
    <row r="851" customFormat="1" ht="14.25" customHeight="1" x14ac:dyDescent="0.3"/>
    <row r="852" customFormat="1" ht="14.25" customHeight="1" x14ac:dyDescent="0.3"/>
    <row r="853" customFormat="1" ht="14.25" customHeight="1" x14ac:dyDescent="0.3"/>
    <row r="854" customFormat="1" ht="14.25" customHeight="1" x14ac:dyDescent="0.3"/>
    <row r="855" customFormat="1" ht="14.25" customHeight="1" x14ac:dyDescent="0.3"/>
    <row r="856" customFormat="1" ht="14.25" customHeight="1" x14ac:dyDescent="0.3"/>
    <row r="857" customFormat="1" ht="14.25" customHeight="1" x14ac:dyDescent="0.3"/>
    <row r="858" customFormat="1" ht="14.25" customHeight="1" x14ac:dyDescent="0.3"/>
    <row r="859" customFormat="1" ht="14.25" customHeight="1" x14ac:dyDescent="0.3"/>
    <row r="860" customFormat="1" ht="14.25" customHeight="1" x14ac:dyDescent="0.3"/>
    <row r="861" customFormat="1" ht="14.25" customHeight="1" x14ac:dyDescent="0.3"/>
    <row r="862" customFormat="1" ht="14.25" customHeight="1" x14ac:dyDescent="0.3"/>
    <row r="863" customFormat="1" ht="14.25" customHeight="1" x14ac:dyDescent="0.3"/>
    <row r="864" customFormat="1" ht="14.25" customHeight="1" x14ac:dyDescent="0.3"/>
    <row r="865" customFormat="1" ht="14.25" customHeight="1" x14ac:dyDescent="0.3"/>
    <row r="866" customFormat="1" ht="14.25" customHeight="1" x14ac:dyDescent="0.3"/>
    <row r="867" customFormat="1" ht="14.25" customHeight="1" x14ac:dyDescent="0.3"/>
    <row r="868" customFormat="1" ht="14.25" customHeight="1" x14ac:dyDescent="0.3"/>
    <row r="869" customFormat="1" ht="14.25" customHeight="1" x14ac:dyDescent="0.3"/>
    <row r="870" customFormat="1" ht="14.25" customHeight="1" x14ac:dyDescent="0.3"/>
    <row r="871" customFormat="1" ht="14.25" customHeight="1" x14ac:dyDescent="0.3"/>
    <row r="872" customFormat="1" ht="14.25" customHeight="1" x14ac:dyDescent="0.3"/>
    <row r="873" customFormat="1" ht="14.25" customHeight="1" x14ac:dyDescent="0.3"/>
    <row r="874" customFormat="1" ht="14.25" customHeight="1" x14ac:dyDescent="0.3"/>
    <row r="875" customFormat="1" ht="14.25" customHeight="1" x14ac:dyDescent="0.3"/>
    <row r="876" customFormat="1" ht="14.25" customHeight="1" x14ac:dyDescent="0.3"/>
    <row r="877" customFormat="1" ht="14.25" customHeight="1" x14ac:dyDescent="0.3"/>
    <row r="878" customFormat="1" ht="14.25" customHeight="1" x14ac:dyDescent="0.3"/>
    <row r="879" customFormat="1" ht="14.25" customHeight="1" x14ac:dyDescent="0.3"/>
    <row r="880" customFormat="1" ht="14.25" customHeight="1" x14ac:dyDescent="0.3"/>
    <row r="881" customFormat="1" ht="14.25" customHeight="1" x14ac:dyDescent="0.3"/>
    <row r="882" customFormat="1" ht="14.25" customHeight="1" x14ac:dyDescent="0.3"/>
    <row r="883" customFormat="1" ht="14.25" customHeight="1" x14ac:dyDescent="0.3"/>
    <row r="884" customFormat="1" ht="14.25" customHeight="1" x14ac:dyDescent="0.3"/>
    <row r="885" customFormat="1" ht="14.25" customHeight="1" x14ac:dyDescent="0.3"/>
    <row r="886" customFormat="1" ht="14.25" customHeight="1" x14ac:dyDescent="0.3"/>
    <row r="887" customFormat="1" ht="14.25" customHeight="1" x14ac:dyDescent="0.3"/>
    <row r="888" customFormat="1" ht="14.25" customHeight="1" x14ac:dyDescent="0.3"/>
    <row r="889" customFormat="1" ht="14.25" customHeight="1" x14ac:dyDescent="0.3"/>
    <row r="890" customFormat="1" ht="14.25" customHeight="1" x14ac:dyDescent="0.3"/>
    <row r="891" customFormat="1" ht="14.25" customHeight="1" x14ac:dyDescent="0.3"/>
    <row r="892" customFormat="1" ht="14.25" customHeight="1" x14ac:dyDescent="0.3"/>
    <row r="893" customFormat="1" ht="14.25" customHeight="1" x14ac:dyDescent="0.3"/>
    <row r="894" customFormat="1" ht="14.25" customHeight="1" x14ac:dyDescent="0.3"/>
    <row r="895" customFormat="1" ht="14.25" customHeight="1" x14ac:dyDescent="0.3"/>
    <row r="896" customFormat="1" ht="14.25" customHeight="1" x14ac:dyDescent="0.3"/>
    <row r="897" customFormat="1" ht="14.25" customHeight="1" x14ac:dyDescent="0.3"/>
    <row r="898" customFormat="1" ht="14.25" customHeight="1" x14ac:dyDescent="0.3"/>
    <row r="899" customFormat="1" ht="14.25" customHeight="1" x14ac:dyDescent="0.3"/>
    <row r="900" customFormat="1" ht="14.25" customHeight="1" x14ac:dyDescent="0.3"/>
    <row r="901" customFormat="1" ht="14.25" customHeight="1" x14ac:dyDescent="0.3"/>
    <row r="902" customFormat="1" ht="14.25" customHeight="1" x14ac:dyDescent="0.3"/>
    <row r="903" customFormat="1" ht="14.25" customHeight="1" x14ac:dyDescent="0.3"/>
    <row r="904" customFormat="1" ht="14.25" customHeight="1" x14ac:dyDescent="0.3"/>
    <row r="905" customFormat="1" ht="14.25" customHeight="1" x14ac:dyDescent="0.3"/>
    <row r="906" customFormat="1" ht="14.25" customHeight="1" x14ac:dyDescent="0.3"/>
    <row r="907" customFormat="1" ht="14.25" customHeight="1" x14ac:dyDescent="0.3"/>
    <row r="908" customFormat="1" ht="14.25" customHeight="1" x14ac:dyDescent="0.3"/>
    <row r="909" customFormat="1" ht="14.25" customHeight="1" x14ac:dyDescent="0.3"/>
    <row r="910" customFormat="1" ht="14.25" customHeight="1" x14ac:dyDescent="0.3"/>
    <row r="911" customFormat="1" ht="14.25" customHeight="1" x14ac:dyDescent="0.3"/>
    <row r="912" customFormat="1" ht="14.25" customHeight="1" x14ac:dyDescent="0.3"/>
    <row r="913" customFormat="1" ht="14.25" customHeight="1" x14ac:dyDescent="0.3"/>
    <row r="914" customFormat="1" ht="14.25" customHeight="1" x14ac:dyDescent="0.3"/>
    <row r="915" customFormat="1" ht="14.25" customHeight="1" x14ac:dyDescent="0.3"/>
    <row r="916" customFormat="1" ht="14.25" customHeight="1" x14ac:dyDescent="0.3"/>
    <row r="917" customFormat="1" ht="14.25" customHeight="1" x14ac:dyDescent="0.3"/>
    <row r="918" customFormat="1" ht="14.25" customHeight="1" x14ac:dyDescent="0.3"/>
    <row r="919" customFormat="1" ht="14.25" customHeight="1" x14ac:dyDescent="0.3"/>
    <row r="920" customFormat="1" ht="14.25" customHeight="1" x14ac:dyDescent="0.3"/>
    <row r="921" customFormat="1" ht="14.25" customHeight="1" x14ac:dyDescent="0.3"/>
    <row r="922" customFormat="1" ht="14.25" customHeight="1" x14ac:dyDescent="0.3"/>
    <row r="923" customFormat="1" ht="14.25" customHeight="1" x14ac:dyDescent="0.3"/>
    <row r="924" customFormat="1" ht="14.25" customHeight="1" x14ac:dyDescent="0.3"/>
    <row r="925" customFormat="1" ht="14.25" customHeight="1" x14ac:dyDescent="0.3"/>
    <row r="926" customFormat="1" ht="14.25" customHeight="1" x14ac:dyDescent="0.3"/>
    <row r="927" customFormat="1" ht="14.25" customHeight="1" x14ac:dyDescent="0.3"/>
    <row r="928" customFormat="1" ht="14.25" customHeight="1" x14ac:dyDescent="0.3"/>
    <row r="929" customFormat="1" ht="14.25" customHeight="1" x14ac:dyDescent="0.3"/>
    <row r="930" customFormat="1" ht="14.25" customHeight="1" x14ac:dyDescent="0.3"/>
    <row r="931" customFormat="1" ht="14.25" customHeight="1" x14ac:dyDescent="0.3"/>
    <row r="932" customFormat="1" ht="14.25" customHeight="1" x14ac:dyDescent="0.3"/>
    <row r="933" customFormat="1" ht="14.25" customHeight="1" x14ac:dyDescent="0.3"/>
    <row r="934" customFormat="1" ht="14.25" customHeight="1" x14ac:dyDescent="0.3"/>
    <row r="935" customFormat="1" ht="14.25" customHeight="1" x14ac:dyDescent="0.3"/>
    <row r="936" customFormat="1" ht="14.25" customHeight="1" x14ac:dyDescent="0.3"/>
    <row r="937" customFormat="1" ht="14.25" customHeight="1" x14ac:dyDescent="0.3"/>
    <row r="938" customFormat="1" ht="14.25" customHeight="1" x14ac:dyDescent="0.3"/>
    <row r="939" customFormat="1" ht="14.25" customHeight="1" x14ac:dyDescent="0.3"/>
    <row r="940" customFormat="1" ht="14.25" customHeight="1" x14ac:dyDescent="0.3"/>
    <row r="941" customFormat="1" ht="14.25" customHeight="1" x14ac:dyDescent="0.3"/>
    <row r="942" customFormat="1" ht="14.25" customHeight="1" x14ac:dyDescent="0.3"/>
    <row r="943" customFormat="1" ht="14.25" customHeight="1" x14ac:dyDescent="0.3"/>
    <row r="944" customFormat="1" ht="14.25" customHeight="1" x14ac:dyDescent="0.3"/>
    <row r="945" customFormat="1" ht="14.25" customHeight="1" x14ac:dyDescent="0.3"/>
    <row r="946" customFormat="1" ht="14.25" customHeight="1" x14ac:dyDescent="0.3"/>
    <row r="947" customFormat="1" ht="14.25" customHeight="1" x14ac:dyDescent="0.3"/>
    <row r="948" customFormat="1" ht="14.25" customHeight="1" x14ac:dyDescent="0.3"/>
    <row r="949" customFormat="1" ht="14.25" customHeight="1" x14ac:dyDescent="0.3"/>
    <row r="950" customFormat="1" ht="14.25" customHeight="1" x14ac:dyDescent="0.3"/>
    <row r="951" customFormat="1" ht="14.25" customHeight="1" x14ac:dyDescent="0.3"/>
    <row r="952" customFormat="1" ht="14.25" customHeight="1" x14ac:dyDescent="0.3"/>
    <row r="953" customFormat="1" ht="14.25" customHeight="1" x14ac:dyDescent="0.3"/>
    <row r="954" customFormat="1" ht="14.25" customHeight="1" x14ac:dyDescent="0.3"/>
    <row r="955" customFormat="1" ht="14.25" customHeight="1" x14ac:dyDescent="0.3"/>
    <row r="956" customFormat="1" ht="14.25" customHeight="1" x14ac:dyDescent="0.3"/>
    <row r="957" customFormat="1" ht="14.25" customHeight="1" x14ac:dyDescent="0.3"/>
    <row r="958" customFormat="1" ht="14.25" customHeight="1" x14ac:dyDescent="0.3"/>
    <row r="959" customFormat="1" ht="14.25" customHeight="1" x14ac:dyDescent="0.3"/>
    <row r="960" customFormat="1" ht="14.25" customHeight="1" x14ac:dyDescent="0.3"/>
    <row r="961" customFormat="1" ht="14.25" customHeight="1" x14ac:dyDescent="0.3"/>
    <row r="962" customFormat="1" ht="14.25" customHeight="1" x14ac:dyDescent="0.3"/>
    <row r="963" customFormat="1" ht="14.25" customHeight="1" x14ac:dyDescent="0.3"/>
    <row r="964" customFormat="1" ht="14.25" customHeight="1" x14ac:dyDescent="0.3"/>
    <row r="965" customFormat="1" ht="14.25" customHeight="1" x14ac:dyDescent="0.3"/>
    <row r="966" customFormat="1" ht="14.25" customHeight="1" x14ac:dyDescent="0.3"/>
    <row r="967" customFormat="1" ht="14.25" customHeight="1" x14ac:dyDescent="0.3"/>
    <row r="968" customFormat="1" ht="14.25" customHeight="1" x14ac:dyDescent="0.3"/>
    <row r="969" customFormat="1" ht="14.25" customHeight="1" x14ac:dyDescent="0.3"/>
    <row r="970" customFormat="1" ht="14.25" customHeight="1" x14ac:dyDescent="0.3"/>
    <row r="971" customFormat="1" ht="14.25" customHeight="1" x14ac:dyDescent="0.3"/>
    <row r="972" customFormat="1" ht="14.25" customHeight="1" x14ac:dyDescent="0.3"/>
    <row r="973" customFormat="1" ht="14.25" customHeight="1" x14ac:dyDescent="0.3"/>
    <row r="974" customFormat="1" ht="14.25" customHeight="1" x14ac:dyDescent="0.3"/>
    <row r="975" customFormat="1" ht="14.25" customHeight="1" x14ac:dyDescent="0.3"/>
    <row r="976" customFormat="1" ht="14.25" customHeight="1" x14ac:dyDescent="0.3"/>
    <row r="977" customFormat="1" ht="14.25" customHeight="1" x14ac:dyDescent="0.3"/>
    <row r="978" customFormat="1" ht="14.25" customHeight="1" x14ac:dyDescent="0.3"/>
    <row r="979" customFormat="1" ht="14.25" customHeight="1" x14ac:dyDescent="0.3"/>
    <row r="980" customFormat="1" ht="14.25" customHeight="1" x14ac:dyDescent="0.3"/>
    <row r="981" customFormat="1" ht="14.25" customHeight="1" x14ac:dyDescent="0.3"/>
    <row r="982" customFormat="1" ht="14.25" customHeight="1" x14ac:dyDescent="0.3"/>
    <row r="983" customFormat="1" ht="14.25" customHeight="1" x14ac:dyDescent="0.3"/>
    <row r="984" customFormat="1" ht="14.25" customHeight="1" x14ac:dyDescent="0.3"/>
    <row r="985" customFormat="1" ht="14.25" customHeight="1" x14ac:dyDescent="0.3"/>
    <row r="986" customFormat="1" ht="14.25" customHeight="1" x14ac:dyDescent="0.3"/>
    <row r="987" customFormat="1" ht="14.25" customHeight="1" x14ac:dyDescent="0.3"/>
    <row r="988" customFormat="1" ht="14.25" customHeight="1" x14ac:dyDescent="0.3"/>
    <row r="989" customFormat="1" ht="14.25" customHeight="1" x14ac:dyDescent="0.3"/>
    <row r="990" customFormat="1" ht="14.25" customHeight="1" x14ac:dyDescent="0.3"/>
    <row r="991" customFormat="1" ht="14.25" customHeight="1" x14ac:dyDescent="0.3"/>
    <row r="992" customFormat="1" ht="14.25" customHeight="1" x14ac:dyDescent="0.3"/>
    <row r="993" customFormat="1" ht="14.25" customHeight="1" x14ac:dyDescent="0.3"/>
    <row r="994" customFormat="1" ht="14.25" customHeight="1" x14ac:dyDescent="0.3"/>
    <row r="995" customFormat="1" ht="14.25" customHeight="1" x14ac:dyDescent="0.3"/>
    <row r="996" customFormat="1" ht="14.25" customHeight="1" x14ac:dyDescent="0.3"/>
    <row r="997" customFormat="1" ht="14.25" customHeight="1" x14ac:dyDescent="0.3"/>
    <row r="998" customFormat="1" ht="14.25" customHeight="1" x14ac:dyDescent="0.3"/>
    <row r="999" customFormat="1" ht="14.25" customHeight="1" x14ac:dyDescent="0.3"/>
    <row r="1000" customFormat="1" ht="14.25" customHeight="1" x14ac:dyDescent="0.3"/>
  </sheetData>
  <mergeCells count="2">
    <mergeCell ref="B2:H2"/>
    <mergeCell ref="B1:H1"/>
  </mergeCells>
  <conditionalFormatting sqref="F6:F26">
    <cfRule type="cellIs" dxfId="13" priority="1" operator="lessThan">
      <formula>0</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6963-F85B-462B-A84D-6A5CD7F7D671}">
  <dimension ref="A1:B6"/>
  <sheetViews>
    <sheetView zoomScale="160" zoomScaleNormal="160" workbookViewId="0">
      <selection activeCell="B15" sqref="B15"/>
    </sheetView>
  </sheetViews>
  <sheetFormatPr defaultRowHeight="14.4" x14ac:dyDescent="0.3"/>
  <cols>
    <col min="1" max="1" width="13.44140625" bestFit="1" customWidth="1"/>
  </cols>
  <sheetData>
    <row r="1" spans="1:2" x14ac:dyDescent="0.3">
      <c r="A1" s="198" t="s">
        <v>218</v>
      </c>
      <c r="B1" s="198" t="s">
        <v>513</v>
      </c>
    </row>
    <row r="2" spans="1:2" x14ac:dyDescent="0.3">
      <c r="A2" s="197" t="s">
        <v>512</v>
      </c>
      <c r="B2" s="197">
        <v>150</v>
      </c>
    </row>
    <row r="3" spans="1:2" x14ac:dyDescent="0.3">
      <c r="A3" s="197" t="s">
        <v>495</v>
      </c>
      <c r="B3" s="197">
        <v>100</v>
      </c>
    </row>
    <row r="4" spans="1:2" x14ac:dyDescent="0.3">
      <c r="A4" s="197" t="s">
        <v>511</v>
      </c>
      <c r="B4" s="197">
        <v>200</v>
      </c>
    </row>
    <row r="5" spans="1:2" x14ac:dyDescent="0.3">
      <c r="A5" s="197" t="s">
        <v>497</v>
      </c>
      <c r="B5" s="197">
        <v>50</v>
      </c>
    </row>
    <row r="6" spans="1:2" x14ac:dyDescent="0.3">
      <c r="A6" s="197" t="s">
        <v>510</v>
      </c>
      <c r="B6" s="197">
        <v>30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D409-617F-415B-AB63-E19CEFCC3CC4}">
  <dimension ref="A1:C13"/>
  <sheetViews>
    <sheetView zoomScale="160" zoomScaleNormal="160" workbookViewId="0">
      <selection activeCell="A16" sqref="A16"/>
    </sheetView>
  </sheetViews>
  <sheetFormatPr defaultRowHeight="14.4" x14ac:dyDescent="0.3"/>
  <cols>
    <col min="1" max="1" width="11" customWidth="1"/>
    <col min="2" max="2" width="11.6640625" customWidth="1"/>
    <col min="3" max="3" width="21.6640625" bestFit="1" customWidth="1"/>
    <col min="257" max="257" width="11" customWidth="1"/>
    <col min="258" max="258" width="11.6640625" customWidth="1"/>
    <col min="259" max="259" width="21.6640625" bestFit="1" customWidth="1"/>
    <col min="513" max="513" width="11" customWidth="1"/>
    <col min="514" max="514" width="11.6640625" customWidth="1"/>
    <col min="515" max="515" width="21.6640625" bestFit="1" customWidth="1"/>
    <col min="769" max="769" width="11" customWidth="1"/>
    <col min="770" max="770" width="11.6640625" customWidth="1"/>
    <col min="771" max="771" width="21.6640625" bestFit="1" customWidth="1"/>
    <col min="1025" max="1025" width="11" customWidth="1"/>
    <col min="1026" max="1026" width="11.6640625" customWidth="1"/>
    <col min="1027" max="1027" width="21.6640625" bestFit="1" customWidth="1"/>
    <col min="1281" max="1281" width="11" customWidth="1"/>
    <col min="1282" max="1282" width="11.6640625" customWidth="1"/>
    <col min="1283" max="1283" width="21.6640625" bestFit="1" customWidth="1"/>
    <col min="1537" max="1537" width="11" customWidth="1"/>
    <col min="1538" max="1538" width="11.6640625" customWidth="1"/>
    <col min="1539" max="1539" width="21.6640625" bestFit="1" customWidth="1"/>
    <col min="1793" max="1793" width="11" customWidth="1"/>
    <col min="1794" max="1794" width="11.6640625" customWidth="1"/>
    <col min="1795" max="1795" width="21.6640625" bestFit="1" customWidth="1"/>
    <col min="2049" max="2049" width="11" customWidth="1"/>
    <col min="2050" max="2050" width="11.6640625" customWidth="1"/>
    <col min="2051" max="2051" width="21.6640625" bestFit="1" customWidth="1"/>
    <col min="2305" max="2305" width="11" customWidth="1"/>
    <col min="2306" max="2306" width="11.6640625" customWidth="1"/>
    <col min="2307" max="2307" width="21.6640625" bestFit="1" customWidth="1"/>
    <col min="2561" max="2561" width="11" customWidth="1"/>
    <col min="2562" max="2562" width="11.6640625" customWidth="1"/>
    <col min="2563" max="2563" width="21.6640625" bestFit="1" customWidth="1"/>
    <col min="2817" max="2817" width="11" customWidth="1"/>
    <col min="2818" max="2818" width="11.6640625" customWidth="1"/>
    <col min="2819" max="2819" width="21.6640625" bestFit="1" customWidth="1"/>
    <col min="3073" max="3073" width="11" customWidth="1"/>
    <col min="3074" max="3074" width="11.6640625" customWidth="1"/>
    <col min="3075" max="3075" width="21.6640625" bestFit="1" customWidth="1"/>
    <col min="3329" max="3329" width="11" customWidth="1"/>
    <col min="3330" max="3330" width="11.6640625" customWidth="1"/>
    <col min="3331" max="3331" width="21.6640625" bestFit="1" customWidth="1"/>
    <col min="3585" max="3585" width="11" customWidth="1"/>
    <col min="3586" max="3586" width="11.6640625" customWidth="1"/>
    <col min="3587" max="3587" width="21.6640625" bestFit="1" customWidth="1"/>
    <col min="3841" max="3841" width="11" customWidth="1"/>
    <col min="3842" max="3842" width="11.6640625" customWidth="1"/>
    <col min="3843" max="3843" width="21.6640625" bestFit="1" customWidth="1"/>
    <col min="4097" max="4097" width="11" customWidth="1"/>
    <col min="4098" max="4098" width="11.6640625" customWidth="1"/>
    <col min="4099" max="4099" width="21.6640625" bestFit="1" customWidth="1"/>
    <col min="4353" max="4353" width="11" customWidth="1"/>
    <col min="4354" max="4354" width="11.6640625" customWidth="1"/>
    <col min="4355" max="4355" width="21.6640625" bestFit="1" customWidth="1"/>
    <col min="4609" max="4609" width="11" customWidth="1"/>
    <col min="4610" max="4610" width="11.6640625" customWidth="1"/>
    <col min="4611" max="4611" width="21.6640625" bestFit="1" customWidth="1"/>
    <col min="4865" max="4865" width="11" customWidth="1"/>
    <col min="4866" max="4866" width="11.6640625" customWidth="1"/>
    <col min="4867" max="4867" width="21.6640625" bestFit="1" customWidth="1"/>
    <col min="5121" max="5121" width="11" customWidth="1"/>
    <col min="5122" max="5122" width="11.6640625" customWidth="1"/>
    <col min="5123" max="5123" width="21.6640625" bestFit="1" customWidth="1"/>
    <col min="5377" max="5377" width="11" customWidth="1"/>
    <col min="5378" max="5378" width="11.6640625" customWidth="1"/>
    <col min="5379" max="5379" width="21.6640625" bestFit="1" customWidth="1"/>
    <col min="5633" max="5633" width="11" customWidth="1"/>
    <col min="5634" max="5634" width="11.6640625" customWidth="1"/>
    <col min="5635" max="5635" width="21.6640625" bestFit="1" customWidth="1"/>
    <col min="5889" max="5889" width="11" customWidth="1"/>
    <col min="5890" max="5890" width="11.6640625" customWidth="1"/>
    <col min="5891" max="5891" width="21.6640625" bestFit="1" customWidth="1"/>
    <col min="6145" max="6145" width="11" customWidth="1"/>
    <col min="6146" max="6146" width="11.6640625" customWidth="1"/>
    <col min="6147" max="6147" width="21.6640625" bestFit="1" customWidth="1"/>
    <col min="6401" max="6401" width="11" customWidth="1"/>
    <col min="6402" max="6402" width="11.6640625" customWidth="1"/>
    <col min="6403" max="6403" width="21.6640625" bestFit="1" customWidth="1"/>
    <col min="6657" max="6657" width="11" customWidth="1"/>
    <col min="6658" max="6658" width="11.6640625" customWidth="1"/>
    <col min="6659" max="6659" width="21.6640625" bestFit="1" customWidth="1"/>
    <col min="6913" max="6913" width="11" customWidth="1"/>
    <col min="6914" max="6914" width="11.6640625" customWidth="1"/>
    <col min="6915" max="6915" width="21.6640625" bestFit="1" customWidth="1"/>
    <col min="7169" max="7169" width="11" customWidth="1"/>
    <col min="7170" max="7170" width="11.6640625" customWidth="1"/>
    <col min="7171" max="7171" width="21.6640625" bestFit="1" customWidth="1"/>
    <col min="7425" max="7425" width="11" customWidth="1"/>
    <col min="7426" max="7426" width="11.6640625" customWidth="1"/>
    <col min="7427" max="7427" width="21.6640625" bestFit="1" customWidth="1"/>
    <col min="7681" max="7681" width="11" customWidth="1"/>
    <col min="7682" max="7682" width="11.6640625" customWidth="1"/>
    <col min="7683" max="7683" width="21.6640625" bestFit="1" customWidth="1"/>
    <col min="7937" max="7937" width="11" customWidth="1"/>
    <col min="7938" max="7938" width="11.6640625" customWidth="1"/>
    <col min="7939" max="7939" width="21.6640625" bestFit="1" customWidth="1"/>
    <col min="8193" max="8193" width="11" customWidth="1"/>
    <col min="8194" max="8194" width="11.6640625" customWidth="1"/>
    <col min="8195" max="8195" width="21.6640625" bestFit="1" customWidth="1"/>
    <col min="8449" max="8449" width="11" customWidth="1"/>
    <col min="8450" max="8450" width="11.6640625" customWidth="1"/>
    <col min="8451" max="8451" width="21.6640625" bestFit="1" customWidth="1"/>
    <col min="8705" max="8705" width="11" customWidth="1"/>
    <col min="8706" max="8706" width="11.6640625" customWidth="1"/>
    <col min="8707" max="8707" width="21.6640625" bestFit="1" customWidth="1"/>
    <col min="8961" max="8961" width="11" customWidth="1"/>
    <col min="8962" max="8962" width="11.6640625" customWidth="1"/>
    <col min="8963" max="8963" width="21.6640625" bestFit="1" customWidth="1"/>
    <col min="9217" max="9217" width="11" customWidth="1"/>
    <col min="9218" max="9218" width="11.6640625" customWidth="1"/>
    <col min="9219" max="9219" width="21.6640625" bestFit="1" customWidth="1"/>
    <col min="9473" max="9473" width="11" customWidth="1"/>
    <col min="9474" max="9474" width="11.6640625" customWidth="1"/>
    <col min="9475" max="9475" width="21.6640625" bestFit="1" customWidth="1"/>
    <col min="9729" max="9729" width="11" customWidth="1"/>
    <col min="9730" max="9730" width="11.6640625" customWidth="1"/>
    <col min="9731" max="9731" width="21.6640625" bestFit="1" customWidth="1"/>
    <col min="9985" max="9985" width="11" customWidth="1"/>
    <col min="9986" max="9986" width="11.6640625" customWidth="1"/>
    <col min="9987" max="9987" width="21.6640625" bestFit="1" customWidth="1"/>
    <col min="10241" max="10241" width="11" customWidth="1"/>
    <col min="10242" max="10242" width="11.6640625" customWidth="1"/>
    <col min="10243" max="10243" width="21.6640625" bestFit="1" customWidth="1"/>
    <col min="10497" max="10497" width="11" customWidth="1"/>
    <col min="10498" max="10498" width="11.6640625" customWidth="1"/>
    <col min="10499" max="10499" width="21.6640625" bestFit="1" customWidth="1"/>
    <col min="10753" max="10753" width="11" customWidth="1"/>
    <col min="10754" max="10754" width="11.6640625" customWidth="1"/>
    <col min="10755" max="10755" width="21.6640625" bestFit="1" customWidth="1"/>
    <col min="11009" max="11009" width="11" customWidth="1"/>
    <col min="11010" max="11010" width="11.6640625" customWidth="1"/>
    <col min="11011" max="11011" width="21.6640625" bestFit="1" customWidth="1"/>
    <col min="11265" max="11265" width="11" customWidth="1"/>
    <col min="11266" max="11266" width="11.6640625" customWidth="1"/>
    <col min="11267" max="11267" width="21.6640625" bestFit="1" customWidth="1"/>
    <col min="11521" max="11521" width="11" customWidth="1"/>
    <col min="11522" max="11522" width="11.6640625" customWidth="1"/>
    <col min="11523" max="11523" width="21.6640625" bestFit="1" customWidth="1"/>
    <col min="11777" max="11777" width="11" customWidth="1"/>
    <col min="11778" max="11778" width="11.6640625" customWidth="1"/>
    <col min="11779" max="11779" width="21.6640625" bestFit="1" customWidth="1"/>
    <col min="12033" max="12033" width="11" customWidth="1"/>
    <col min="12034" max="12034" width="11.6640625" customWidth="1"/>
    <col min="12035" max="12035" width="21.6640625" bestFit="1" customWidth="1"/>
    <col min="12289" max="12289" width="11" customWidth="1"/>
    <col min="12290" max="12290" width="11.6640625" customWidth="1"/>
    <col min="12291" max="12291" width="21.6640625" bestFit="1" customWidth="1"/>
    <col min="12545" max="12545" width="11" customWidth="1"/>
    <col min="12546" max="12546" width="11.6640625" customWidth="1"/>
    <col min="12547" max="12547" width="21.6640625" bestFit="1" customWidth="1"/>
    <col min="12801" max="12801" width="11" customWidth="1"/>
    <col min="12802" max="12802" width="11.6640625" customWidth="1"/>
    <col min="12803" max="12803" width="21.6640625" bestFit="1" customWidth="1"/>
    <col min="13057" max="13057" width="11" customWidth="1"/>
    <col min="13058" max="13058" width="11.6640625" customWidth="1"/>
    <col min="13059" max="13059" width="21.6640625" bestFit="1" customWidth="1"/>
    <col min="13313" max="13313" width="11" customWidth="1"/>
    <col min="13314" max="13314" width="11.6640625" customWidth="1"/>
    <col min="13315" max="13315" width="21.6640625" bestFit="1" customWidth="1"/>
    <col min="13569" max="13569" width="11" customWidth="1"/>
    <col min="13570" max="13570" width="11.6640625" customWidth="1"/>
    <col min="13571" max="13571" width="21.6640625" bestFit="1" customWidth="1"/>
    <col min="13825" max="13825" width="11" customWidth="1"/>
    <col min="13826" max="13826" width="11.6640625" customWidth="1"/>
    <col min="13827" max="13827" width="21.6640625" bestFit="1" customWidth="1"/>
    <col min="14081" max="14081" width="11" customWidth="1"/>
    <col min="14082" max="14082" width="11.6640625" customWidth="1"/>
    <col min="14083" max="14083" width="21.6640625" bestFit="1" customWidth="1"/>
    <col min="14337" max="14337" width="11" customWidth="1"/>
    <col min="14338" max="14338" width="11.6640625" customWidth="1"/>
    <col min="14339" max="14339" width="21.6640625" bestFit="1" customWidth="1"/>
    <col min="14593" max="14593" width="11" customWidth="1"/>
    <col min="14594" max="14594" width="11.6640625" customWidth="1"/>
    <col min="14595" max="14595" width="21.6640625" bestFit="1" customWidth="1"/>
    <col min="14849" max="14849" width="11" customWidth="1"/>
    <col min="14850" max="14850" width="11.6640625" customWidth="1"/>
    <col min="14851" max="14851" width="21.6640625" bestFit="1" customWidth="1"/>
    <col min="15105" max="15105" width="11" customWidth="1"/>
    <col min="15106" max="15106" width="11.6640625" customWidth="1"/>
    <col min="15107" max="15107" width="21.6640625" bestFit="1" customWidth="1"/>
    <col min="15361" max="15361" width="11" customWidth="1"/>
    <col min="15362" max="15362" width="11.6640625" customWidth="1"/>
    <col min="15363" max="15363" width="21.6640625" bestFit="1" customWidth="1"/>
    <col min="15617" max="15617" width="11" customWidth="1"/>
    <col min="15618" max="15618" width="11.6640625" customWidth="1"/>
    <col min="15619" max="15619" width="21.6640625" bestFit="1" customWidth="1"/>
    <col min="15873" max="15873" width="11" customWidth="1"/>
    <col min="15874" max="15874" width="11.6640625" customWidth="1"/>
    <col min="15875" max="15875" width="21.6640625" bestFit="1" customWidth="1"/>
    <col min="16129" max="16129" width="11" customWidth="1"/>
    <col min="16130" max="16130" width="11.6640625" customWidth="1"/>
    <col min="16131" max="16131" width="21.6640625" bestFit="1" customWidth="1"/>
  </cols>
  <sheetData>
    <row r="1" spans="1:3" x14ac:dyDescent="0.3">
      <c r="A1" s="198" t="s">
        <v>503</v>
      </c>
      <c r="B1" s="198" t="s">
        <v>538</v>
      </c>
      <c r="C1" s="198" t="s">
        <v>504</v>
      </c>
    </row>
    <row r="2" spans="1:3" x14ac:dyDescent="0.3">
      <c r="A2" s="197" t="s">
        <v>537</v>
      </c>
      <c r="B2" s="197" t="s">
        <v>521</v>
      </c>
      <c r="C2" s="197" t="s">
        <v>536</v>
      </c>
    </row>
    <row r="3" spans="1:3" x14ac:dyDescent="0.3">
      <c r="A3" s="197" t="s">
        <v>535</v>
      </c>
      <c r="B3" s="197" t="s">
        <v>518</v>
      </c>
      <c r="C3" s="197" t="s">
        <v>534</v>
      </c>
    </row>
    <row r="4" spans="1:3" x14ac:dyDescent="0.3">
      <c r="A4" s="197" t="s">
        <v>533</v>
      </c>
      <c r="B4" s="197" t="s">
        <v>521</v>
      </c>
      <c r="C4" s="197" t="s">
        <v>525</v>
      </c>
    </row>
    <row r="5" spans="1:3" x14ac:dyDescent="0.3">
      <c r="A5" s="197" t="s">
        <v>532</v>
      </c>
      <c r="B5" s="197" t="s">
        <v>518</v>
      </c>
      <c r="C5" s="197" t="s">
        <v>523</v>
      </c>
    </row>
    <row r="6" spans="1:3" x14ac:dyDescent="0.3">
      <c r="A6" s="197" t="s">
        <v>502</v>
      </c>
      <c r="B6" s="197" t="s">
        <v>521</v>
      </c>
      <c r="C6" s="197" t="s">
        <v>531</v>
      </c>
    </row>
    <row r="7" spans="1:3" x14ac:dyDescent="0.3">
      <c r="A7" s="197" t="s">
        <v>530</v>
      </c>
      <c r="B7" s="197" t="s">
        <v>518</v>
      </c>
      <c r="C7" s="197" t="s">
        <v>529</v>
      </c>
    </row>
    <row r="8" spans="1:3" x14ac:dyDescent="0.3">
      <c r="A8" s="197" t="s">
        <v>528</v>
      </c>
      <c r="B8" s="197" t="s">
        <v>521</v>
      </c>
      <c r="C8" s="197" t="s">
        <v>527</v>
      </c>
    </row>
    <row r="9" spans="1:3" x14ac:dyDescent="0.3">
      <c r="A9" s="197" t="s">
        <v>526</v>
      </c>
      <c r="B9" s="197" t="s">
        <v>518</v>
      </c>
      <c r="C9" s="197" t="s">
        <v>525</v>
      </c>
    </row>
    <row r="10" spans="1:3" x14ac:dyDescent="0.3">
      <c r="A10" s="197" t="s">
        <v>524</v>
      </c>
      <c r="B10" s="197" t="s">
        <v>521</v>
      </c>
      <c r="C10" s="197" t="s">
        <v>523</v>
      </c>
    </row>
    <row r="11" spans="1:3" x14ac:dyDescent="0.3">
      <c r="A11" s="197" t="s">
        <v>522</v>
      </c>
      <c r="B11" s="197" t="s">
        <v>521</v>
      </c>
      <c r="C11" s="197" t="s">
        <v>520</v>
      </c>
    </row>
    <row r="12" spans="1:3" x14ac:dyDescent="0.3">
      <c r="A12" s="197" t="s">
        <v>519</v>
      </c>
      <c r="B12" s="197" t="s">
        <v>518</v>
      </c>
      <c r="C12" s="197" t="s">
        <v>517</v>
      </c>
    </row>
    <row r="13" spans="1:3" x14ac:dyDescent="0.3">
      <c r="A13" s="197" t="s">
        <v>516</v>
      </c>
      <c r="B13" s="197" t="s">
        <v>515</v>
      </c>
      <c r="C13" s="197" t="s">
        <v>514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60EB-DFC9-44D9-843A-F41F353AE0D8}">
  <dimension ref="B1:J1000"/>
  <sheetViews>
    <sheetView workbookViewId="0">
      <selection activeCell="G7" sqref="G7"/>
    </sheetView>
  </sheetViews>
  <sheetFormatPr defaultColWidth="14.44140625" defaultRowHeight="14.4" x14ac:dyDescent="0.3"/>
  <cols>
    <col min="1" max="1" width="8.109375" customWidth="1"/>
    <col min="2" max="2" width="14.88671875" customWidth="1"/>
    <col min="3" max="3" width="8.88671875" customWidth="1"/>
    <col min="4" max="4" width="11.33203125" customWidth="1"/>
    <col min="5" max="5" width="10" customWidth="1"/>
    <col min="6" max="7" width="8.6640625" customWidth="1"/>
    <col min="8" max="9" width="10.5546875" customWidth="1"/>
    <col min="10" max="10" width="8.6640625" customWidth="1"/>
    <col min="11" max="11" width="8.33203125" customWidth="1"/>
    <col min="12" max="27" width="8.6640625" customWidth="1"/>
  </cols>
  <sheetData>
    <row r="1" spans="2:10" ht="14.25" customHeight="1" x14ac:dyDescent="0.3">
      <c r="B1" s="202" t="s">
        <v>131</v>
      </c>
      <c r="C1" s="202"/>
      <c r="D1" s="202"/>
      <c r="E1" s="202"/>
      <c r="F1" s="202"/>
      <c r="G1" s="202"/>
      <c r="H1" s="202"/>
      <c r="I1" s="202"/>
      <c r="J1" s="202"/>
    </row>
    <row r="2" spans="2:10" ht="15.75" customHeight="1" x14ac:dyDescent="0.3">
      <c r="B2" s="207" t="s">
        <v>189</v>
      </c>
      <c r="C2" s="207"/>
      <c r="D2" s="207"/>
      <c r="E2" s="207"/>
      <c r="F2" s="207"/>
      <c r="G2" s="207"/>
      <c r="H2" s="207"/>
      <c r="I2" s="207"/>
      <c r="J2" s="207"/>
    </row>
    <row r="3" spans="2:10" ht="14.25" customHeight="1" x14ac:dyDescent="0.3">
      <c r="B3" s="40"/>
      <c r="C3" s="39"/>
      <c r="D3" s="39"/>
      <c r="E3" s="39"/>
      <c r="F3" s="39"/>
      <c r="G3" s="39"/>
      <c r="H3" s="39"/>
      <c r="I3" s="39"/>
      <c r="J3" s="39"/>
    </row>
    <row r="4" spans="2:10" ht="14.25" customHeight="1" x14ac:dyDescent="0.3">
      <c r="B4" s="37" t="s">
        <v>188</v>
      </c>
      <c r="C4" s="37" t="s">
        <v>129</v>
      </c>
      <c r="D4" s="38" t="s">
        <v>183</v>
      </c>
    </row>
    <row r="5" spans="2:10" ht="14.25" customHeight="1" x14ac:dyDescent="0.3">
      <c r="B5" s="4" t="s">
        <v>187</v>
      </c>
      <c r="C5" s="4">
        <v>62</v>
      </c>
      <c r="D5" s="32" t="str">
        <f t="shared" ref="D5:D36" si="0">IF(AND(C5&lt;=100,C5&gt;=90),$I$7,IF(AND(C5&lt;90,C5&gt;=80),$I$8,IF(AND(C5&lt;80,C5&gt;=51),$I$9,IF(AND(C5&lt;=500,C5&gt;=41),$I$10,IF(C5&lt;=40,$I$11)))))</f>
        <v>C</v>
      </c>
    </row>
    <row r="6" spans="2:10" ht="14.25" customHeight="1" x14ac:dyDescent="0.3">
      <c r="B6" s="4" t="s">
        <v>186</v>
      </c>
      <c r="C6" s="4">
        <v>92</v>
      </c>
      <c r="D6" s="32" t="str">
        <f t="shared" si="0"/>
        <v>A</v>
      </c>
      <c r="G6" s="37" t="s">
        <v>185</v>
      </c>
      <c r="H6" s="37" t="s">
        <v>184</v>
      </c>
      <c r="I6" s="37" t="s">
        <v>183</v>
      </c>
    </row>
    <row r="7" spans="2:10" ht="14.25" customHeight="1" x14ac:dyDescent="0.3">
      <c r="B7" s="4" t="s">
        <v>182</v>
      </c>
      <c r="C7" s="4">
        <v>52</v>
      </c>
      <c r="D7" s="32" t="str">
        <f t="shared" si="0"/>
        <v>C</v>
      </c>
      <c r="G7" s="35">
        <f>_xlfn.MINIFS(Scores,Grades,I7)</f>
        <v>90</v>
      </c>
      <c r="H7" s="35">
        <f>_xlfn.MAXIFS(Scores,Grades,I7)</f>
        <v>100</v>
      </c>
      <c r="I7" s="34" t="s">
        <v>181</v>
      </c>
    </row>
    <row r="8" spans="2:10" ht="14.25" customHeight="1" x14ac:dyDescent="0.3">
      <c r="B8" s="4" t="s">
        <v>180</v>
      </c>
      <c r="C8" s="4">
        <v>60</v>
      </c>
      <c r="D8" s="32" t="str">
        <f t="shared" si="0"/>
        <v>C</v>
      </c>
      <c r="G8" s="35">
        <f>_xlfn.MINIFS(Scores,Grades,I8)</f>
        <v>81</v>
      </c>
      <c r="H8" s="35">
        <f>_xlfn.MAXIFS(Scores,Grades,I8)</f>
        <v>89</v>
      </c>
      <c r="I8" s="34" t="s">
        <v>179</v>
      </c>
    </row>
    <row r="9" spans="2:10" ht="14.25" customHeight="1" x14ac:dyDescent="0.3">
      <c r="B9" s="4" t="s">
        <v>178</v>
      </c>
      <c r="C9" s="4">
        <v>81</v>
      </c>
      <c r="D9" s="32" t="str">
        <f t="shared" si="0"/>
        <v>B</v>
      </c>
      <c r="G9" s="35">
        <f>_xlfn.MINIFS(Scores,Grades,I9)</f>
        <v>51</v>
      </c>
      <c r="H9" s="35">
        <f>_xlfn.MAXIFS(Scores,Grades,I9)</f>
        <v>76</v>
      </c>
      <c r="I9" s="34" t="s">
        <v>31</v>
      </c>
    </row>
    <row r="10" spans="2:10" ht="14.25" customHeight="1" x14ac:dyDescent="0.3">
      <c r="B10" s="4" t="s">
        <v>177</v>
      </c>
      <c r="C10" s="4">
        <v>66</v>
      </c>
      <c r="D10" s="32" t="str">
        <f t="shared" si="0"/>
        <v>C</v>
      </c>
      <c r="G10" s="35">
        <f>_xlfn.MINIFS(Scores,Grades,I10)</f>
        <v>44</v>
      </c>
      <c r="H10" s="35">
        <f>_xlfn.MAXIFS(Scores,Grades,I10)</f>
        <v>46</v>
      </c>
      <c r="I10" s="34" t="s">
        <v>69</v>
      </c>
    </row>
    <row r="11" spans="2:10" ht="14.25" customHeight="1" x14ac:dyDescent="0.3">
      <c r="B11" s="4" t="s">
        <v>176</v>
      </c>
      <c r="C11" s="4">
        <v>63</v>
      </c>
      <c r="D11" s="32" t="str">
        <f t="shared" si="0"/>
        <v>C</v>
      </c>
      <c r="E11" s="36"/>
      <c r="G11" s="35">
        <f>_xlfn.MINIFS(Scores,Grades,I11)</f>
        <v>31</v>
      </c>
      <c r="H11" s="35">
        <f>_xlfn.MAXIFS(Scores,Grades,I11)</f>
        <v>40</v>
      </c>
      <c r="I11" s="34" t="s">
        <v>175</v>
      </c>
    </row>
    <row r="12" spans="2:10" ht="14.25" customHeight="1" x14ac:dyDescent="0.3">
      <c r="B12" s="4" t="s">
        <v>174</v>
      </c>
      <c r="C12" s="4">
        <v>100</v>
      </c>
      <c r="D12" s="32" t="str">
        <f t="shared" si="0"/>
        <v>A</v>
      </c>
      <c r="E12" s="33"/>
    </row>
    <row r="13" spans="2:10" ht="14.25" customHeight="1" x14ac:dyDescent="0.3">
      <c r="B13" s="4" t="s">
        <v>173</v>
      </c>
      <c r="C13" s="4">
        <v>46</v>
      </c>
      <c r="D13" s="32" t="str">
        <f t="shared" si="0"/>
        <v>D</v>
      </c>
    </row>
    <row r="14" spans="2:10" ht="14.25" customHeight="1" x14ac:dyDescent="0.3">
      <c r="B14" s="4" t="s">
        <v>172</v>
      </c>
      <c r="C14" s="4">
        <v>87</v>
      </c>
      <c r="D14" s="32" t="str">
        <f t="shared" si="0"/>
        <v>B</v>
      </c>
    </row>
    <row r="15" spans="2:10" ht="14.25" customHeight="1" x14ac:dyDescent="0.3">
      <c r="B15" s="4" t="s">
        <v>171</v>
      </c>
      <c r="C15" s="4">
        <v>93</v>
      </c>
      <c r="D15" s="32" t="str">
        <f t="shared" si="0"/>
        <v>A</v>
      </c>
    </row>
    <row r="16" spans="2:10" ht="14.25" customHeight="1" x14ac:dyDescent="0.3">
      <c r="B16" s="4" t="s">
        <v>170</v>
      </c>
      <c r="C16" s="4">
        <v>84</v>
      </c>
      <c r="D16" s="32" t="str">
        <f t="shared" si="0"/>
        <v>B</v>
      </c>
    </row>
    <row r="17" spans="2:4" ht="14.25" customHeight="1" x14ac:dyDescent="0.3">
      <c r="B17" s="4" t="s">
        <v>169</v>
      </c>
      <c r="C17" s="4">
        <v>44</v>
      </c>
      <c r="D17" s="32" t="str">
        <f t="shared" si="0"/>
        <v>D</v>
      </c>
    </row>
    <row r="18" spans="2:4" ht="14.25" customHeight="1" x14ac:dyDescent="0.3">
      <c r="B18" s="4" t="s">
        <v>168</v>
      </c>
      <c r="C18" s="4">
        <v>71</v>
      </c>
      <c r="D18" s="32" t="str">
        <f t="shared" si="0"/>
        <v>C</v>
      </c>
    </row>
    <row r="19" spans="2:4" ht="14.25" customHeight="1" x14ac:dyDescent="0.3">
      <c r="B19" s="4" t="s">
        <v>167</v>
      </c>
      <c r="C19" s="4">
        <v>100</v>
      </c>
      <c r="D19" s="32" t="str">
        <f t="shared" si="0"/>
        <v>A</v>
      </c>
    </row>
    <row r="20" spans="2:4" ht="14.25" customHeight="1" x14ac:dyDescent="0.3">
      <c r="B20" s="4" t="s">
        <v>166</v>
      </c>
      <c r="C20" s="4">
        <v>40</v>
      </c>
      <c r="D20" s="32" t="str">
        <f t="shared" si="0"/>
        <v>F</v>
      </c>
    </row>
    <row r="21" spans="2:4" ht="14.25" customHeight="1" x14ac:dyDescent="0.3">
      <c r="B21" s="4" t="s">
        <v>165</v>
      </c>
      <c r="C21" s="4">
        <v>35</v>
      </c>
      <c r="D21" s="32" t="str">
        <f t="shared" si="0"/>
        <v>F</v>
      </c>
    </row>
    <row r="22" spans="2:4" ht="14.25" customHeight="1" x14ac:dyDescent="0.3">
      <c r="B22" s="4" t="s">
        <v>164</v>
      </c>
      <c r="C22" s="4">
        <v>73</v>
      </c>
      <c r="D22" s="32" t="str">
        <f t="shared" si="0"/>
        <v>C</v>
      </c>
    </row>
    <row r="23" spans="2:4" ht="14.25" customHeight="1" x14ac:dyDescent="0.3">
      <c r="B23" s="4" t="s">
        <v>163</v>
      </c>
      <c r="C23" s="4">
        <v>99</v>
      </c>
      <c r="D23" s="32" t="str">
        <f t="shared" si="0"/>
        <v>A</v>
      </c>
    </row>
    <row r="24" spans="2:4" ht="14.25" customHeight="1" x14ac:dyDescent="0.3">
      <c r="B24" s="4" t="s">
        <v>162</v>
      </c>
      <c r="C24" s="4">
        <v>88</v>
      </c>
      <c r="D24" s="32" t="str">
        <f t="shared" si="0"/>
        <v>B</v>
      </c>
    </row>
    <row r="25" spans="2:4" ht="14.25" customHeight="1" x14ac:dyDescent="0.3">
      <c r="B25" s="4" t="s">
        <v>161</v>
      </c>
      <c r="C25" s="4">
        <v>90</v>
      </c>
      <c r="D25" s="32" t="str">
        <f t="shared" si="0"/>
        <v>A</v>
      </c>
    </row>
    <row r="26" spans="2:4" ht="14.25" customHeight="1" x14ac:dyDescent="0.3">
      <c r="B26" s="4" t="s">
        <v>160</v>
      </c>
      <c r="C26" s="4">
        <v>90</v>
      </c>
      <c r="D26" s="32" t="str">
        <f t="shared" si="0"/>
        <v>A</v>
      </c>
    </row>
    <row r="27" spans="2:4" ht="14.25" customHeight="1" x14ac:dyDescent="0.3">
      <c r="B27" s="4" t="s">
        <v>159</v>
      </c>
      <c r="C27" s="4">
        <v>44</v>
      </c>
      <c r="D27" s="32" t="str">
        <f t="shared" si="0"/>
        <v>D</v>
      </c>
    </row>
    <row r="28" spans="2:4" ht="14.25" customHeight="1" x14ac:dyDescent="0.3">
      <c r="B28" s="4" t="s">
        <v>158</v>
      </c>
      <c r="C28" s="4">
        <v>74</v>
      </c>
      <c r="D28" s="32" t="str">
        <f t="shared" si="0"/>
        <v>C</v>
      </c>
    </row>
    <row r="29" spans="2:4" ht="14.25" customHeight="1" x14ac:dyDescent="0.3">
      <c r="B29" s="4" t="s">
        <v>157</v>
      </c>
      <c r="C29" s="4">
        <v>46</v>
      </c>
      <c r="D29" s="32" t="str">
        <f t="shared" si="0"/>
        <v>D</v>
      </c>
    </row>
    <row r="30" spans="2:4" ht="14.25" customHeight="1" x14ac:dyDescent="0.3">
      <c r="B30" s="4" t="s">
        <v>156</v>
      </c>
      <c r="C30" s="4">
        <v>74</v>
      </c>
      <c r="D30" s="32" t="str">
        <f t="shared" si="0"/>
        <v>C</v>
      </c>
    </row>
    <row r="31" spans="2:4" ht="14.25" customHeight="1" x14ac:dyDescent="0.3">
      <c r="B31" s="4" t="s">
        <v>155</v>
      </c>
      <c r="C31" s="4">
        <v>92</v>
      </c>
      <c r="D31" s="32" t="str">
        <f t="shared" si="0"/>
        <v>A</v>
      </c>
    </row>
    <row r="32" spans="2:4" ht="14.25" customHeight="1" x14ac:dyDescent="0.3">
      <c r="B32" s="4" t="s">
        <v>154</v>
      </c>
      <c r="C32" s="4">
        <v>31</v>
      </c>
      <c r="D32" s="32" t="str">
        <f t="shared" si="0"/>
        <v>F</v>
      </c>
    </row>
    <row r="33" spans="2:4" ht="14.25" customHeight="1" x14ac:dyDescent="0.3">
      <c r="B33" s="4" t="s">
        <v>153</v>
      </c>
      <c r="C33" s="4">
        <v>51</v>
      </c>
      <c r="D33" s="32" t="str">
        <f t="shared" si="0"/>
        <v>C</v>
      </c>
    </row>
    <row r="34" spans="2:4" ht="14.25" customHeight="1" x14ac:dyDescent="0.3">
      <c r="B34" s="4" t="s">
        <v>152</v>
      </c>
      <c r="C34" s="4">
        <v>59</v>
      </c>
      <c r="D34" s="32" t="str">
        <f t="shared" si="0"/>
        <v>C</v>
      </c>
    </row>
    <row r="35" spans="2:4" ht="14.25" customHeight="1" x14ac:dyDescent="0.3">
      <c r="B35" s="4" t="s">
        <v>151</v>
      </c>
      <c r="C35" s="4">
        <v>85</v>
      </c>
      <c r="D35" s="32" t="str">
        <f t="shared" si="0"/>
        <v>B</v>
      </c>
    </row>
    <row r="36" spans="2:4" ht="14.25" customHeight="1" x14ac:dyDescent="0.3">
      <c r="B36" s="4" t="s">
        <v>150</v>
      </c>
      <c r="C36" s="4">
        <v>63</v>
      </c>
      <c r="D36" s="32" t="str">
        <f t="shared" si="0"/>
        <v>C</v>
      </c>
    </row>
    <row r="37" spans="2:4" ht="14.25" customHeight="1" x14ac:dyDescent="0.3">
      <c r="B37" s="4" t="s">
        <v>149</v>
      </c>
      <c r="C37" s="4">
        <v>60</v>
      </c>
      <c r="D37" s="32" t="str">
        <f t="shared" ref="D37:D54" si="1">IF(AND(C37&lt;=100,C37&gt;=90),$I$7,IF(AND(C37&lt;90,C37&gt;=80),$I$8,IF(AND(C37&lt;80,C37&gt;=51),$I$9,IF(AND(C37&lt;=500,C37&gt;=41),$I$10,IF(C37&lt;=40,$I$11)))))</f>
        <v>C</v>
      </c>
    </row>
    <row r="38" spans="2:4" ht="14.25" customHeight="1" x14ac:dyDescent="0.3">
      <c r="B38" s="4" t="s">
        <v>148</v>
      </c>
      <c r="C38" s="4">
        <v>83</v>
      </c>
      <c r="D38" s="32" t="str">
        <f t="shared" si="1"/>
        <v>B</v>
      </c>
    </row>
    <row r="39" spans="2:4" ht="14.25" customHeight="1" x14ac:dyDescent="0.3">
      <c r="B39" s="4" t="s">
        <v>147</v>
      </c>
      <c r="C39" s="4">
        <v>72</v>
      </c>
      <c r="D39" s="32" t="str">
        <f t="shared" si="1"/>
        <v>C</v>
      </c>
    </row>
    <row r="40" spans="2:4" ht="14.25" customHeight="1" x14ac:dyDescent="0.3">
      <c r="B40" s="4" t="s">
        <v>146</v>
      </c>
      <c r="C40" s="4">
        <v>94</v>
      </c>
      <c r="D40" s="32" t="str">
        <f t="shared" si="1"/>
        <v>A</v>
      </c>
    </row>
    <row r="41" spans="2:4" ht="14.25" customHeight="1" x14ac:dyDescent="0.3">
      <c r="B41" s="4" t="s">
        <v>145</v>
      </c>
      <c r="C41" s="4">
        <v>92</v>
      </c>
      <c r="D41" s="32" t="str">
        <f t="shared" si="1"/>
        <v>A</v>
      </c>
    </row>
    <row r="42" spans="2:4" ht="14.25" customHeight="1" x14ac:dyDescent="0.3">
      <c r="B42" s="4" t="s">
        <v>144</v>
      </c>
      <c r="C42" s="4">
        <v>92</v>
      </c>
      <c r="D42" s="32" t="str">
        <f t="shared" si="1"/>
        <v>A</v>
      </c>
    </row>
    <row r="43" spans="2:4" ht="14.25" customHeight="1" x14ac:dyDescent="0.3">
      <c r="B43" s="4" t="s">
        <v>143</v>
      </c>
      <c r="C43" s="4">
        <v>59</v>
      </c>
      <c r="D43" s="32" t="str">
        <f t="shared" si="1"/>
        <v>C</v>
      </c>
    </row>
    <row r="44" spans="2:4" ht="14.25" customHeight="1" x14ac:dyDescent="0.3">
      <c r="B44" s="4" t="s">
        <v>142</v>
      </c>
      <c r="C44" s="4">
        <v>51</v>
      </c>
      <c r="D44" s="32" t="str">
        <f t="shared" si="1"/>
        <v>C</v>
      </c>
    </row>
    <row r="45" spans="2:4" ht="14.25" customHeight="1" x14ac:dyDescent="0.3">
      <c r="B45" s="4" t="s">
        <v>141</v>
      </c>
      <c r="C45" s="4">
        <v>45</v>
      </c>
      <c r="D45" s="32" t="str">
        <f t="shared" si="1"/>
        <v>D</v>
      </c>
    </row>
    <row r="46" spans="2:4" ht="14.25" customHeight="1" x14ac:dyDescent="0.3">
      <c r="B46" s="4" t="s">
        <v>140</v>
      </c>
      <c r="C46" s="4">
        <v>89</v>
      </c>
      <c r="D46" s="32" t="str">
        <f t="shared" si="1"/>
        <v>B</v>
      </c>
    </row>
    <row r="47" spans="2:4" ht="14.25" customHeight="1" x14ac:dyDescent="0.3">
      <c r="B47" s="4" t="s">
        <v>139</v>
      </c>
      <c r="C47" s="4">
        <v>51</v>
      </c>
      <c r="D47" s="32" t="str">
        <f t="shared" si="1"/>
        <v>C</v>
      </c>
    </row>
    <row r="48" spans="2:4" ht="14.25" customHeight="1" x14ac:dyDescent="0.3">
      <c r="B48" s="4" t="s">
        <v>138</v>
      </c>
      <c r="C48" s="4">
        <v>84</v>
      </c>
      <c r="D48" s="32" t="str">
        <f t="shared" si="1"/>
        <v>B</v>
      </c>
    </row>
    <row r="49" spans="2:4" ht="14.25" customHeight="1" x14ac:dyDescent="0.3">
      <c r="B49" s="4" t="s">
        <v>137</v>
      </c>
      <c r="C49" s="4">
        <v>32</v>
      </c>
      <c r="D49" s="32" t="str">
        <f t="shared" si="1"/>
        <v>F</v>
      </c>
    </row>
    <row r="50" spans="2:4" ht="14.25" customHeight="1" x14ac:dyDescent="0.3">
      <c r="B50" s="4" t="s">
        <v>136</v>
      </c>
      <c r="C50" s="4">
        <v>73</v>
      </c>
      <c r="D50" s="32" t="str">
        <f t="shared" si="1"/>
        <v>C</v>
      </c>
    </row>
    <row r="51" spans="2:4" ht="14.25" customHeight="1" x14ac:dyDescent="0.3">
      <c r="B51" s="4" t="s">
        <v>135</v>
      </c>
      <c r="C51" s="4">
        <v>44</v>
      </c>
      <c r="D51" s="32" t="str">
        <f t="shared" si="1"/>
        <v>D</v>
      </c>
    </row>
    <row r="52" spans="2:4" ht="14.25" customHeight="1" x14ac:dyDescent="0.3">
      <c r="B52" s="4" t="s">
        <v>134</v>
      </c>
      <c r="C52" s="4">
        <v>81</v>
      </c>
      <c r="D52" s="32" t="str">
        <f t="shared" si="1"/>
        <v>B</v>
      </c>
    </row>
    <row r="53" spans="2:4" ht="14.25" customHeight="1" x14ac:dyDescent="0.3">
      <c r="B53" s="4" t="s">
        <v>133</v>
      </c>
      <c r="C53" s="4">
        <v>76</v>
      </c>
      <c r="D53" s="32" t="str">
        <f t="shared" si="1"/>
        <v>C</v>
      </c>
    </row>
    <row r="54" spans="2:4" ht="14.25" customHeight="1" x14ac:dyDescent="0.3">
      <c r="B54" s="4" t="s">
        <v>132</v>
      </c>
      <c r="C54" s="4">
        <v>89</v>
      </c>
      <c r="D54" s="32" t="str">
        <f t="shared" si="1"/>
        <v>B</v>
      </c>
    </row>
    <row r="55" spans="2:4" ht="14.25" customHeight="1" x14ac:dyDescent="0.3">
      <c r="B55" s="31"/>
      <c r="C55" s="31"/>
      <c r="D55" s="31"/>
    </row>
    <row r="56" spans="2:4" ht="14.25" customHeight="1" x14ac:dyDescent="0.3">
      <c r="B56" s="31"/>
      <c r="C56" s="31"/>
      <c r="D56" s="31"/>
    </row>
    <row r="57" spans="2:4" ht="14.25" customHeight="1" x14ac:dyDescent="0.3">
      <c r="B57" s="31"/>
      <c r="C57" s="31"/>
      <c r="D57" s="31"/>
    </row>
    <row r="58" spans="2:4" ht="14.25" customHeight="1" x14ac:dyDescent="0.3">
      <c r="B58" s="31"/>
      <c r="C58" s="31"/>
      <c r="D58" s="31"/>
    </row>
    <row r="59" spans="2:4" ht="14.25" customHeight="1" x14ac:dyDescent="0.3">
      <c r="B59" s="31"/>
      <c r="C59" s="31"/>
      <c r="D59" s="31"/>
    </row>
    <row r="60" spans="2:4" ht="14.25" customHeight="1" x14ac:dyDescent="0.3">
      <c r="B60" s="31"/>
      <c r="C60" s="31"/>
      <c r="D60" s="31"/>
    </row>
    <row r="61" spans="2:4" ht="14.25" customHeight="1" x14ac:dyDescent="0.3">
      <c r="B61" s="31"/>
      <c r="C61" s="31"/>
      <c r="D61" s="31"/>
    </row>
    <row r="62" spans="2:4" ht="14.25" customHeight="1" x14ac:dyDescent="0.3">
      <c r="B62" s="31"/>
      <c r="C62" s="31"/>
      <c r="D62" s="31"/>
    </row>
    <row r="63" spans="2:4" ht="14.25" customHeight="1" x14ac:dyDescent="0.3">
      <c r="B63" s="31"/>
      <c r="C63" s="31"/>
      <c r="D63" s="31"/>
    </row>
    <row r="64" spans="2:4" ht="14.25" customHeight="1" x14ac:dyDescent="0.3">
      <c r="B64" s="31"/>
      <c r="C64" s="31"/>
      <c r="D64" s="31"/>
    </row>
    <row r="65" spans="2:4" ht="14.25" customHeight="1" x14ac:dyDescent="0.3">
      <c r="B65" s="31"/>
      <c r="C65" s="31"/>
      <c r="D65" s="31"/>
    </row>
    <row r="66" spans="2:4" ht="14.25" customHeight="1" x14ac:dyDescent="0.3">
      <c r="B66" s="31"/>
      <c r="C66" s="31"/>
      <c r="D66" s="31"/>
    </row>
    <row r="67" spans="2:4" ht="14.25" customHeight="1" x14ac:dyDescent="0.3">
      <c r="B67" s="31"/>
      <c r="C67" s="31"/>
      <c r="D67" s="31"/>
    </row>
    <row r="68" spans="2:4" ht="14.25" customHeight="1" x14ac:dyDescent="0.3">
      <c r="B68" s="31"/>
      <c r="C68" s="31"/>
      <c r="D68" s="31"/>
    </row>
    <row r="69" spans="2:4" ht="14.25" customHeight="1" x14ac:dyDescent="0.3">
      <c r="B69" s="31"/>
      <c r="C69" s="31"/>
      <c r="D69" s="31"/>
    </row>
    <row r="70" spans="2:4" ht="14.25" customHeight="1" x14ac:dyDescent="0.3">
      <c r="B70" s="31"/>
      <c r="C70" s="31"/>
      <c r="D70" s="31"/>
    </row>
    <row r="71" spans="2:4" ht="14.25" customHeight="1" x14ac:dyDescent="0.3">
      <c r="B71" s="31"/>
      <c r="C71" s="31"/>
      <c r="D71" s="31"/>
    </row>
    <row r="72" spans="2:4" ht="14.25" customHeight="1" x14ac:dyDescent="0.3">
      <c r="B72" s="31"/>
      <c r="C72" s="31"/>
      <c r="D72" s="31"/>
    </row>
    <row r="73" spans="2:4" ht="14.25" customHeight="1" x14ac:dyDescent="0.3">
      <c r="B73" s="31"/>
      <c r="C73" s="31"/>
      <c r="D73" s="31"/>
    </row>
    <row r="74" spans="2:4" ht="14.25" customHeight="1" x14ac:dyDescent="0.3">
      <c r="B74" s="31"/>
      <c r="C74" s="31"/>
      <c r="D74" s="31"/>
    </row>
    <row r="75" spans="2:4" ht="14.25" customHeight="1" x14ac:dyDescent="0.3">
      <c r="B75" s="31"/>
      <c r="C75" s="31"/>
      <c r="D75" s="31"/>
    </row>
    <row r="76" spans="2:4" ht="14.25" customHeight="1" x14ac:dyDescent="0.3">
      <c r="B76" s="31"/>
      <c r="C76" s="31"/>
      <c r="D76" s="31"/>
    </row>
    <row r="77" spans="2:4" ht="14.25" customHeight="1" x14ac:dyDescent="0.3">
      <c r="B77" s="31"/>
      <c r="C77" s="31"/>
      <c r="D77" s="31"/>
    </row>
    <row r="78" spans="2:4" ht="14.25" customHeight="1" x14ac:dyDescent="0.3">
      <c r="B78" s="31"/>
      <c r="C78" s="31"/>
      <c r="D78" s="31"/>
    </row>
    <row r="79" spans="2:4" ht="14.25" customHeight="1" x14ac:dyDescent="0.3">
      <c r="B79" s="31"/>
      <c r="C79" s="31"/>
      <c r="D79" s="31"/>
    </row>
    <row r="80" spans="2:4" ht="14.25" customHeight="1" x14ac:dyDescent="0.3">
      <c r="B80" s="31"/>
      <c r="C80" s="31"/>
      <c r="D80" s="31"/>
    </row>
    <row r="81" spans="2:4" ht="14.25" customHeight="1" x14ac:dyDescent="0.3">
      <c r="B81" s="31"/>
      <c r="C81" s="31"/>
      <c r="D81" s="31"/>
    </row>
    <row r="82" spans="2:4" ht="14.25" customHeight="1" x14ac:dyDescent="0.3">
      <c r="B82" s="31"/>
      <c r="C82" s="31"/>
      <c r="D82" s="31"/>
    </row>
    <row r="83" spans="2:4" ht="14.25" customHeight="1" x14ac:dyDescent="0.3">
      <c r="B83" s="31"/>
      <c r="C83" s="31"/>
      <c r="D83" s="31"/>
    </row>
    <row r="84" spans="2:4" ht="14.25" customHeight="1" x14ac:dyDescent="0.3">
      <c r="B84" s="31"/>
      <c r="C84" s="31"/>
      <c r="D84" s="31"/>
    </row>
    <row r="85" spans="2:4" ht="14.25" customHeight="1" x14ac:dyDescent="0.3">
      <c r="B85" s="31"/>
      <c r="C85" s="31"/>
      <c r="D85" s="31"/>
    </row>
    <row r="86" spans="2:4" ht="14.25" customHeight="1" x14ac:dyDescent="0.3">
      <c r="B86" s="31"/>
      <c r="C86" s="31"/>
      <c r="D86" s="31"/>
    </row>
    <row r="87" spans="2:4" ht="14.25" customHeight="1" x14ac:dyDescent="0.3">
      <c r="B87" s="31"/>
      <c r="C87" s="31"/>
      <c r="D87" s="31"/>
    </row>
    <row r="88" spans="2:4" ht="14.25" customHeight="1" x14ac:dyDescent="0.3">
      <c r="B88" s="31"/>
      <c r="C88" s="31"/>
      <c r="D88" s="31"/>
    </row>
    <row r="89" spans="2:4" ht="14.25" customHeight="1" x14ac:dyDescent="0.3">
      <c r="B89" s="31"/>
      <c r="C89" s="31"/>
      <c r="D89" s="31"/>
    </row>
    <row r="90" spans="2:4" ht="14.25" customHeight="1" x14ac:dyDescent="0.3">
      <c r="B90" s="31"/>
      <c r="C90" s="31"/>
      <c r="D90" s="31"/>
    </row>
    <row r="91" spans="2:4" ht="14.25" customHeight="1" x14ac:dyDescent="0.3">
      <c r="B91" s="31"/>
      <c r="C91" s="31"/>
      <c r="D91" s="31"/>
    </row>
    <row r="92" spans="2:4" ht="14.25" customHeight="1" x14ac:dyDescent="0.3">
      <c r="B92" s="31"/>
      <c r="C92" s="31"/>
      <c r="D92" s="31"/>
    </row>
    <row r="93" spans="2:4" ht="14.25" customHeight="1" x14ac:dyDescent="0.3">
      <c r="B93" s="31"/>
      <c r="C93" s="31"/>
      <c r="D93" s="31"/>
    </row>
    <row r="94" spans="2:4" ht="14.25" customHeight="1" x14ac:dyDescent="0.3">
      <c r="B94" s="31"/>
      <c r="C94" s="31"/>
      <c r="D94" s="31"/>
    </row>
    <row r="95" spans="2:4" ht="14.25" customHeight="1" x14ac:dyDescent="0.3">
      <c r="B95" s="31"/>
      <c r="C95" s="31"/>
      <c r="D95" s="31"/>
    </row>
    <row r="96" spans="2:4" ht="14.25" customHeight="1" x14ac:dyDescent="0.3">
      <c r="B96" s="31"/>
      <c r="C96" s="31"/>
      <c r="D96" s="31"/>
    </row>
    <row r="97" spans="2:4" ht="14.25" customHeight="1" x14ac:dyDescent="0.3">
      <c r="B97" s="31"/>
      <c r="C97" s="31"/>
      <c r="D97" s="31"/>
    </row>
    <row r="98" spans="2:4" ht="14.25" customHeight="1" x14ac:dyDescent="0.3">
      <c r="B98" s="31"/>
      <c r="C98" s="31"/>
      <c r="D98" s="31"/>
    </row>
    <row r="99" spans="2:4" ht="14.25" customHeight="1" x14ac:dyDescent="0.3">
      <c r="B99" s="31"/>
      <c r="C99" s="31"/>
      <c r="D99" s="31"/>
    </row>
    <row r="100" spans="2:4" ht="14.25" customHeight="1" x14ac:dyDescent="0.3">
      <c r="B100" s="31"/>
      <c r="C100" s="31"/>
      <c r="D100" s="31"/>
    </row>
    <row r="101" spans="2:4" ht="14.25" customHeight="1" x14ac:dyDescent="0.3">
      <c r="B101" s="31"/>
      <c r="C101" s="31"/>
      <c r="D101" s="31"/>
    </row>
    <row r="102" spans="2:4" ht="14.25" customHeight="1" x14ac:dyDescent="0.3">
      <c r="B102" s="31"/>
      <c r="C102" s="31"/>
      <c r="D102" s="31"/>
    </row>
    <row r="103" spans="2:4" ht="14.25" customHeight="1" x14ac:dyDescent="0.3">
      <c r="B103" s="31"/>
      <c r="C103" s="31"/>
      <c r="D103" s="31"/>
    </row>
    <row r="104" spans="2:4" ht="14.25" customHeight="1" x14ac:dyDescent="0.3">
      <c r="B104" s="31"/>
      <c r="C104" s="31"/>
      <c r="D104" s="31"/>
    </row>
    <row r="105" spans="2:4" ht="14.25" customHeight="1" x14ac:dyDescent="0.3">
      <c r="B105" s="31"/>
      <c r="C105" s="31"/>
      <c r="D105" s="31"/>
    </row>
    <row r="106" spans="2:4" ht="14.25" customHeight="1" x14ac:dyDescent="0.3">
      <c r="B106" s="31"/>
      <c r="C106" s="31"/>
      <c r="D106" s="31"/>
    </row>
    <row r="107" spans="2:4" ht="14.25" customHeight="1" x14ac:dyDescent="0.3">
      <c r="B107" s="31"/>
      <c r="C107" s="31"/>
      <c r="D107" s="31"/>
    </row>
    <row r="108" spans="2:4" ht="14.25" customHeight="1" x14ac:dyDescent="0.3">
      <c r="B108" s="31"/>
      <c r="C108" s="31"/>
      <c r="D108" s="31"/>
    </row>
    <row r="109" spans="2:4" ht="14.25" customHeight="1" x14ac:dyDescent="0.3">
      <c r="B109" s="31"/>
      <c r="C109" s="31"/>
      <c r="D109" s="31"/>
    </row>
    <row r="110" spans="2:4" ht="14.25" customHeight="1" x14ac:dyDescent="0.3">
      <c r="B110" s="31"/>
      <c r="C110" s="31"/>
      <c r="D110" s="31"/>
    </row>
    <row r="111" spans="2:4" ht="14.25" customHeight="1" x14ac:dyDescent="0.3">
      <c r="B111" s="31"/>
      <c r="C111" s="31"/>
      <c r="D111" s="31"/>
    </row>
    <row r="112" spans="2:4" ht="14.25" customHeight="1" x14ac:dyDescent="0.3">
      <c r="B112" s="31"/>
      <c r="C112" s="31"/>
      <c r="D112" s="31"/>
    </row>
    <row r="113" spans="2:4" ht="14.25" customHeight="1" x14ac:dyDescent="0.3">
      <c r="B113" s="31"/>
      <c r="C113" s="31"/>
      <c r="D113" s="31"/>
    </row>
    <row r="114" spans="2:4" ht="14.25" customHeight="1" x14ac:dyDescent="0.3">
      <c r="B114" s="31"/>
      <c r="C114" s="31"/>
      <c r="D114" s="31"/>
    </row>
    <row r="115" spans="2:4" ht="14.25" customHeight="1" x14ac:dyDescent="0.3">
      <c r="B115" s="31"/>
      <c r="C115" s="31"/>
      <c r="D115" s="31"/>
    </row>
    <row r="116" spans="2:4" ht="14.25" customHeight="1" x14ac:dyDescent="0.3">
      <c r="B116" s="31"/>
      <c r="C116" s="31"/>
      <c r="D116" s="31"/>
    </row>
    <row r="117" spans="2:4" ht="14.25" customHeight="1" x14ac:dyDescent="0.3">
      <c r="B117" s="31"/>
      <c r="C117" s="31"/>
      <c r="D117" s="31"/>
    </row>
    <row r="118" spans="2:4" ht="14.25" customHeight="1" x14ac:dyDescent="0.3">
      <c r="B118" s="31"/>
      <c r="C118" s="31"/>
      <c r="D118" s="31"/>
    </row>
    <row r="119" spans="2:4" ht="14.25" customHeight="1" x14ac:dyDescent="0.3">
      <c r="B119" s="31"/>
      <c r="C119" s="31"/>
      <c r="D119" s="31"/>
    </row>
    <row r="120" spans="2:4" ht="14.25" customHeight="1" x14ac:dyDescent="0.3">
      <c r="B120" s="31"/>
      <c r="C120" s="31"/>
      <c r="D120" s="31"/>
    </row>
    <row r="121" spans="2:4" ht="14.25" customHeight="1" x14ac:dyDescent="0.3">
      <c r="B121" s="31"/>
      <c r="C121" s="31"/>
      <c r="D121" s="31"/>
    </row>
    <row r="122" spans="2:4" ht="14.25" customHeight="1" x14ac:dyDescent="0.3">
      <c r="B122" s="31"/>
      <c r="C122" s="31"/>
      <c r="D122" s="31"/>
    </row>
    <row r="123" spans="2:4" ht="14.25" customHeight="1" x14ac:dyDescent="0.3">
      <c r="B123" s="31"/>
      <c r="C123" s="31"/>
      <c r="D123" s="31"/>
    </row>
    <row r="124" spans="2:4" ht="14.25" customHeight="1" x14ac:dyDescent="0.3">
      <c r="B124" s="31"/>
      <c r="C124" s="31"/>
      <c r="D124" s="31"/>
    </row>
    <row r="125" spans="2:4" ht="14.25" customHeight="1" x14ac:dyDescent="0.3">
      <c r="B125" s="31"/>
      <c r="C125" s="31"/>
      <c r="D125" s="31"/>
    </row>
    <row r="126" spans="2:4" ht="14.25" customHeight="1" x14ac:dyDescent="0.3">
      <c r="B126" s="31"/>
      <c r="C126" s="31"/>
      <c r="D126" s="31"/>
    </row>
    <row r="127" spans="2:4" ht="14.25" customHeight="1" x14ac:dyDescent="0.3">
      <c r="B127" s="31"/>
      <c r="C127" s="31"/>
      <c r="D127" s="31"/>
    </row>
    <row r="128" spans="2:4" ht="14.25" customHeight="1" x14ac:dyDescent="0.3">
      <c r="B128" s="31"/>
      <c r="C128" s="31"/>
      <c r="D128" s="31"/>
    </row>
    <row r="129" spans="2:4" ht="14.25" customHeight="1" x14ac:dyDescent="0.3">
      <c r="B129" s="31"/>
      <c r="C129" s="31"/>
      <c r="D129" s="31"/>
    </row>
    <row r="130" spans="2:4" ht="14.25" customHeight="1" x14ac:dyDescent="0.3">
      <c r="B130" s="31"/>
      <c r="C130" s="31"/>
      <c r="D130" s="31"/>
    </row>
    <row r="131" spans="2:4" ht="14.25" customHeight="1" x14ac:dyDescent="0.3">
      <c r="B131" s="31"/>
      <c r="C131" s="31"/>
      <c r="D131" s="31"/>
    </row>
    <row r="132" spans="2:4" ht="14.25" customHeight="1" x14ac:dyDescent="0.3">
      <c r="B132" s="31"/>
      <c r="C132" s="31"/>
      <c r="D132" s="31"/>
    </row>
    <row r="133" spans="2:4" ht="14.25" customHeight="1" x14ac:dyDescent="0.3">
      <c r="B133" s="31"/>
      <c r="C133" s="31"/>
      <c r="D133" s="31"/>
    </row>
    <row r="134" spans="2:4" ht="14.25" customHeight="1" x14ac:dyDescent="0.3">
      <c r="B134" s="31"/>
      <c r="C134" s="31"/>
      <c r="D134" s="31"/>
    </row>
    <row r="135" spans="2:4" ht="14.25" customHeight="1" x14ac:dyDescent="0.3">
      <c r="B135" s="31"/>
      <c r="C135" s="31"/>
      <c r="D135" s="31"/>
    </row>
    <row r="136" spans="2:4" ht="14.25" customHeight="1" x14ac:dyDescent="0.3">
      <c r="B136" s="31"/>
      <c r="C136" s="31"/>
      <c r="D136" s="31"/>
    </row>
    <row r="137" spans="2:4" ht="14.25" customHeight="1" x14ac:dyDescent="0.3">
      <c r="B137" s="31"/>
      <c r="C137" s="31"/>
      <c r="D137" s="31"/>
    </row>
    <row r="138" spans="2:4" ht="14.25" customHeight="1" x14ac:dyDescent="0.3">
      <c r="B138" s="31"/>
      <c r="C138" s="31"/>
      <c r="D138" s="31"/>
    </row>
    <row r="139" spans="2:4" ht="14.25" customHeight="1" x14ac:dyDescent="0.3">
      <c r="B139" s="31"/>
      <c r="C139" s="31"/>
      <c r="D139" s="31"/>
    </row>
    <row r="140" spans="2:4" ht="14.25" customHeight="1" x14ac:dyDescent="0.3">
      <c r="B140" s="31"/>
      <c r="C140" s="31"/>
      <c r="D140" s="31"/>
    </row>
    <row r="141" spans="2:4" ht="14.25" customHeight="1" x14ac:dyDescent="0.3">
      <c r="B141" s="31"/>
      <c r="C141" s="31"/>
      <c r="D141" s="31"/>
    </row>
    <row r="142" spans="2:4" ht="14.25" customHeight="1" x14ac:dyDescent="0.3">
      <c r="B142" s="31"/>
      <c r="C142" s="31"/>
      <c r="D142" s="31"/>
    </row>
    <row r="143" spans="2:4" ht="14.25" customHeight="1" x14ac:dyDescent="0.3">
      <c r="B143" s="31"/>
      <c r="C143" s="31"/>
      <c r="D143" s="31"/>
    </row>
    <row r="144" spans="2:4" ht="14.25" customHeight="1" x14ac:dyDescent="0.3">
      <c r="B144" s="31"/>
      <c r="C144" s="31"/>
      <c r="D144" s="31"/>
    </row>
    <row r="145" spans="2:4" ht="14.25" customHeight="1" x14ac:dyDescent="0.3">
      <c r="B145" s="31"/>
      <c r="C145" s="31"/>
      <c r="D145" s="31"/>
    </row>
    <row r="146" spans="2:4" ht="14.25" customHeight="1" x14ac:dyDescent="0.3">
      <c r="B146" s="31"/>
      <c r="C146" s="31"/>
      <c r="D146" s="31"/>
    </row>
    <row r="147" spans="2:4" ht="14.25" customHeight="1" x14ac:dyDescent="0.3">
      <c r="B147" s="31"/>
      <c r="C147" s="31"/>
      <c r="D147" s="31"/>
    </row>
    <row r="148" spans="2:4" ht="14.25" customHeight="1" x14ac:dyDescent="0.3">
      <c r="B148" s="31"/>
      <c r="C148" s="31"/>
      <c r="D148" s="31"/>
    </row>
    <row r="149" spans="2:4" ht="14.25" customHeight="1" x14ac:dyDescent="0.3">
      <c r="B149" s="31"/>
      <c r="C149" s="31"/>
      <c r="D149" s="31"/>
    </row>
    <row r="150" spans="2:4" ht="14.25" customHeight="1" x14ac:dyDescent="0.3">
      <c r="B150" s="31"/>
      <c r="C150" s="31"/>
      <c r="D150" s="31"/>
    </row>
    <row r="151" spans="2:4" ht="14.25" customHeight="1" x14ac:dyDescent="0.3">
      <c r="B151" s="31"/>
      <c r="C151" s="31"/>
      <c r="D151" s="31"/>
    </row>
    <row r="152" spans="2:4" ht="14.25" customHeight="1" x14ac:dyDescent="0.3">
      <c r="B152" s="31"/>
      <c r="C152" s="31"/>
      <c r="D152" s="31"/>
    </row>
    <row r="153" spans="2:4" ht="14.25" customHeight="1" x14ac:dyDescent="0.3">
      <c r="B153" s="31"/>
      <c r="C153" s="31"/>
      <c r="D153" s="31"/>
    </row>
    <row r="154" spans="2:4" ht="14.25" customHeight="1" x14ac:dyDescent="0.3">
      <c r="B154" s="31"/>
      <c r="C154" s="31"/>
      <c r="D154" s="31"/>
    </row>
    <row r="155" spans="2:4" ht="14.25" customHeight="1" x14ac:dyDescent="0.3">
      <c r="B155" s="31"/>
      <c r="C155" s="31"/>
      <c r="D155" s="31"/>
    </row>
    <row r="156" spans="2:4" ht="14.25" customHeight="1" x14ac:dyDescent="0.3">
      <c r="B156" s="31"/>
      <c r="C156" s="31"/>
      <c r="D156" s="31"/>
    </row>
    <row r="157" spans="2:4" ht="14.25" customHeight="1" x14ac:dyDescent="0.3">
      <c r="B157" s="31"/>
      <c r="C157" s="31"/>
      <c r="D157" s="31"/>
    </row>
    <row r="158" spans="2:4" ht="14.25" customHeight="1" x14ac:dyDescent="0.3">
      <c r="B158" s="31"/>
      <c r="C158" s="31"/>
      <c r="D158" s="31"/>
    </row>
    <row r="159" spans="2:4" ht="14.25" customHeight="1" x14ac:dyDescent="0.3">
      <c r="B159" s="31"/>
      <c r="C159" s="31"/>
      <c r="D159" s="31"/>
    </row>
    <row r="160" spans="2:4" ht="14.25" customHeight="1" x14ac:dyDescent="0.3">
      <c r="B160" s="31"/>
      <c r="C160" s="31"/>
      <c r="D160" s="31"/>
    </row>
    <row r="161" spans="2:4" ht="14.25" customHeight="1" x14ac:dyDescent="0.3">
      <c r="B161" s="31"/>
      <c r="C161" s="31"/>
      <c r="D161" s="31"/>
    </row>
    <row r="162" spans="2:4" ht="14.25" customHeight="1" x14ac:dyDescent="0.3">
      <c r="B162" s="31"/>
      <c r="C162" s="31"/>
      <c r="D162" s="31"/>
    </row>
    <row r="163" spans="2:4" ht="14.25" customHeight="1" x14ac:dyDescent="0.3">
      <c r="B163" s="31"/>
      <c r="C163" s="31"/>
      <c r="D163" s="31"/>
    </row>
    <row r="164" spans="2:4" ht="14.25" customHeight="1" x14ac:dyDescent="0.3">
      <c r="B164" s="31"/>
      <c r="C164" s="31"/>
      <c r="D164" s="31"/>
    </row>
    <row r="165" spans="2:4" ht="14.25" customHeight="1" x14ac:dyDescent="0.3">
      <c r="B165" s="31"/>
      <c r="C165" s="31"/>
      <c r="D165" s="31"/>
    </row>
    <row r="166" spans="2:4" ht="14.25" customHeight="1" x14ac:dyDescent="0.3">
      <c r="B166" s="31"/>
      <c r="C166" s="31"/>
      <c r="D166" s="31"/>
    </row>
    <row r="167" spans="2:4" ht="14.25" customHeight="1" x14ac:dyDescent="0.3">
      <c r="B167" s="31"/>
      <c r="C167" s="31"/>
      <c r="D167" s="31"/>
    </row>
    <row r="168" spans="2:4" ht="14.25" customHeight="1" x14ac:dyDescent="0.3">
      <c r="B168" s="31"/>
      <c r="C168" s="31"/>
      <c r="D168" s="31"/>
    </row>
    <row r="169" spans="2:4" ht="14.25" customHeight="1" x14ac:dyDescent="0.3">
      <c r="B169" s="31"/>
      <c r="C169" s="31"/>
      <c r="D169" s="31"/>
    </row>
    <row r="170" spans="2:4" ht="14.25" customHeight="1" x14ac:dyDescent="0.3">
      <c r="B170" s="31"/>
      <c r="C170" s="31"/>
      <c r="D170" s="31"/>
    </row>
    <row r="171" spans="2:4" ht="14.25" customHeight="1" x14ac:dyDescent="0.3">
      <c r="B171" s="31"/>
      <c r="C171" s="31"/>
      <c r="D171" s="31"/>
    </row>
    <row r="172" spans="2:4" ht="14.25" customHeight="1" x14ac:dyDescent="0.3">
      <c r="B172" s="31"/>
      <c r="C172" s="31"/>
      <c r="D172" s="31"/>
    </row>
    <row r="173" spans="2:4" ht="14.25" customHeight="1" x14ac:dyDescent="0.3">
      <c r="B173" s="31"/>
      <c r="C173" s="31"/>
      <c r="D173" s="31"/>
    </row>
    <row r="174" spans="2:4" ht="14.25" customHeight="1" x14ac:dyDescent="0.3">
      <c r="B174" s="31"/>
      <c r="C174" s="31"/>
      <c r="D174" s="31"/>
    </row>
    <row r="175" spans="2:4" ht="14.25" customHeight="1" x14ac:dyDescent="0.3">
      <c r="B175" s="31"/>
      <c r="C175" s="31"/>
      <c r="D175" s="31"/>
    </row>
    <row r="176" spans="2:4" ht="14.25" customHeight="1" x14ac:dyDescent="0.3">
      <c r="B176" s="31"/>
      <c r="C176" s="31"/>
      <c r="D176" s="31"/>
    </row>
    <row r="177" spans="2:4" ht="14.25" customHeight="1" x14ac:dyDescent="0.3">
      <c r="B177" s="31"/>
      <c r="C177" s="31"/>
      <c r="D177" s="31"/>
    </row>
    <row r="178" spans="2:4" ht="14.25" customHeight="1" x14ac:dyDescent="0.3">
      <c r="B178" s="31"/>
      <c r="C178" s="31"/>
      <c r="D178" s="31"/>
    </row>
    <row r="179" spans="2:4" ht="14.25" customHeight="1" x14ac:dyDescent="0.3">
      <c r="B179" s="31"/>
      <c r="C179" s="31"/>
      <c r="D179" s="31"/>
    </row>
    <row r="180" spans="2:4" ht="14.25" customHeight="1" x14ac:dyDescent="0.3">
      <c r="B180" s="31"/>
      <c r="C180" s="31"/>
      <c r="D180" s="31"/>
    </row>
    <row r="181" spans="2:4" ht="14.25" customHeight="1" x14ac:dyDescent="0.3">
      <c r="B181" s="31"/>
      <c r="C181" s="31"/>
      <c r="D181" s="31"/>
    </row>
    <row r="182" spans="2:4" ht="14.25" customHeight="1" x14ac:dyDescent="0.3">
      <c r="B182" s="31"/>
      <c r="C182" s="31"/>
      <c r="D182" s="31"/>
    </row>
    <row r="183" spans="2:4" ht="14.25" customHeight="1" x14ac:dyDescent="0.3">
      <c r="B183" s="31"/>
      <c r="C183" s="31"/>
      <c r="D183" s="31"/>
    </row>
    <row r="184" spans="2:4" ht="14.25" customHeight="1" x14ac:dyDescent="0.3">
      <c r="B184" s="31"/>
      <c r="C184" s="31"/>
      <c r="D184" s="31"/>
    </row>
    <row r="185" spans="2:4" ht="14.25" customHeight="1" x14ac:dyDescent="0.3">
      <c r="B185" s="31"/>
      <c r="C185" s="31"/>
      <c r="D185" s="31"/>
    </row>
    <row r="186" spans="2:4" ht="14.25" customHeight="1" x14ac:dyDescent="0.3">
      <c r="B186" s="31"/>
      <c r="C186" s="31"/>
      <c r="D186" s="31"/>
    </row>
    <row r="187" spans="2:4" ht="14.25" customHeight="1" x14ac:dyDescent="0.3">
      <c r="B187" s="31"/>
      <c r="C187" s="31"/>
      <c r="D187" s="31"/>
    </row>
    <row r="188" spans="2:4" ht="14.25" customHeight="1" x14ac:dyDescent="0.3">
      <c r="B188" s="31"/>
      <c r="C188" s="31"/>
      <c r="D188" s="31"/>
    </row>
    <row r="189" spans="2:4" ht="14.25" customHeight="1" x14ac:dyDescent="0.3">
      <c r="B189" s="31"/>
      <c r="C189" s="31"/>
      <c r="D189" s="31"/>
    </row>
    <row r="190" spans="2:4" ht="14.25" customHeight="1" x14ac:dyDescent="0.3">
      <c r="B190" s="31"/>
      <c r="C190" s="31"/>
      <c r="D190" s="31"/>
    </row>
    <row r="191" spans="2:4" ht="14.25" customHeight="1" x14ac:dyDescent="0.3">
      <c r="B191" s="31"/>
      <c r="C191" s="31"/>
      <c r="D191" s="31"/>
    </row>
    <row r="192" spans="2:4" ht="14.25" customHeight="1" x14ac:dyDescent="0.3">
      <c r="B192" s="31"/>
      <c r="C192" s="31"/>
      <c r="D192" s="31"/>
    </row>
    <row r="193" spans="2:4" ht="14.25" customHeight="1" x14ac:dyDescent="0.3">
      <c r="B193" s="31"/>
      <c r="C193" s="31"/>
      <c r="D193" s="31"/>
    </row>
    <row r="194" spans="2:4" ht="14.25" customHeight="1" x14ac:dyDescent="0.3">
      <c r="B194" s="31"/>
      <c r="C194" s="31"/>
      <c r="D194" s="31"/>
    </row>
    <row r="195" spans="2:4" ht="14.25" customHeight="1" x14ac:dyDescent="0.3">
      <c r="B195" s="31"/>
      <c r="C195" s="31"/>
      <c r="D195" s="31"/>
    </row>
    <row r="196" spans="2:4" ht="14.25" customHeight="1" x14ac:dyDescent="0.3">
      <c r="B196" s="31"/>
      <c r="C196" s="31"/>
      <c r="D196" s="31"/>
    </row>
    <row r="197" spans="2:4" ht="14.25" customHeight="1" x14ac:dyDescent="0.3">
      <c r="B197" s="31"/>
      <c r="C197" s="31"/>
      <c r="D197" s="31"/>
    </row>
    <row r="198" spans="2:4" ht="14.25" customHeight="1" x14ac:dyDescent="0.3">
      <c r="B198" s="31"/>
      <c r="C198" s="31"/>
      <c r="D198" s="31"/>
    </row>
    <row r="199" spans="2:4" ht="14.25" customHeight="1" x14ac:dyDescent="0.3">
      <c r="B199" s="31"/>
      <c r="C199" s="31"/>
      <c r="D199" s="31"/>
    </row>
    <row r="200" spans="2:4" ht="14.25" customHeight="1" x14ac:dyDescent="0.3">
      <c r="B200" s="31"/>
      <c r="C200" s="31"/>
      <c r="D200" s="31"/>
    </row>
    <row r="201" spans="2:4" ht="14.25" customHeight="1" x14ac:dyDescent="0.3">
      <c r="B201" s="31"/>
      <c r="C201" s="31"/>
      <c r="D201" s="31"/>
    </row>
    <row r="202" spans="2:4" ht="14.25" customHeight="1" x14ac:dyDescent="0.3">
      <c r="B202" s="31"/>
      <c r="C202" s="31"/>
      <c r="D202" s="31"/>
    </row>
    <row r="203" spans="2:4" ht="14.25" customHeight="1" x14ac:dyDescent="0.3">
      <c r="B203" s="31"/>
      <c r="C203" s="31"/>
      <c r="D203" s="31"/>
    </row>
    <row r="204" spans="2:4" ht="14.25" customHeight="1" x14ac:dyDescent="0.3">
      <c r="B204" s="31"/>
      <c r="C204" s="31"/>
      <c r="D204" s="31"/>
    </row>
    <row r="205" spans="2:4" ht="14.25" customHeight="1" x14ac:dyDescent="0.3">
      <c r="B205" s="31"/>
      <c r="C205" s="31"/>
      <c r="D205" s="31"/>
    </row>
    <row r="206" spans="2:4" ht="14.25" customHeight="1" x14ac:dyDescent="0.3">
      <c r="B206" s="31"/>
      <c r="C206" s="31"/>
      <c r="D206" s="31"/>
    </row>
    <row r="207" spans="2:4" ht="14.25" customHeight="1" x14ac:dyDescent="0.3">
      <c r="B207" s="31"/>
      <c r="C207" s="31"/>
      <c r="D207" s="31"/>
    </row>
    <row r="208" spans="2:4" ht="14.25" customHeight="1" x14ac:dyDescent="0.3">
      <c r="B208" s="31"/>
      <c r="C208" s="31"/>
      <c r="D208" s="31"/>
    </row>
    <row r="209" spans="2:4" ht="14.25" customHeight="1" x14ac:dyDescent="0.3">
      <c r="B209" s="31"/>
      <c r="C209" s="31"/>
      <c r="D209" s="31"/>
    </row>
    <row r="210" spans="2:4" ht="14.25" customHeight="1" x14ac:dyDescent="0.3">
      <c r="B210" s="31"/>
      <c r="C210" s="31"/>
      <c r="D210" s="31"/>
    </row>
    <row r="211" spans="2:4" ht="14.25" customHeight="1" x14ac:dyDescent="0.3">
      <c r="B211" s="31"/>
      <c r="C211" s="31"/>
      <c r="D211" s="31"/>
    </row>
    <row r="212" spans="2:4" ht="14.25" customHeight="1" x14ac:dyDescent="0.3">
      <c r="B212" s="31"/>
      <c r="C212" s="31"/>
      <c r="D212" s="31"/>
    </row>
    <row r="213" spans="2:4" ht="14.25" customHeight="1" x14ac:dyDescent="0.3">
      <c r="B213" s="31"/>
      <c r="C213" s="31"/>
      <c r="D213" s="31"/>
    </row>
    <row r="214" spans="2:4" ht="14.25" customHeight="1" x14ac:dyDescent="0.3">
      <c r="B214" s="31"/>
      <c r="C214" s="31"/>
      <c r="D214" s="31"/>
    </row>
    <row r="215" spans="2:4" ht="14.25" customHeight="1" x14ac:dyDescent="0.3">
      <c r="B215" s="31"/>
      <c r="C215" s="31"/>
      <c r="D215" s="31"/>
    </row>
    <row r="216" spans="2:4" ht="14.25" customHeight="1" x14ac:dyDescent="0.3">
      <c r="B216" s="31"/>
      <c r="C216" s="31"/>
      <c r="D216" s="31"/>
    </row>
    <row r="217" spans="2:4" ht="14.25" customHeight="1" x14ac:dyDescent="0.3">
      <c r="B217" s="31"/>
      <c r="C217" s="31"/>
      <c r="D217" s="31"/>
    </row>
    <row r="218" spans="2:4" ht="14.25" customHeight="1" x14ac:dyDescent="0.3">
      <c r="B218" s="31"/>
      <c r="C218" s="31"/>
      <c r="D218" s="31"/>
    </row>
    <row r="219" spans="2:4" ht="14.25" customHeight="1" x14ac:dyDescent="0.3">
      <c r="B219" s="31"/>
      <c r="C219" s="31"/>
      <c r="D219" s="31"/>
    </row>
    <row r="220" spans="2:4" ht="14.25" customHeight="1" x14ac:dyDescent="0.3">
      <c r="B220" s="31"/>
      <c r="C220" s="31"/>
      <c r="D220" s="31"/>
    </row>
    <row r="221" spans="2:4" ht="14.25" customHeight="1" x14ac:dyDescent="0.3">
      <c r="B221" s="31"/>
      <c r="C221" s="31"/>
      <c r="D221" s="31"/>
    </row>
    <row r="222" spans="2:4" ht="14.25" customHeight="1" x14ac:dyDescent="0.3">
      <c r="B222" s="31"/>
      <c r="C222" s="31"/>
      <c r="D222" s="31"/>
    </row>
    <row r="223" spans="2:4" ht="14.25" customHeight="1" x14ac:dyDescent="0.3">
      <c r="B223" s="31"/>
      <c r="C223" s="31"/>
      <c r="D223" s="31"/>
    </row>
    <row r="224" spans="2:4" ht="14.25" customHeight="1" x14ac:dyDescent="0.3">
      <c r="B224" s="31"/>
      <c r="C224" s="31"/>
      <c r="D224" s="31"/>
    </row>
    <row r="225" spans="2:4" ht="14.25" customHeight="1" x14ac:dyDescent="0.3">
      <c r="B225" s="31"/>
      <c r="C225" s="31"/>
      <c r="D225" s="31"/>
    </row>
    <row r="226" spans="2:4" ht="14.25" customHeight="1" x14ac:dyDescent="0.3">
      <c r="B226" s="31"/>
      <c r="C226" s="31"/>
      <c r="D226" s="31"/>
    </row>
    <row r="227" spans="2:4" ht="14.25" customHeight="1" x14ac:dyDescent="0.3">
      <c r="B227" s="31"/>
      <c r="C227" s="31"/>
      <c r="D227" s="31"/>
    </row>
    <row r="228" spans="2:4" ht="14.25" customHeight="1" x14ac:dyDescent="0.3">
      <c r="B228" s="31"/>
      <c r="C228" s="31"/>
      <c r="D228" s="31"/>
    </row>
    <row r="229" spans="2:4" ht="14.25" customHeight="1" x14ac:dyDescent="0.3">
      <c r="B229" s="31"/>
      <c r="C229" s="31"/>
      <c r="D229" s="31"/>
    </row>
    <row r="230" spans="2:4" ht="14.25" customHeight="1" x14ac:dyDescent="0.3">
      <c r="B230" s="31"/>
      <c r="C230" s="31"/>
      <c r="D230" s="31"/>
    </row>
    <row r="231" spans="2:4" ht="14.25" customHeight="1" x14ac:dyDescent="0.3">
      <c r="B231" s="31"/>
      <c r="C231" s="31"/>
      <c r="D231" s="31"/>
    </row>
    <row r="232" spans="2:4" ht="14.25" customHeight="1" x14ac:dyDescent="0.3">
      <c r="B232" s="31"/>
      <c r="C232" s="31"/>
      <c r="D232" s="31"/>
    </row>
    <row r="233" spans="2:4" ht="14.25" customHeight="1" x14ac:dyDescent="0.3">
      <c r="B233" s="31"/>
      <c r="C233" s="31"/>
      <c r="D233" s="31"/>
    </row>
    <row r="234" spans="2:4" ht="14.25" customHeight="1" x14ac:dyDescent="0.3">
      <c r="B234" s="31"/>
      <c r="C234" s="31"/>
      <c r="D234" s="31"/>
    </row>
    <row r="235" spans="2:4" ht="14.25" customHeight="1" x14ac:dyDescent="0.3">
      <c r="B235" s="31"/>
      <c r="C235" s="31"/>
      <c r="D235" s="31"/>
    </row>
    <row r="236" spans="2:4" ht="14.25" customHeight="1" x14ac:dyDescent="0.3">
      <c r="B236" s="31"/>
      <c r="C236" s="31"/>
      <c r="D236" s="31"/>
    </row>
    <row r="237" spans="2:4" ht="14.25" customHeight="1" x14ac:dyDescent="0.3">
      <c r="B237" s="31"/>
      <c r="C237" s="31"/>
      <c r="D237" s="31"/>
    </row>
    <row r="238" spans="2:4" ht="14.25" customHeight="1" x14ac:dyDescent="0.3">
      <c r="B238" s="31"/>
      <c r="C238" s="31"/>
      <c r="D238" s="31"/>
    </row>
    <row r="239" spans="2:4" ht="14.25" customHeight="1" x14ac:dyDescent="0.3">
      <c r="B239" s="31"/>
      <c r="C239" s="31"/>
      <c r="D239" s="31"/>
    </row>
    <row r="240" spans="2:4" ht="14.25" customHeight="1" x14ac:dyDescent="0.3">
      <c r="B240" s="31"/>
      <c r="C240" s="31"/>
      <c r="D240" s="31"/>
    </row>
    <row r="241" spans="2:4" ht="14.25" customHeight="1" x14ac:dyDescent="0.3">
      <c r="B241" s="31"/>
      <c r="C241" s="31"/>
      <c r="D241" s="31"/>
    </row>
    <row r="242" spans="2:4" ht="14.25" customHeight="1" x14ac:dyDescent="0.3">
      <c r="B242" s="31"/>
      <c r="C242" s="31"/>
      <c r="D242" s="31"/>
    </row>
    <row r="243" spans="2:4" ht="14.25" customHeight="1" x14ac:dyDescent="0.3">
      <c r="B243" s="31"/>
      <c r="C243" s="31"/>
      <c r="D243" s="31"/>
    </row>
    <row r="244" spans="2:4" ht="14.25" customHeight="1" x14ac:dyDescent="0.3">
      <c r="B244" s="31"/>
      <c r="C244" s="31"/>
      <c r="D244" s="31"/>
    </row>
    <row r="245" spans="2:4" ht="14.25" customHeight="1" x14ac:dyDescent="0.3">
      <c r="B245" s="31"/>
      <c r="C245" s="31"/>
      <c r="D245" s="31"/>
    </row>
    <row r="246" spans="2:4" ht="14.25" customHeight="1" x14ac:dyDescent="0.3">
      <c r="B246" s="31"/>
      <c r="C246" s="31"/>
      <c r="D246" s="31"/>
    </row>
    <row r="247" spans="2:4" ht="14.25" customHeight="1" x14ac:dyDescent="0.3">
      <c r="B247" s="31"/>
      <c r="C247" s="31"/>
      <c r="D247" s="31"/>
    </row>
    <row r="248" spans="2:4" ht="14.25" customHeight="1" x14ac:dyDescent="0.3">
      <c r="B248" s="31"/>
      <c r="C248" s="31"/>
      <c r="D248" s="31"/>
    </row>
    <row r="249" spans="2:4" ht="14.25" customHeight="1" x14ac:dyDescent="0.3">
      <c r="B249" s="31"/>
      <c r="C249" s="31"/>
      <c r="D249" s="31"/>
    </row>
    <row r="250" spans="2:4" ht="14.25" customHeight="1" x14ac:dyDescent="0.3">
      <c r="B250" s="31"/>
      <c r="C250" s="31"/>
      <c r="D250" s="31"/>
    </row>
    <row r="251" spans="2:4" ht="14.25" customHeight="1" x14ac:dyDescent="0.3">
      <c r="B251" s="31"/>
      <c r="C251" s="31"/>
      <c r="D251" s="31"/>
    </row>
    <row r="252" spans="2:4" ht="14.25" customHeight="1" x14ac:dyDescent="0.3">
      <c r="B252" s="31"/>
      <c r="C252" s="31"/>
      <c r="D252" s="31"/>
    </row>
    <row r="253" spans="2:4" ht="14.25" customHeight="1" x14ac:dyDescent="0.3">
      <c r="B253" s="31"/>
      <c r="C253" s="31"/>
      <c r="D253" s="31"/>
    </row>
    <row r="254" spans="2:4" ht="14.25" customHeight="1" x14ac:dyDescent="0.3">
      <c r="B254" s="31"/>
      <c r="C254" s="31"/>
      <c r="D254" s="31"/>
    </row>
    <row r="255" spans="2:4" ht="14.25" customHeight="1" x14ac:dyDescent="0.3">
      <c r="B255" s="31"/>
      <c r="C255" s="31"/>
      <c r="D255" s="31"/>
    </row>
    <row r="256" spans="2:4" ht="14.25" customHeight="1" x14ac:dyDescent="0.3">
      <c r="B256" s="31"/>
      <c r="C256" s="31"/>
      <c r="D256" s="31"/>
    </row>
    <row r="257" spans="2:4" ht="14.25" customHeight="1" x14ac:dyDescent="0.3">
      <c r="B257" s="31"/>
      <c r="C257" s="31"/>
      <c r="D257" s="31"/>
    </row>
    <row r="258" spans="2:4" ht="14.25" customHeight="1" x14ac:dyDescent="0.3">
      <c r="B258" s="31"/>
      <c r="C258" s="31"/>
      <c r="D258" s="31"/>
    </row>
    <row r="259" spans="2:4" ht="14.25" customHeight="1" x14ac:dyDescent="0.3">
      <c r="B259" s="31"/>
      <c r="C259" s="31"/>
      <c r="D259" s="31"/>
    </row>
    <row r="260" spans="2:4" ht="14.25" customHeight="1" x14ac:dyDescent="0.3">
      <c r="B260" s="31"/>
      <c r="C260" s="31"/>
      <c r="D260" s="31"/>
    </row>
    <row r="261" spans="2:4" ht="14.25" customHeight="1" x14ac:dyDescent="0.3">
      <c r="B261" s="31"/>
      <c r="C261" s="31"/>
      <c r="D261" s="31"/>
    </row>
    <row r="262" spans="2:4" ht="14.25" customHeight="1" x14ac:dyDescent="0.3">
      <c r="B262" s="31"/>
      <c r="C262" s="31"/>
      <c r="D262" s="31"/>
    </row>
    <row r="263" spans="2:4" ht="14.25" customHeight="1" x14ac:dyDescent="0.3">
      <c r="B263" s="31"/>
      <c r="C263" s="31"/>
      <c r="D263" s="31"/>
    </row>
    <row r="264" spans="2:4" ht="14.25" customHeight="1" x14ac:dyDescent="0.3">
      <c r="B264" s="31"/>
      <c r="C264" s="31"/>
      <c r="D264" s="31"/>
    </row>
    <row r="265" spans="2:4" ht="14.25" customHeight="1" x14ac:dyDescent="0.3">
      <c r="B265" s="31"/>
      <c r="C265" s="31"/>
      <c r="D265" s="31"/>
    </row>
    <row r="266" spans="2:4" ht="14.25" customHeight="1" x14ac:dyDescent="0.3">
      <c r="B266" s="31"/>
      <c r="C266" s="31"/>
      <c r="D266" s="31"/>
    </row>
    <row r="267" spans="2:4" ht="14.25" customHeight="1" x14ac:dyDescent="0.3">
      <c r="B267" s="31"/>
      <c r="C267" s="31"/>
      <c r="D267" s="31"/>
    </row>
    <row r="268" spans="2:4" ht="14.25" customHeight="1" x14ac:dyDescent="0.3">
      <c r="B268" s="31"/>
      <c r="C268" s="31"/>
      <c r="D268" s="31"/>
    </row>
    <row r="269" spans="2:4" ht="14.25" customHeight="1" x14ac:dyDescent="0.3">
      <c r="B269" s="31"/>
      <c r="C269" s="31"/>
      <c r="D269" s="31"/>
    </row>
    <row r="270" spans="2:4" ht="14.25" customHeight="1" x14ac:dyDescent="0.3">
      <c r="B270" s="31"/>
      <c r="C270" s="31"/>
      <c r="D270" s="31"/>
    </row>
    <row r="271" spans="2:4" ht="14.25" customHeight="1" x14ac:dyDescent="0.3">
      <c r="B271" s="31"/>
      <c r="C271" s="31"/>
      <c r="D271" s="31"/>
    </row>
    <row r="272" spans="2:4" ht="14.25" customHeight="1" x14ac:dyDescent="0.3">
      <c r="B272" s="31"/>
      <c r="C272" s="31"/>
      <c r="D272" s="31"/>
    </row>
    <row r="273" spans="2:4" ht="14.25" customHeight="1" x14ac:dyDescent="0.3">
      <c r="B273" s="31"/>
      <c r="C273" s="31"/>
      <c r="D273" s="31"/>
    </row>
    <row r="274" spans="2:4" ht="14.25" customHeight="1" x14ac:dyDescent="0.3">
      <c r="B274" s="31"/>
      <c r="C274" s="31"/>
      <c r="D274" s="31"/>
    </row>
    <row r="275" spans="2:4" ht="14.25" customHeight="1" x14ac:dyDescent="0.3">
      <c r="B275" s="31"/>
      <c r="C275" s="31"/>
      <c r="D275" s="31"/>
    </row>
    <row r="276" spans="2:4" ht="14.25" customHeight="1" x14ac:dyDescent="0.3">
      <c r="B276" s="31"/>
      <c r="C276" s="31"/>
      <c r="D276" s="31"/>
    </row>
    <row r="277" spans="2:4" ht="14.25" customHeight="1" x14ac:dyDescent="0.3">
      <c r="B277" s="31"/>
      <c r="C277" s="31"/>
      <c r="D277" s="31"/>
    </row>
    <row r="278" spans="2:4" ht="14.25" customHeight="1" x14ac:dyDescent="0.3">
      <c r="B278" s="31"/>
      <c r="C278" s="31"/>
      <c r="D278" s="31"/>
    </row>
    <row r="279" spans="2:4" ht="14.25" customHeight="1" x14ac:dyDescent="0.3">
      <c r="B279" s="31"/>
      <c r="C279" s="31"/>
      <c r="D279" s="31"/>
    </row>
    <row r="280" spans="2:4" ht="14.25" customHeight="1" x14ac:dyDescent="0.3">
      <c r="B280" s="31"/>
      <c r="C280" s="31"/>
      <c r="D280" s="31"/>
    </row>
    <row r="281" spans="2:4" ht="14.25" customHeight="1" x14ac:dyDescent="0.3">
      <c r="B281" s="31"/>
      <c r="C281" s="31"/>
      <c r="D281" s="31"/>
    </row>
    <row r="282" spans="2:4" ht="14.25" customHeight="1" x14ac:dyDescent="0.3">
      <c r="B282" s="31"/>
      <c r="C282" s="31"/>
      <c r="D282" s="31"/>
    </row>
    <row r="283" spans="2:4" ht="14.25" customHeight="1" x14ac:dyDescent="0.3">
      <c r="B283" s="31"/>
      <c r="C283" s="31"/>
      <c r="D283" s="31"/>
    </row>
    <row r="284" spans="2:4" ht="14.25" customHeight="1" x14ac:dyDescent="0.3">
      <c r="B284" s="31"/>
      <c r="C284" s="31"/>
      <c r="D284" s="31"/>
    </row>
    <row r="285" spans="2:4" ht="14.25" customHeight="1" x14ac:dyDescent="0.3">
      <c r="B285" s="31"/>
      <c r="C285" s="31"/>
      <c r="D285" s="31"/>
    </row>
    <row r="286" spans="2:4" ht="14.25" customHeight="1" x14ac:dyDescent="0.3">
      <c r="B286" s="31"/>
      <c r="C286" s="31"/>
      <c r="D286" s="31"/>
    </row>
    <row r="287" spans="2:4" ht="14.25" customHeight="1" x14ac:dyDescent="0.3">
      <c r="B287" s="31"/>
      <c r="C287" s="31"/>
      <c r="D287" s="31"/>
    </row>
    <row r="288" spans="2:4" ht="14.25" customHeight="1" x14ac:dyDescent="0.3">
      <c r="B288" s="31"/>
      <c r="C288" s="31"/>
      <c r="D288" s="31"/>
    </row>
    <row r="289" spans="2:4" ht="14.25" customHeight="1" x14ac:dyDescent="0.3">
      <c r="B289" s="31"/>
      <c r="C289" s="31"/>
      <c r="D289" s="31"/>
    </row>
    <row r="290" spans="2:4" ht="14.25" customHeight="1" x14ac:dyDescent="0.3">
      <c r="B290" s="31"/>
      <c r="C290" s="31"/>
      <c r="D290" s="31"/>
    </row>
    <row r="291" spans="2:4" ht="14.25" customHeight="1" x14ac:dyDescent="0.3">
      <c r="B291" s="31"/>
      <c r="C291" s="31"/>
      <c r="D291" s="31"/>
    </row>
    <row r="292" spans="2:4" ht="14.25" customHeight="1" x14ac:dyDescent="0.3">
      <c r="B292" s="31"/>
      <c r="C292" s="31"/>
      <c r="D292" s="31"/>
    </row>
    <row r="293" spans="2:4" ht="14.25" customHeight="1" x14ac:dyDescent="0.3">
      <c r="B293" s="31"/>
      <c r="C293" s="31"/>
      <c r="D293" s="31"/>
    </row>
    <row r="294" spans="2:4" ht="14.25" customHeight="1" x14ac:dyDescent="0.3">
      <c r="B294" s="31"/>
      <c r="C294" s="31"/>
      <c r="D294" s="31"/>
    </row>
    <row r="295" spans="2:4" ht="14.25" customHeight="1" x14ac:dyDescent="0.3">
      <c r="B295" s="31"/>
      <c r="C295" s="31"/>
      <c r="D295" s="31"/>
    </row>
    <row r="296" spans="2:4" ht="14.25" customHeight="1" x14ac:dyDescent="0.3">
      <c r="B296" s="31"/>
      <c r="C296" s="31"/>
      <c r="D296" s="31"/>
    </row>
    <row r="297" spans="2:4" ht="14.25" customHeight="1" x14ac:dyDescent="0.3">
      <c r="B297" s="31"/>
      <c r="C297" s="31"/>
      <c r="D297" s="31"/>
    </row>
    <row r="298" spans="2:4" ht="14.25" customHeight="1" x14ac:dyDescent="0.3">
      <c r="B298" s="31"/>
      <c r="C298" s="31"/>
      <c r="D298" s="31"/>
    </row>
    <row r="299" spans="2:4" ht="14.25" customHeight="1" x14ac:dyDescent="0.3">
      <c r="B299" s="31"/>
      <c r="C299" s="31"/>
      <c r="D299" s="31"/>
    </row>
    <row r="300" spans="2:4" ht="14.25" customHeight="1" x14ac:dyDescent="0.3">
      <c r="B300" s="31"/>
      <c r="C300" s="31"/>
      <c r="D300" s="31"/>
    </row>
    <row r="301" spans="2:4" ht="14.25" customHeight="1" x14ac:dyDescent="0.3">
      <c r="B301" s="31"/>
      <c r="C301" s="31"/>
      <c r="D301" s="31"/>
    </row>
    <row r="302" spans="2:4" ht="14.25" customHeight="1" x14ac:dyDescent="0.3">
      <c r="B302" s="31"/>
      <c r="C302" s="31"/>
      <c r="D302" s="31"/>
    </row>
    <row r="303" spans="2:4" ht="14.25" customHeight="1" x14ac:dyDescent="0.3">
      <c r="B303" s="31"/>
      <c r="C303" s="31"/>
      <c r="D303" s="31"/>
    </row>
    <row r="304" spans="2:4" ht="14.25" customHeight="1" x14ac:dyDescent="0.3">
      <c r="B304" s="31"/>
      <c r="C304" s="31"/>
      <c r="D304" s="31"/>
    </row>
    <row r="305" spans="2:4" ht="14.25" customHeight="1" x14ac:dyDescent="0.3">
      <c r="B305" s="31"/>
      <c r="C305" s="31"/>
      <c r="D305" s="31"/>
    </row>
    <row r="306" spans="2:4" ht="14.25" customHeight="1" x14ac:dyDescent="0.3">
      <c r="B306" s="31"/>
      <c r="C306" s="31"/>
      <c r="D306" s="31"/>
    </row>
    <row r="307" spans="2:4" ht="14.25" customHeight="1" x14ac:dyDescent="0.3">
      <c r="B307" s="31"/>
      <c r="C307" s="31"/>
      <c r="D307" s="31"/>
    </row>
    <row r="308" spans="2:4" ht="14.25" customHeight="1" x14ac:dyDescent="0.3">
      <c r="B308" s="31"/>
      <c r="C308" s="31"/>
      <c r="D308" s="31"/>
    </row>
    <row r="309" spans="2:4" ht="14.25" customHeight="1" x14ac:dyDescent="0.3">
      <c r="B309" s="31"/>
      <c r="C309" s="31"/>
      <c r="D309" s="31"/>
    </row>
    <row r="310" spans="2:4" ht="14.25" customHeight="1" x14ac:dyDescent="0.3">
      <c r="B310" s="31"/>
      <c r="C310" s="31"/>
      <c r="D310" s="31"/>
    </row>
    <row r="311" spans="2:4" ht="14.25" customHeight="1" x14ac:dyDescent="0.3">
      <c r="B311" s="31"/>
      <c r="C311" s="31"/>
      <c r="D311" s="31"/>
    </row>
    <row r="312" spans="2:4" ht="14.25" customHeight="1" x14ac:dyDescent="0.3">
      <c r="B312" s="31"/>
      <c r="C312" s="31"/>
      <c r="D312" s="31"/>
    </row>
    <row r="313" spans="2:4" ht="14.25" customHeight="1" x14ac:dyDescent="0.3">
      <c r="B313" s="31"/>
      <c r="C313" s="31"/>
      <c r="D313" s="31"/>
    </row>
    <row r="314" spans="2:4" ht="14.25" customHeight="1" x14ac:dyDescent="0.3">
      <c r="B314" s="31"/>
      <c r="C314" s="31"/>
      <c r="D314" s="31"/>
    </row>
    <row r="315" spans="2:4" ht="14.25" customHeight="1" x14ac:dyDescent="0.3">
      <c r="B315" s="31"/>
      <c r="C315" s="31"/>
      <c r="D315" s="31"/>
    </row>
    <row r="316" spans="2:4" ht="14.25" customHeight="1" x14ac:dyDescent="0.3">
      <c r="B316" s="31"/>
      <c r="C316" s="31"/>
      <c r="D316" s="31"/>
    </row>
    <row r="317" spans="2:4" ht="14.25" customHeight="1" x14ac:dyDescent="0.3">
      <c r="B317" s="31"/>
      <c r="C317" s="31"/>
      <c r="D317" s="31"/>
    </row>
    <row r="318" spans="2:4" ht="14.25" customHeight="1" x14ac:dyDescent="0.3">
      <c r="B318" s="31"/>
      <c r="C318" s="31"/>
      <c r="D318" s="31"/>
    </row>
    <row r="319" spans="2:4" ht="14.25" customHeight="1" x14ac:dyDescent="0.3">
      <c r="B319" s="31"/>
      <c r="C319" s="31"/>
      <c r="D319" s="31"/>
    </row>
    <row r="320" spans="2:4" ht="14.25" customHeight="1" x14ac:dyDescent="0.3">
      <c r="B320" s="31"/>
      <c r="C320" s="31"/>
      <c r="D320" s="31"/>
    </row>
    <row r="321" spans="2:4" ht="14.25" customHeight="1" x14ac:dyDescent="0.3">
      <c r="B321" s="31"/>
      <c r="C321" s="31"/>
      <c r="D321" s="31"/>
    </row>
    <row r="322" spans="2:4" ht="14.25" customHeight="1" x14ac:dyDescent="0.3">
      <c r="B322" s="31"/>
      <c r="C322" s="31"/>
      <c r="D322" s="31"/>
    </row>
    <row r="323" spans="2:4" ht="14.25" customHeight="1" x14ac:dyDescent="0.3">
      <c r="B323" s="31"/>
      <c r="C323" s="31"/>
      <c r="D323" s="31"/>
    </row>
    <row r="324" spans="2:4" ht="14.25" customHeight="1" x14ac:dyDescent="0.3">
      <c r="B324" s="31"/>
      <c r="C324" s="31"/>
      <c r="D324" s="31"/>
    </row>
    <row r="325" spans="2:4" ht="14.25" customHeight="1" x14ac:dyDescent="0.3">
      <c r="B325" s="31"/>
      <c r="C325" s="31"/>
      <c r="D325" s="31"/>
    </row>
    <row r="326" spans="2:4" ht="14.25" customHeight="1" x14ac:dyDescent="0.3">
      <c r="B326" s="31"/>
      <c r="C326" s="31"/>
      <c r="D326" s="31"/>
    </row>
    <row r="327" spans="2:4" ht="14.25" customHeight="1" x14ac:dyDescent="0.3">
      <c r="B327" s="31"/>
      <c r="C327" s="31"/>
      <c r="D327" s="31"/>
    </row>
    <row r="328" spans="2:4" ht="14.25" customHeight="1" x14ac:dyDescent="0.3">
      <c r="B328" s="31"/>
      <c r="C328" s="31"/>
      <c r="D328" s="31"/>
    </row>
    <row r="329" spans="2:4" ht="14.25" customHeight="1" x14ac:dyDescent="0.3">
      <c r="B329" s="31"/>
      <c r="C329" s="31"/>
      <c r="D329" s="31"/>
    </row>
    <row r="330" spans="2:4" ht="14.25" customHeight="1" x14ac:dyDescent="0.3">
      <c r="B330" s="31"/>
      <c r="C330" s="31"/>
      <c r="D330" s="31"/>
    </row>
    <row r="331" spans="2:4" ht="14.25" customHeight="1" x14ac:dyDescent="0.3">
      <c r="B331" s="31"/>
      <c r="C331" s="31"/>
      <c r="D331" s="31"/>
    </row>
    <row r="332" spans="2:4" ht="14.25" customHeight="1" x14ac:dyDescent="0.3">
      <c r="B332" s="31"/>
      <c r="C332" s="31"/>
      <c r="D332" s="31"/>
    </row>
    <row r="333" spans="2:4" ht="14.25" customHeight="1" x14ac:dyDescent="0.3">
      <c r="B333" s="31"/>
      <c r="C333" s="31"/>
      <c r="D333" s="31"/>
    </row>
    <row r="334" spans="2:4" ht="14.25" customHeight="1" x14ac:dyDescent="0.3">
      <c r="B334" s="31"/>
      <c r="C334" s="31"/>
      <c r="D334" s="31"/>
    </row>
    <row r="335" spans="2:4" ht="14.25" customHeight="1" x14ac:dyDescent="0.3">
      <c r="B335" s="31"/>
      <c r="C335" s="31"/>
      <c r="D335" s="31"/>
    </row>
    <row r="336" spans="2:4" ht="14.25" customHeight="1" x14ac:dyDescent="0.3">
      <c r="B336" s="31"/>
      <c r="C336" s="31"/>
      <c r="D336" s="31"/>
    </row>
    <row r="337" spans="2:4" ht="14.25" customHeight="1" x14ac:dyDescent="0.3">
      <c r="B337" s="31"/>
      <c r="C337" s="31"/>
      <c r="D337" s="31"/>
    </row>
    <row r="338" spans="2:4" ht="14.25" customHeight="1" x14ac:dyDescent="0.3">
      <c r="B338" s="31"/>
      <c r="C338" s="31"/>
      <c r="D338" s="31"/>
    </row>
    <row r="339" spans="2:4" ht="14.25" customHeight="1" x14ac:dyDescent="0.3">
      <c r="B339" s="31"/>
      <c r="C339" s="31"/>
      <c r="D339" s="31"/>
    </row>
    <row r="340" spans="2:4" ht="14.25" customHeight="1" x14ac:dyDescent="0.3">
      <c r="B340" s="31"/>
      <c r="C340" s="31"/>
      <c r="D340" s="31"/>
    </row>
    <row r="341" spans="2:4" ht="14.25" customHeight="1" x14ac:dyDescent="0.3">
      <c r="B341" s="31"/>
      <c r="C341" s="31"/>
      <c r="D341" s="31"/>
    </row>
    <row r="342" spans="2:4" ht="14.25" customHeight="1" x14ac:dyDescent="0.3">
      <c r="B342" s="31"/>
      <c r="C342" s="31"/>
      <c r="D342" s="31"/>
    </row>
    <row r="343" spans="2:4" ht="14.25" customHeight="1" x14ac:dyDescent="0.3">
      <c r="B343" s="31"/>
      <c r="C343" s="31"/>
      <c r="D343" s="31"/>
    </row>
    <row r="344" spans="2:4" ht="14.25" customHeight="1" x14ac:dyDescent="0.3">
      <c r="B344" s="31"/>
      <c r="C344" s="31"/>
      <c r="D344" s="31"/>
    </row>
    <row r="345" spans="2:4" ht="14.25" customHeight="1" x14ac:dyDescent="0.3">
      <c r="B345" s="31"/>
      <c r="C345" s="31"/>
      <c r="D345" s="31"/>
    </row>
    <row r="346" spans="2:4" ht="14.25" customHeight="1" x14ac:dyDescent="0.3">
      <c r="B346" s="31"/>
      <c r="C346" s="31"/>
      <c r="D346" s="31"/>
    </row>
    <row r="347" spans="2:4" ht="14.25" customHeight="1" x14ac:dyDescent="0.3">
      <c r="B347" s="31"/>
      <c r="C347" s="31"/>
      <c r="D347" s="31"/>
    </row>
    <row r="348" spans="2:4" ht="14.25" customHeight="1" x14ac:dyDescent="0.3">
      <c r="B348" s="31"/>
      <c r="C348" s="31"/>
      <c r="D348" s="31"/>
    </row>
    <row r="349" spans="2:4" ht="14.25" customHeight="1" x14ac:dyDescent="0.3">
      <c r="B349" s="31"/>
      <c r="C349" s="31"/>
      <c r="D349" s="31"/>
    </row>
    <row r="350" spans="2:4" ht="14.25" customHeight="1" x14ac:dyDescent="0.3">
      <c r="B350" s="31"/>
      <c r="C350" s="31"/>
      <c r="D350" s="31"/>
    </row>
    <row r="351" spans="2:4" ht="14.25" customHeight="1" x14ac:dyDescent="0.3">
      <c r="B351" s="31"/>
      <c r="C351" s="31"/>
      <c r="D351" s="31"/>
    </row>
    <row r="352" spans="2:4" ht="14.25" customHeight="1" x14ac:dyDescent="0.3">
      <c r="B352" s="31"/>
      <c r="C352" s="31"/>
      <c r="D352" s="31"/>
    </row>
    <row r="353" spans="2:4" ht="14.25" customHeight="1" x14ac:dyDescent="0.3">
      <c r="B353" s="31"/>
      <c r="C353" s="31"/>
      <c r="D353" s="31"/>
    </row>
    <row r="354" spans="2:4" ht="14.25" customHeight="1" x14ac:dyDescent="0.3">
      <c r="B354" s="31"/>
      <c r="C354" s="31"/>
      <c r="D354" s="31"/>
    </row>
    <row r="355" spans="2:4" ht="14.25" customHeight="1" x14ac:dyDescent="0.3">
      <c r="B355" s="31"/>
      <c r="C355" s="31"/>
      <c r="D355" s="31"/>
    </row>
    <row r="356" spans="2:4" ht="14.25" customHeight="1" x14ac:dyDescent="0.3">
      <c r="B356" s="31"/>
      <c r="C356" s="31"/>
      <c r="D356" s="31"/>
    </row>
    <row r="357" spans="2:4" ht="14.25" customHeight="1" x14ac:dyDescent="0.3">
      <c r="B357" s="31"/>
      <c r="C357" s="31"/>
      <c r="D357" s="31"/>
    </row>
    <row r="358" spans="2:4" ht="14.25" customHeight="1" x14ac:dyDescent="0.3">
      <c r="B358" s="31"/>
      <c r="C358" s="31"/>
      <c r="D358" s="31"/>
    </row>
    <row r="359" spans="2:4" ht="14.25" customHeight="1" x14ac:dyDescent="0.3">
      <c r="B359" s="31"/>
      <c r="C359" s="31"/>
      <c r="D359" s="31"/>
    </row>
    <row r="360" spans="2:4" ht="14.25" customHeight="1" x14ac:dyDescent="0.3">
      <c r="B360" s="31"/>
      <c r="C360" s="31"/>
      <c r="D360" s="31"/>
    </row>
    <row r="361" spans="2:4" ht="14.25" customHeight="1" x14ac:dyDescent="0.3">
      <c r="B361" s="31"/>
      <c r="C361" s="31"/>
      <c r="D361" s="31"/>
    </row>
    <row r="362" spans="2:4" ht="14.25" customHeight="1" x14ac:dyDescent="0.3">
      <c r="B362" s="31"/>
      <c r="C362" s="31"/>
      <c r="D362" s="31"/>
    </row>
    <row r="363" spans="2:4" ht="14.25" customHeight="1" x14ac:dyDescent="0.3">
      <c r="B363" s="31"/>
      <c r="C363" s="31"/>
      <c r="D363" s="31"/>
    </row>
    <row r="364" spans="2:4" ht="14.25" customHeight="1" x14ac:dyDescent="0.3">
      <c r="B364" s="31"/>
      <c r="C364" s="31"/>
      <c r="D364" s="31"/>
    </row>
    <row r="365" spans="2:4" ht="14.25" customHeight="1" x14ac:dyDescent="0.3">
      <c r="B365" s="31"/>
      <c r="C365" s="31"/>
      <c r="D365" s="31"/>
    </row>
    <row r="366" spans="2:4" ht="14.25" customHeight="1" x14ac:dyDescent="0.3">
      <c r="B366" s="31"/>
      <c r="C366" s="31"/>
      <c r="D366" s="31"/>
    </row>
    <row r="367" spans="2:4" ht="14.25" customHeight="1" x14ac:dyDescent="0.3">
      <c r="B367" s="31"/>
      <c r="C367" s="31"/>
      <c r="D367" s="31"/>
    </row>
    <row r="368" spans="2:4" ht="14.25" customHeight="1" x14ac:dyDescent="0.3">
      <c r="B368" s="31"/>
      <c r="C368" s="31"/>
      <c r="D368" s="31"/>
    </row>
    <row r="369" spans="2:4" ht="14.25" customHeight="1" x14ac:dyDescent="0.3">
      <c r="B369" s="31"/>
      <c r="C369" s="31"/>
      <c r="D369" s="31"/>
    </row>
    <row r="370" spans="2:4" ht="14.25" customHeight="1" x14ac:dyDescent="0.3">
      <c r="B370" s="31"/>
      <c r="C370" s="31"/>
      <c r="D370" s="31"/>
    </row>
    <row r="371" spans="2:4" ht="14.25" customHeight="1" x14ac:dyDescent="0.3">
      <c r="B371" s="31"/>
      <c r="C371" s="31"/>
      <c r="D371" s="31"/>
    </row>
    <row r="372" spans="2:4" ht="14.25" customHeight="1" x14ac:dyDescent="0.3">
      <c r="B372" s="31"/>
      <c r="C372" s="31"/>
      <c r="D372" s="31"/>
    </row>
    <row r="373" spans="2:4" ht="14.25" customHeight="1" x14ac:dyDescent="0.3">
      <c r="B373" s="31"/>
      <c r="C373" s="31"/>
      <c r="D373" s="31"/>
    </row>
    <row r="374" spans="2:4" ht="14.25" customHeight="1" x14ac:dyDescent="0.3">
      <c r="B374" s="31"/>
      <c r="C374" s="31"/>
      <c r="D374" s="31"/>
    </row>
    <row r="375" spans="2:4" ht="14.25" customHeight="1" x14ac:dyDescent="0.3">
      <c r="B375" s="31"/>
      <c r="C375" s="31"/>
      <c r="D375" s="31"/>
    </row>
    <row r="376" spans="2:4" ht="14.25" customHeight="1" x14ac:dyDescent="0.3">
      <c r="B376" s="31"/>
      <c r="C376" s="31"/>
      <c r="D376" s="31"/>
    </row>
    <row r="377" spans="2:4" ht="14.25" customHeight="1" x14ac:dyDescent="0.3">
      <c r="B377" s="31"/>
      <c r="C377" s="31"/>
      <c r="D377" s="31"/>
    </row>
    <row r="378" spans="2:4" ht="14.25" customHeight="1" x14ac:dyDescent="0.3">
      <c r="B378" s="31"/>
      <c r="C378" s="31"/>
      <c r="D378" s="31"/>
    </row>
    <row r="379" spans="2:4" ht="14.25" customHeight="1" x14ac:dyDescent="0.3">
      <c r="B379" s="31"/>
      <c r="C379" s="31"/>
      <c r="D379" s="31"/>
    </row>
    <row r="380" spans="2:4" ht="14.25" customHeight="1" x14ac:dyDescent="0.3">
      <c r="B380" s="31"/>
      <c r="C380" s="31"/>
      <c r="D380" s="31"/>
    </row>
    <row r="381" spans="2:4" ht="14.25" customHeight="1" x14ac:dyDescent="0.3">
      <c r="B381" s="31"/>
      <c r="C381" s="31"/>
      <c r="D381" s="31"/>
    </row>
    <row r="382" spans="2:4" ht="14.25" customHeight="1" x14ac:dyDescent="0.3">
      <c r="B382" s="31"/>
      <c r="C382" s="31"/>
      <c r="D382" s="31"/>
    </row>
    <row r="383" spans="2:4" ht="14.25" customHeight="1" x14ac:dyDescent="0.3">
      <c r="B383" s="31"/>
      <c r="C383" s="31"/>
      <c r="D383" s="31"/>
    </row>
    <row r="384" spans="2:4" ht="14.25" customHeight="1" x14ac:dyDescent="0.3">
      <c r="B384" s="31"/>
      <c r="C384" s="31"/>
      <c r="D384" s="31"/>
    </row>
    <row r="385" spans="2:4" ht="14.25" customHeight="1" x14ac:dyDescent="0.3">
      <c r="B385" s="31"/>
      <c r="C385" s="31"/>
      <c r="D385" s="31"/>
    </row>
    <row r="386" spans="2:4" ht="14.25" customHeight="1" x14ac:dyDescent="0.3">
      <c r="B386" s="31"/>
      <c r="C386" s="31"/>
      <c r="D386" s="31"/>
    </row>
    <row r="387" spans="2:4" ht="14.25" customHeight="1" x14ac:dyDescent="0.3">
      <c r="B387" s="31"/>
      <c r="C387" s="31"/>
      <c r="D387" s="31"/>
    </row>
    <row r="388" spans="2:4" ht="14.25" customHeight="1" x14ac:dyDescent="0.3">
      <c r="B388" s="31"/>
      <c r="C388" s="31"/>
      <c r="D388" s="31"/>
    </row>
    <row r="389" spans="2:4" ht="14.25" customHeight="1" x14ac:dyDescent="0.3">
      <c r="B389" s="31"/>
      <c r="C389" s="31"/>
      <c r="D389" s="31"/>
    </row>
    <row r="390" spans="2:4" ht="14.25" customHeight="1" x14ac:dyDescent="0.3">
      <c r="B390" s="31"/>
      <c r="C390" s="31"/>
      <c r="D390" s="31"/>
    </row>
    <row r="391" spans="2:4" ht="14.25" customHeight="1" x14ac:dyDescent="0.3">
      <c r="B391" s="31"/>
      <c r="C391" s="31"/>
      <c r="D391" s="31"/>
    </row>
    <row r="392" spans="2:4" ht="14.25" customHeight="1" x14ac:dyDescent="0.3">
      <c r="B392" s="31"/>
      <c r="C392" s="31"/>
      <c r="D392" s="31"/>
    </row>
    <row r="393" spans="2:4" ht="14.25" customHeight="1" x14ac:dyDescent="0.3">
      <c r="B393" s="31"/>
      <c r="C393" s="31"/>
      <c r="D393" s="31"/>
    </row>
    <row r="394" spans="2:4" ht="14.25" customHeight="1" x14ac:dyDescent="0.3">
      <c r="B394" s="31"/>
      <c r="C394" s="31"/>
      <c r="D394" s="31"/>
    </row>
    <row r="395" spans="2:4" ht="14.25" customHeight="1" x14ac:dyDescent="0.3">
      <c r="B395" s="31"/>
      <c r="C395" s="31"/>
      <c r="D395" s="31"/>
    </row>
    <row r="396" spans="2:4" ht="14.25" customHeight="1" x14ac:dyDescent="0.3">
      <c r="B396" s="31"/>
      <c r="C396" s="31"/>
      <c r="D396" s="31"/>
    </row>
    <row r="397" spans="2:4" ht="14.25" customHeight="1" x14ac:dyDescent="0.3">
      <c r="B397" s="31"/>
      <c r="C397" s="31"/>
      <c r="D397" s="31"/>
    </row>
    <row r="398" spans="2:4" ht="14.25" customHeight="1" x14ac:dyDescent="0.3">
      <c r="B398" s="31"/>
      <c r="C398" s="31"/>
      <c r="D398" s="31"/>
    </row>
    <row r="399" spans="2:4" ht="14.25" customHeight="1" x14ac:dyDescent="0.3">
      <c r="B399" s="31"/>
      <c r="C399" s="31"/>
      <c r="D399" s="31"/>
    </row>
    <row r="400" spans="2:4" ht="14.25" customHeight="1" x14ac:dyDescent="0.3">
      <c r="B400" s="31"/>
      <c r="C400" s="31"/>
      <c r="D400" s="31"/>
    </row>
    <row r="401" spans="2:4" ht="14.25" customHeight="1" x14ac:dyDescent="0.3">
      <c r="B401" s="31"/>
      <c r="C401" s="31"/>
      <c r="D401" s="31"/>
    </row>
    <row r="402" spans="2:4" ht="14.25" customHeight="1" x14ac:dyDescent="0.3">
      <c r="B402" s="31"/>
      <c r="C402" s="31"/>
      <c r="D402" s="31"/>
    </row>
    <row r="403" spans="2:4" ht="14.25" customHeight="1" x14ac:dyDescent="0.3">
      <c r="B403" s="31"/>
      <c r="C403" s="31"/>
      <c r="D403" s="31"/>
    </row>
    <row r="404" spans="2:4" ht="14.25" customHeight="1" x14ac:dyDescent="0.3">
      <c r="B404" s="31"/>
      <c r="C404" s="31"/>
      <c r="D404" s="31"/>
    </row>
    <row r="405" spans="2:4" ht="14.25" customHeight="1" x14ac:dyDescent="0.3">
      <c r="B405" s="31"/>
      <c r="C405" s="31"/>
      <c r="D405" s="31"/>
    </row>
    <row r="406" spans="2:4" ht="14.25" customHeight="1" x14ac:dyDescent="0.3">
      <c r="B406" s="31"/>
      <c r="C406" s="31"/>
      <c r="D406" s="31"/>
    </row>
    <row r="407" spans="2:4" ht="14.25" customHeight="1" x14ac:dyDescent="0.3">
      <c r="B407" s="31"/>
      <c r="C407" s="31"/>
      <c r="D407" s="31"/>
    </row>
    <row r="408" spans="2:4" ht="14.25" customHeight="1" x14ac:dyDescent="0.3">
      <c r="B408" s="31"/>
      <c r="C408" s="31"/>
      <c r="D408" s="31"/>
    </row>
    <row r="409" spans="2:4" ht="14.25" customHeight="1" x14ac:dyDescent="0.3">
      <c r="B409" s="31"/>
      <c r="C409" s="31"/>
      <c r="D409" s="31"/>
    </row>
    <row r="410" spans="2:4" ht="14.25" customHeight="1" x14ac:dyDescent="0.3">
      <c r="B410" s="31"/>
      <c r="C410" s="31"/>
      <c r="D410" s="31"/>
    </row>
    <row r="411" spans="2:4" ht="14.25" customHeight="1" x14ac:dyDescent="0.3">
      <c r="B411" s="31"/>
      <c r="C411" s="31"/>
      <c r="D411" s="31"/>
    </row>
    <row r="412" spans="2:4" ht="14.25" customHeight="1" x14ac:dyDescent="0.3">
      <c r="B412" s="31"/>
      <c r="C412" s="31"/>
      <c r="D412" s="31"/>
    </row>
    <row r="413" spans="2:4" ht="14.25" customHeight="1" x14ac:dyDescent="0.3">
      <c r="B413" s="31"/>
      <c r="C413" s="31"/>
      <c r="D413" s="31"/>
    </row>
    <row r="414" spans="2:4" ht="14.25" customHeight="1" x14ac:dyDescent="0.3">
      <c r="B414" s="31"/>
      <c r="C414" s="31"/>
      <c r="D414" s="31"/>
    </row>
    <row r="415" spans="2:4" ht="14.25" customHeight="1" x14ac:dyDescent="0.3">
      <c r="B415" s="31"/>
      <c r="C415" s="31"/>
      <c r="D415" s="31"/>
    </row>
    <row r="416" spans="2:4" ht="14.25" customHeight="1" x14ac:dyDescent="0.3">
      <c r="B416" s="31"/>
      <c r="C416" s="31"/>
      <c r="D416" s="31"/>
    </row>
    <row r="417" spans="2:4" ht="14.25" customHeight="1" x14ac:dyDescent="0.3">
      <c r="B417" s="31"/>
      <c r="C417" s="31"/>
      <c r="D417" s="31"/>
    </row>
    <row r="418" spans="2:4" ht="14.25" customHeight="1" x14ac:dyDescent="0.3">
      <c r="B418" s="31"/>
      <c r="C418" s="31"/>
      <c r="D418" s="31"/>
    </row>
    <row r="419" spans="2:4" ht="14.25" customHeight="1" x14ac:dyDescent="0.3">
      <c r="B419" s="31"/>
      <c r="C419" s="31"/>
      <c r="D419" s="31"/>
    </row>
    <row r="420" spans="2:4" ht="14.25" customHeight="1" x14ac:dyDescent="0.3">
      <c r="B420" s="31"/>
      <c r="C420" s="31"/>
      <c r="D420" s="31"/>
    </row>
    <row r="421" spans="2:4" ht="14.25" customHeight="1" x14ac:dyDescent="0.3">
      <c r="B421" s="31"/>
      <c r="C421" s="31"/>
      <c r="D421" s="31"/>
    </row>
    <row r="422" spans="2:4" ht="14.25" customHeight="1" x14ac:dyDescent="0.3">
      <c r="B422" s="31"/>
      <c r="C422" s="31"/>
      <c r="D422" s="31"/>
    </row>
    <row r="423" spans="2:4" ht="14.25" customHeight="1" x14ac:dyDescent="0.3">
      <c r="B423" s="31"/>
      <c r="C423" s="31"/>
      <c r="D423" s="31"/>
    </row>
    <row r="424" spans="2:4" ht="14.25" customHeight="1" x14ac:dyDescent="0.3">
      <c r="B424" s="31"/>
      <c r="C424" s="31"/>
      <c r="D424" s="31"/>
    </row>
    <row r="425" spans="2:4" ht="14.25" customHeight="1" x14ac:dyDescent="0.3">
      <c r="B425" s="31"/>
      <c r="C425" s="31"/>
      <c r="D425" s="31"/>
    </row>
    <row r="426" spans="2:4" ht="14.25" customHeight="1" x14ac:dyDescent="0.3">
      <c r="B426" s="31"/>
      <c r="C426" s="31"/>
      <c r="D426" s="31"/>
    </row>
    <row r="427" spans="2:4" ht="14.25" customHeight="1" x14ac:dyDescent="0.3">
      <c r="B427" s="31"/>
      <c r="C427" s="31"/>
      <c r="D427" s="31"/>
    </row>
    <row r="428" spans="2:4" ht="14.25" customHeight="1" x14ac:dyDescent="0.3">
      <c r="B428" s="31"/>
      <c r="C428" s="31"/>
      <c r="D428" s="31"/>
    </row>
    <row r="429" spans="2:4" ht="14.25" customHeight="1" x14ac:dyDescent="0.3">
      <c r="B429" s="31"/>
      <c r="C429" s="31"/>
      <c r="D429" s="31"/>
    </row>
    <row r="430" spans="2:4" ht="14.25" customHeight="1" x14ac:dyDescent="0.3">
      <c r="B430" s="31"/>
      <c r="C430" s="31"/>
      <c r="D430" s="31"/>
    </row>
    <row r="431" spans="2:4" ht="14.25" customHeight="1" x14ac:dyDescent="0.3">
      <c r="B431" s="31"/>
      <c r="C431" s="31"/>
      <c r="D431" s="31"/>
    </row>
    <row r="432" spans="2:4" ht="14.25" customHeight="1" x14ac:dyDescent="0.3">
      <c r="B432" s="31"/>
      <c r="C432" s="31"/>
      <c r="D432" s="31"/>
    </row>
    <row r="433" spans="2:4" ht="14.25" customHeight="1" x14ac:dyDescent="0.3">
      <c r="B433" s="31"/>
      <c r="C433" s="31"/>
      <c r="D433" s="31"/>
    </row>
    <row r="434" spans="2:4" ht="14.25" customHeight="1" x14ac:dyDescent="0.3">
      <c r="B434" s="31"/>
      <c r="C434" s="31"/>
      <c r="D434" s="31"/>
    </row>
    <row r="435" spans="2:4" ht="14.25" customHeight="1" x14ac:dyDescent="0.3">
      <c r="B435" s="31"/>
      <c r="C435" s="31"/>
      <c r="D435" s="31"/>
    </row>
    <row r="436" spans="2:4" ht="14.25" customHeight="1" x14ac:dyDescent="0.3">
      <c r="B436" s="31"/>
      <c r="C436" s="31"/>
      <c r="D436" s="31"/>
    </row>
    <row r="437" spans="2:4" ht="14.25" customHeight="1" x14ac:dyDescent="0.3">
      <c r="B437" s="31"/>
      <c r="C437" s="31"/>
      <c r="D437" s="31"/>
    </row>
    <row r="438" spans="2:4" ht="14.25" customHeight="1" x14ac:dyDescent="0.3">
      <c r="B438" s="31"/>
      <c r="C438" s="31"/>
      <c r="D438" s="31"/>
    </row>
    <row r="439" spans="2:4" ht="14.25" customHeight="1" x14ac:dyDescent="0.3">
      <c r="B439" s="31"/>
      <c r="C439" s="31"/>
      <c r="D439" s="31"/>
    </row>
    <row r="440" spans="2:4" ht="14.25" customHeight="1" x14ac:dyDescent="0.3">
      <c r="B440" s="31"/>
      <c r="C440" s="31"/>
      <c r="D440" s="31"/>
    </row>
    <row r="441" spans="2:4" ht="14.25" customHeight="1" x14ac:dyDescent="0.3">
      <c r="B441" s="31"/>
      <c r="C441" s="31"/>
      <c r="D441" s="31"/>
    </row>
    <row r="442" spans="2:4" ht="14.25" customHeight="1" x14ac:dyDescent="0.3">
      <c r="B442" s="31"/>
      <c r="C442" s="31"/>
      <c r="D442" s="31"/>
    </row>
    <row r="443" spans="2:4" ht="14.25" customHeight="1" x14ac:dyDescent="0.3">
      <c r="B443" s="31"/>
      <c r="C443" s="31"/>
      <c r="D443" s="31"/>
    </row>
    <row r="444" spans="2:4" ht="14.25" customHeight="1" x14ac:dyDescent="0.3">
      <c r="B444" s="31"/>
      <c r="C444" s="31"/>
      <c r="D444" s="31"/>
    </row>
    <row r="445" spans="2:4" ht="14.25" customHeight="1" x14ac:dyDescent="0.3">
      <c r="B445" s="31"/>
      <c r="C445" s="31"/>
      <c r="D445" s="31"/>
    </row>
    <row r="446" spans="2:4" ht="14.25" customHeight="1" x14ac:dyDescent="0.3">
      <c r="B446" s="31"/>
      <c r="C446" s="31"/>
      <c r="D446" s="31"/>
    </row>
    <row r="447" spans="2:4" ht="14.25" customHeight="1" x14ac:dyDescent="0.3">
      <c r="B447" s="31"/>
      <c r="C447" s="31"/>
      <c r="D447" s="31"/>
    </row>
    <row r="448" spans="2:4" ht="14.25" customHeight="1" x14ac:dyDescent="0.3">
      <c r="B448" s="31"/>
      <c r="C448" s="31"/>
      <c r="D448" s="31"/>
    </row>
    <row r="449" spans="2:4" ht="14.25" customHeight="1" x14ac:dyDescent="0.3">
      <c r="B449" s="31"/>
      <c r="C449" s="31"/>
      <c r="D449" s="31"/>
    </row>
    <row r="450" spans="2:4" ht="14.25" customHeight="1" x14ac:dyDescent="0.3">
      <c r="B450" s="31"/>
      <c r="C450" s="31"/>
      <c r="D450" s="31"/>
    </row>
    <row r="451" spans="2:4" ht="14.25" customHeight="1" x14ac:dyDescent="0.3">
      <c r="B451" s="31"/>
      <c r="C451" s="31"/>
      <c r="D451" s="31"/>
    </row>
    <row r="452" spans="2:4" ht="14.25" customHeight="1" x14ac:dyDescent="0.3">
      <c r="B452" s="31"/>
      <c r="C452" s="31"/>
      <c r="D452" s="31"/>
    </row>
    <row r="453" spans="2:4" ht="14.25" customHeight="1" x14ac:dyDescent="0.3">
      <c r="B453" s="31"/>
      <c r="C453" s="31"/>
      <c r="D453" s="31"/>
    </row>
    <row r="454" spans="2:4" ht="14.25" customHeight="1" x14ac:dyDescent="0.3">
      <c r="B454" s="31"/>
      <c r="C454" s="31"/>
      <c r="D454" s="31"/>
    </row>
    <row r="455" spans="2:4" ht="14.25" customHeight="1" x14ac:dyDescent="0.3">
      <c r="B455" s="31"/>
      <c r="C455" s="31"/>
      <c r="D455" s="31"/>
    </row>
    <row r="456" spans="2:4" ht="14.25" customHeight="1" x14ac:dyDescent="0.3">
      <c r="B456" s="31"/>
      <c r="C456" s="31"/>
      <c r="D456" s="31"/>
    </row>
    <row r="457" spans="2:4" ht="14.25" customHeight="1" x14ac:dyDescent="0.3">
      <c r="B457" s="31"/>
      <c r="C457" s="31"/>
      <c r="D457" s="31"/>
    </row>
    <row r="458" spans="2:4" ht="14.25" customHeight="1" x14ac:dyDescent="0.3">
      <c r="B458" s="31"/>
      <c r="C458" s="31"/>
      <c r="D458" s="31"/>
    </row>
    <row r="459" spans="2:4" ht="14.25" customHeight="1" x14ac:dyDescent="0.3">
      <c r="B459" s="31"/>
      <c r="C459" s="31"/>
      <c r="D459" s="31"/>
    </row>
    <row r="460" spans="2:4" ht="14.25" customHeight="1" x14ac:dyDescent="0.3">
      <c r="B460" s="31"/>
      <c r="C460" s="31"/>
      <c r="D460" s="31"/>
    </row>
    <row r="461" spans="2:4" ht="14.25" customHeight="1" x14ac:dyDescent="0.3">
      <c r="B461" s="31"/>
      <c r="C461" s="31"/>
      <c r="D461" s="31"/>
    </row>
    <row r="462" spans="2:4" ht="14.25" customHeight="1" x14ac:dyDescent="0.3">
      <c r="B462" s="31"/>
      <c r="C462" s="31"/>
      <c r="D462" s="31"/>
    </row>
    <row r="463" spans="2:4" ht="14.25" customHeight="1" x14ac:dyDescent="0.3">
      <c r="B463" s="31"/>
      <c r="C463" s="31"/>
      <c r="D463" s="31"/>
    </row>
    <row r="464" spans="2:4" ht="14.25" customHeight="1" x14ac:dyDescent="0.3">
      <c r="B464" s="31"/>
      <c r="C464" s="31"/>
      <c r="D464" s="31"/>
    </row>
    <row r="465" spans="2:4" ht="14.25" customHeight="1" x14ac:dyDescent="0.3">
      <c r="B465" s="31"/>
      <c r="C465" s="31"/>
      <c r="D465" s="31"/>
    </row>
    <row r="466" spans="2:4" ht="14.25" customHeight="1" x14ac:dyDescent="0.3">
      <c r="B466" s="31"/>
      <c r="C466" s="31"/>
      <c r="D466" s="31"/>
    </row>
    <row r="467" spans="2:4" ht="14.25" customHeight="1" x14ac:dyDescent="0.3">
      <c r="B467" s="31"/>
      <c r="C467" s="31"/>
      <c r="D467" s="31"/>
    </row>
    <row r="468" spans="2:4" ht="14.25" customHeight="1" x14ac:dyDescent="0.3">
      <c r="B468" s="31"/>
      <c r="C468" s="31"/>
      <c r="D468" s="31"/>
    </row>
    <row r="469" spans="2:4" ht="14.25" customHeight="1" x14ac:dyDescent="0.3">
      <c r="B469" s="31"/>
      <c r="C469" s="31"/>
      <c r="D469" s="31"/>
    </row>
    <row r="470" spans="2:4" ht="14.25" customHeight="1" x14ac:dyDescent="0.3">
      <c r="B470" s="31"/>
      <c r="C470" s="31"/>
      <c r="D470" s="31"/>
    </row>
    <row r="471" spans="2:4" ht="14.25" customHeight="1" x14ac:dyDescent="0.3">
      <c r="B471" s="31"/>
      <c r="C471" s="31"/>
      <c r="D471" s="31"/>
    </row>
    <row r="472" spans="2:4" ht="14.25" customHeight="1" x14ac:dyDescent="0.3">
      <c r="B472" s="31"/>
      <c r="C472" s="31"/>
      <c r="D472" s="31"/>
    </row>
    <row r="473" spans="2:4" ht="14.25" customHeight="1" x14ac:dyDescent="0.3">
      <c r="B473" s="31"/>
      <c r="C473" s="31"/>
      <c r="D473" s="31"/>
    </row>
    <row r="474" spans="2:4" ht="14.25" customHeight="1" x14ac:dyDescent="0.3">
      <c r="B474" s="31"/>
      <c r="C474" s="31"/>
      <c r="D474" s="31"/>
    </row>
    <row r="475" spans="2:4" ht="14.25" customHeight="1" x14ac:dyDescent="0.3">
      <c r="B475" s="31"/>
      <c r="C475" s="31"/>
      <c r="D475" s="31"/>
    </row>
    <row r="476" spans="2:4" ht="14.25" customHeight="1" x14ac:dyDescent="0.3">
      <c r="B476" s="31"/>
      <c r="C476" s="31"/>
      <c r="D476" s="31"/>
    </row>
    <row r="477" spans="2:4" ht="14.25" customHeight="1" x14ac:dyDescent="0.3">
      <c r="B477" s="31"/>
      <c r="C477" s="31"/>
      <c r="D477" s="31"/>
    </row>
    <row r="478" spans="2:4" ht="14.25" customHeight="1" x14ac:dyDescent="0.3">
      <c r="B478" s="31"/>
      <c r="C478" s="31"/>
      <c r="D478" s="31"/>
    </row>
    <row r="479" spans="2:4" ht="14.25" customHeight="1" x14ac:dyDescent="0.3">
      <c r="B479" s="31"/>
      <c r="C479" s="31"/>
      <c r="D479" s="31"/>
    </row>
    <row r="480" spans="2:4" ht="14.25" customHeight="1" x14ac:dyDescent="0.3">
      <c r="B480" s="31"/>
      <c r="C480" s="31"/>
      <c r="D480" s="31"/>
    </row>
    <row r="481" spans="2:4" ht="14.25" customHeight="1" x14ac:dyDescent="0.3">
      <c r="B481" s="31"/>
      <c r="C481" s="31"/>
      <c r="D481" s="31"/>
    </row>
    <row r="482" spans="2:4" ht="14.25" customHeight="1" x14ac:dyDescent="0.3">
      <c r="B482" s="31"/>
      <c r="C482" s="31"/>
      <c r="D482" s="31"/>
    </row>
    <row r="483" spans="2:4" ht="14.25" customHeight="1" x14ac:dyDescent="0.3">
      <c r="B483" s="31"/>
      <c r="C483" s="31"/>
      <c r="D483" s="31"/>
    </row>
    <row r="484" spans="2:4" ht="14.25" customHeight="1" x14ac:dyDescent="0.3">
      <c r="B484" s="31"/>
      <c r="C484" s="31"/>
      <c r="D484" s="31"/>
    </row>
    <row r="485" spans="2:4" ht="14.25" customHeight="1" x14ac:dyDescent="0.3">
      <c r="B485" s="31"/>
      <c r="C485" s="31"/>
      <c r="D485" s="31"/>
    </row>
    <row r="486" spans="2:4" ht="14.25" customHeight="1" x14ac:dyDescent="0.3">
      <c r="B486" s="31"/>
      <c r="C486" s="31"/>
      <c r="D486" s="31"/>
    </row>
    <row r="487" spans="2:4" ht="14.25" customHeight="1" x14ac:dyDescent="0.3">
      <c r="B487" s="31"/>
      <c r="C487" s="31"/>
      <c r="D487" s="31"/>
    </row>
    <row r="488" spans="2:4" ht="14.25" customHeight="1" x14ac:dyDescent="0.3">
      <c r="B488" s="31"/>
      <c r="C488" s="31"/>
      <c r="D488" s="31"/>
    </row>
    <row r="489" spans="2:4" ht="14.25" customHeight="1" x14ac:dyDescent="0.3">
      <c r="B489" s="31"/>
      <c r="C489" s="31"/>
      <c r="D489" s="31"/>
    </row>
    <row r="490" spans="2:4" ht="14.25" customHeight="1" x14ac:dyDescent="0.3">
      <c r="B490" s="31"/>
      <c r="C490" s="31"/>
      <c r="D490" s="31"/>
    </row>
    <row r="491" spans="2:4" ht="14.25" customHeight="1" x14ac:dyDescent="0.3">
      <c r="B491" s="31"/>
      <c r="C491" s="31"/>
      <c r="D491" s="31"/>
    </row>
    <row r="492" spans="2:4" ht="14.25" customHeight="1" x14ac:dyDescent="0.3">
      <c r="B492" s="31"/>
      <c r="C492" s="31"/>
      <c r="D492" s="31"/>
    </row>
    <row r="493" spans="2:4" ht="14.25" customHeight="1" x14ac:dyDescent="0.3">
      <c r="B493" s="31"/>
      <c r="C493" s="31"/>
      <c r="D493" s="31"/>
    </row>
    <row r="494" spans="2:4" ht="14.25" customHeight="1" x14ac:dyDescent="0.3">
      <c r="B494" s="31"/>
      <c r="C494" s="31"/>
      <c r="D494" s="31"/>
    </row>
    <row r="495" spans="2:4" ht="14.25" customHeight="1" x14ac:dyDescent="0.3">
      <c r="B495" s="31"/>
      <c r="C495" s="31"/>
      <c r="D495" s="31"/>
    </row>
    <row r="496" spans="2:4" ht="14.25" customHeight="1" x14ac:dyDescent="0.3">
      <c r="B496" s="31"/>
      <c r="C496" s="31"/>
      <c r="D496" s="31"/>
    </row>
    <row r="497" spans="2:4" ht="14.25" customHeight="1" x14ac:dyDescent="0.3">
      <c r="B497" s="31"/>
      <c r="C497" s="31"/>
      <c r="D497" s="31"/>
    </row>
    <row r="498" spans="2:4" ht="14.25" customHeight="1" x14ac:dyDescent="0.3">
      <c r="B498" s="31"/>
      <c r="C498" s="31"/>
      <c r="D498" s="31"/>
    </row>
    <row r="499" spans="2:4" ht="14.25" customHeight="1" x14ac:dyDescent="0.3">
      <c r="B499" s="31"/>
      <c r="C499" s="31"/>
      <c r="D499" s="31"/>
    </row>
    <row r="500" spans="2:4" ht="14.25" customHeight="1" x14ac:dyDescent="0.3">
      <c r="B500" s="31"/>
      <c r="C500" s="31"/>
      <c r="D500" s="31"/>
    </row>
    <row r="501" spans="2:4" ht="14.25" customHeight="1" x14ac:dyDescent="0.3">
      <c r="B501" s="31"/>
      <c r="C501" s="31"/>
      <c r="D501" s="31"/>
    </row>
    <row r="502" spans="2:4" ht="14.25" customHeight="1" x14ac:dyDescent="0.3">
      <c r="B502" s="31"/>
      <c r="C502" s="31"/>
      <c r="D502" s="31"/>
    </row>
    <row r="503" spans="2:4" ht="14.25" customHeight="1" x14ac:dyDescent="0.3">
      <c r="B503" s="31"/>
      <c r="C503" s="31"/>
      <c r="D503" s="31"/>
    </row>
    <row r="504" spans="2:4" ht="14.25" customHeight="1" x14ac:dyDescent="0.3">
      <c r="B504" s="31"/>
      <c r="C504" s="31"/>
      <c r="D504" s="31"/>
    </row>
    <row r="505" spans="2:4" ht="14.25" customHeight="1" x14ac:dyDescent="0.3">
      <c r="B505" s="31"/>
      <c r="C505" s="31"/>
      <c r="D505" s="31"/>
    </row>
    <row r="506" spans="2:4" ht="14.25" customHeight="1" x14ac:dyDescent="0.3">
      <c r="B506" s="31"/>
      <c r="C506" s="31"/>
      <c r="D506" s="31"/>
    </row>
    <row r="507" spans="2:4" ht="14.25" customHeight="1" x14ac:dyDescent="0.3">
      <c r="B507" s="31"/>
      <c r="C507" s="31"/>
      <c r="D507" s="31"/>
    </row>
    <row r="508" spans="2:4" ht="14.25" customHeight="1" x14ac:dyDescent="0.3">
      <c r="B508" s="31"/>
      <c r="C508" s="31"/>
      <c r="D508" s="31"/>
    </row>
    <row r="509" spans="2:4" ht="14.25" customHeight="1" x14ac:dyDescent="0.3">
      <c r="B509" s="31"/>
      <c r="C509" s="31"/>
      <c r="D509" s="31"/>
    </row>
    <row r="510" spans="2:4" ht="14.25" customHeight="1" x14ac:dyDescent="0.3">
      <c r="B510" s="31"/>
      <c r="C510" s="31"/>
      <c r="D510" s="31"/>
    </row>
    <row r="511" spans="2:4" ht="14.25" customHeight="1" x14ac:dyDescent="0.3">
      <c r="B511" s="31"/>
      <c r="C511" s="31"/>
      <c r="D511" s="31"/>
    </row>
    <row r="512" spans="2:4" ht="14.25" customHeight="1" x14ac:dyDescent="0.3">
      <c r="B512" s="31"/>
      <c r="C512" s="31"/>
      <c r="D512" s="31"/>
    </row>
    <row r="513" spans="2:4" ht="14.25" customHeight="1" x14ac:dyDescent="0.3">
      <c r="B513" s="31"/>
      <c r="C513" s="31"/>
      <c r="D513" s="31"/>
    </row>
    <row r="514" spans="2:4" ht="14.25" customHeight="1" x14ac:dyDescent="0.3">
      <c r="B514" s="31"/>
      <c r="C514" s="31"/>
      <c r="D514" s="31"/>
    </row>
    <row r="515" spans="2:4" ht="14.25" customHeight="1" x14ac:dyDescent="0.3">
      <c r="B515" s="31"/>
      <c r="C515" s="31"/>
      <c r="D515" s="31"/>
    </row>
    <row r="516" spans="2:4" ht="14.25" customHeight="1" x14ac:dyDescent="0.3">
      <c r="B516" s="31"/>
      <c r="C516" s="31"/>
      <c r="D516" s="31"/>
    </row>
    <row r="517" spans="2:4" ht="14.25" customHeight="1" x14ac:dyDescent="0.3">
      <c r="B517" s="31"/>
      <c r="C517" s="31"/>
      <c r="D517" s="31"/>
    </row>
    <row r="518" spans="2:4" ht="14.25" customHeight="1" x14ac:dyDescent="0.3">
      <c r="B518" s="31"/>
      <c r="C518" s="31"/>
      <c r="D518" s="31"/>
    </row>
    <row r="519" spans="2:4" ht="14.25" customHeight="1" x14ac:dyDescent="0.3">
      <c r="B519" s="31"/>
      <c r="C519" s="31"/>
      <c r="D519" s="31"/>
    </row>
    <row r="520" spans="2:4" ht="14.25" customHeight="1" x14ac:dyDescent="0.3">
      <c r="B520" s="31"/>
      <c r="C520" s="31"/>
      <c r="D520" s="31"/>
    </row>
    <row r="521" spans="2:4" ht="14.25" customHeight="1" x14ac:dyDescent="0.3">
      <c r="B521" s="31"/>
      <c r="C521" s="31"/>
      <c r="D521" s="31"/>
    </row>
    <row r="522" spans="2:4" ht="14.25" customHeight="1" x14ac:dyDescent="0.3">
      <c r="B522" s="31"/>
      <c r="C522" s="31"/>
      <c r="D522" s="31"/>
    </row>
    <row r="523" spans="2:4" ht="14.25" customHeight="1" x14ac:dyDescent="0.3">
      <c r="B523" s="31"/>
      <c r="C523" s="31"/>
      <c r="D523" s="31"/>
    </row>
    <row r="524" spans="2:4" ht="14.25" customHeight="1" x14ac:dyDescent="0.3">
      <c r="B524" s="31"/>
      <c r="C524" s="31"/>
      <c r="D524" s="31"/>
    </row>
    <row r="525" spans="2:4" ht="14.25" customHeight="1" x14ac:dyDescent="0.3">
      <c r="B525" s="31"/>
      <c r="C525" s="31"/>
      <c r="D525" s="31"/>
    </row>
    <row r="526" spans="2:4" ht="14.25" customHeight="1" x14ac:dyDescent="0.3">
      <c r="B526" s="31"/>
      <c r="C526" s="31"/>
      <c r="D526" s="31"/>
    </row>
    <row r="527" spans="2:4" ht="14.25" customHeight="1" x14ac:dyDescent="0.3">
      <c r="B527" s="31"/>
      <c r="C527" s="31"/>
      <c r="D527" s="31"/>
    </row>
    <row r="528" spans="2:4" ht="14.25" customHeight="1" x14ac:dyDescent="0.3">
      <c r="B528" s="31"/>
      <c r="C528" s="31"/>
      <c r="D528" s="31"/>
    </row>
    <row r="529" spans="2:4" ht="14.25" customHeight="1" x14ac:dyDescent="0.3">
      <c r="B529" s="31"/>
      <c r="C529" s="31"/>
      <c r="D529" s="31"/>
    </row>
    <row r="530" spans="2:4" ht="14.25" customHeight="1" x14ac:dyDescent="0.3">
      <c r="B530" s="31"/>
      <c r="C530" s="31"/>
      <c r="D530" s="31"/>
    </row>
    <row r="531" spans="2:4" ht="14.25" customHeight="1" x14ac:dyDescent="0.3">
      <c r="B531" s="31"/>
      <c r="C531" s="31"/>
      <c r="D531" s="31"/>
    </row>
    <row r="532" spans="2:4" ht="14.25" customHeight="1" x14ac:dyDescent="0.3">
      <c r="B532" s="31"/>
      <c r="C532" s="31"/>
      <c r="D532" s="31"/>
    </row>
    <row r="533" spans="2:4" ht="14.25" customHeight="1" x14ac:dyDescent="0.3">
      <c r="B533" s="31"/>
      <c r="C533" s="31"/>
      <c r="D533" s="31"/>
    </row>
    <row r="534" spans="2:4" ht="14.25" customHeight="1" x14ac:dyDescent="0.3">
      <c r="B534" s="31"/>
      <c r="C534" s="31"/>
      <c r="D534" s="31"/>
    </row>
    <row r="535" spans="2:4" ht="14.25" customHeight="1" x14ac:dyDescent="0.3">
      <c r="B535" s="31"/>
      <c r="C535" s="31"/>
      <c r="D535" s="31"/>
    </row>
    <row r="536" spans="2:4" ht="14.25" customHeight="1" x14ac:dyDescent="0.3">
      <c r="B536" s="31"/>
      <c r="C536" s="31"/>
      <c r="D536" s="31"/>
    </row>
    <row r="537" spans="2:4" ht="14.25" customHeight="1" x14ac:dyDescent="0.3">
      <c r="B537" s="31"/>
      <c r="C537" s="31"/>
      <c r="D537" s="31"/>
    </row>
    <row r="538" spans="2:4" ht="14.25" customHeight="1" x14ac:dyDescent="0.3">
      <c r="B538" s="31"/>
      <c r="C538" s="31"/>
      <c r="D538" s="31"/>
    </row>
    <row r="539" spans="2:4" ht="14.25" customHeight="1" x14ac:dyDescent="0.3">
      <c r="B539" s="31"/>
      <c r="C539" s="31"/>
      <c r="D539" s="31"/>
    </row>
    <row r="540" spans="2:4" ht="14.25" customHeight="1" x14ac:dyDescent="0.3">
      <c r="B540" s="31"/>
      <c r="C540" s="31"/>
      <c r="D540" s="31"/>
    </row>
    <row r="541" spans="2:4" ht="14.25" customHeight="1" x14ac:dyDescent="0.3">
      <c r="B541" s="31"/>
      <c r="C541" s="31"/>
      <c r="D541" s="31"/>
    </row>
    <row r="542" spans="2:4" ht="14.25" customHeight="1" x14ac:dyDescent="0.3">
      <c r="B542" s="31"/>
      <c r="C542" s="31"/>
      <c r="D542" s="31"/>
    </row>
    <row r="543" spans="2:4" ht="14.25" customHeight="1" x14ac:dyDescent="0.3">
      <c r="B543" s="31"/>
      <c r="C543" s="31"/>
      <c r="D543" s="31"/>
    </row>
    <row r="544" spans="2:4" ht="14.25" customHeight="1" x14ac:dyDescent="0.3">
      <c r="B544" s="31"/>
      <c r="C544" s="31"/>
      <c r="D544" s="31"/>
    </row>
    <row r="545" spans="2:4" ht="14.25" customHeight="1" x14ac:dyDescent="0.3">
      <c r="B545" s="31"/>
      <c r="C545" s="31"/>
      <c r="D545" s="31"/>
    </row>
    <row r="546" spans="2:4" ht="14.25" customHeight="1" x14ac:dyDescent="0.3">
      <c r="B546" s="31"/>
      <c r="C546" s="31"/>
      <c r="D546" s="31"/>
    </row>
    <row r="547" spans="2:4" ht="14.25" customHeight="1" x14ac:dyDescent="0.3">
      <c r="B547" s="31"/>
      <c r="C547" s="31"/>
      <c r="D547" s="31"/>
    </row>
    <row r="548" spans="2:4" ht="14.25" customHeight="1" x14ac:dyDescent="0.3">
      <c r="B548" s="31"/>
      <c r="C548" s="31"/>
      <c r="D548" s="31"/>
    </row>
    <row r="549" spans="2:4" ht="14.25" customHeight="1" x14ac:dyDescent="0.3">
      <c r="B549" s="31"/>
      <c r="C549" s="31"/>
      <c r="D549" s="31"/>
    </row>
    <row r="550" spans="2:4" ht="14.25" customHeight="1" x14ac:dyDescent="0.3">
      <c r="B550" s="31"/>
      <c r="C550" s="31"/>
      <c r="D550" s="31"/>
    </row>
    <row r="551" spans="2:4" ht="14.25" customHeight="1" x14ac:dyDescent="0.3">
      <c r="B551" s="31"/>
      <c r="C551" s="31"/>
      <c r="D551" s="31"/>
    </row>
    <row r="552" spans="2:4" ht="14.25" customHeight="1" x14ac:dyDescent="0.3">
      <c r="B552" s="31"/>
      <c r="C552" s="31"/>
      <c r="D552" s="31"/>
    </row>
    <row r="553" spans="2:4" ht="14.25" customHeight="1" x14ac:dyDescent="0.3">
      <c r="B553" s="31"/>
      <c r="C553" s="31"/>
      <c r="D553" s="31"/>
    </row>
    <row r="554" spans="2:4" ht="14.25" customHeight="1" x14ac:dyDescent="0.3">
      <c r="B554" s="31"/>
      <c r="C554" s="31"/>
      <c r="D554" s="31"/>
    </row>
    <row r="555" spans="2:4" ht="14.25" customHeight="1" x14ac:dyDescent="0.3">
      <c r="B555" s="31"/>
      <c r="C555" s="31"/>
      <c r="D555" s="31"/>
    </row>
    <row r="556" spans="2:4" ht="14.25" customHeight="1" x14ac:dyDescent="0.3">
      <c r="B556" s="31"/>
      <c r="C556" s="31"/>
      <c r="D556" s="31"/>
    </row>
    <row r="557" spans="2:4" ht="14.25" customHeight="1" x14ac:dyDescent="0.3">
      <c r="B557" s="31"/>
      <c r="C557" s="31"/>
      <c r="D557" s="31"/>
    </row>
    <row r="558" spans="2:4" ht="14.25" customHeight="1" x14ac:dyDescent="0.3">
      <c r="B558" s="31"/>
      <c r="C558" s="31"/>
      <c r="D558" s="31"/>
    </row>
    <row r="559" spans="2:4" ht="14.25" customHeight="1" x14ac:dyDescent="0.3">
      <c r="B559" s="31"/>
      <c r="C559" s="31"/>
      <c r="D559" s="31"/>
    </row>
    <row r="560" spans="2:4" ht="14.25" customHeight="1" x14ac:dyDescent="0.3">
      <c r="B560" s="31"/>
      <c r="C560" s="31"/>
      <c r="D560" s="31"/>
    </row>
    <row r="561" spans="2:4" ht="14.25" customHeight="1" x14ac:dyDescent="0.3">
      <c r="B561" s="31"/>
      <c r="C561" s="31"/>
      <c r="D561" s="31"/>
    </row>
    <row r="562" spans="2:4" ht="14.25" customHeight="1" x14ac:dyDescent="0.3">
      <c r="B562" s="31"/>
      <c r="C562" s="31"/>
      <c r="D562" s="31"/>
    </row>
    <row r="563" spans="2:4" ht="14.25" customHeight="1" x14ac:dyDescent="0.3">
      <c r="B563" s="31"/>
      <c r="C563" s="31"/>
      <c r="D563" s="31"/>
    </row>
    <row r="564" spans="2:4" ht="14.25" customHeight="1" x14ac:dyDescent="0.3">
      <c r="B564" s="31"/>
      <c r="C564" s="31"/>
      <c r="D564" s="31"/>
    </row>
    <row r="565" spans="2:4" ht="14.25" customHeight="1" x14ac:dyDescent="0.3">
      <c r="B565" s="31"/>
      <c r="C565" s="31"/>
      <c r="D565" s="31"/>
    </row>
    <row r="566" spans="2:4" ht="14.25" customHeight="1" x14ac:dyDescent="0.3">
      <c r="B566" s="31"/>
      <c r="C566" s="31"/>
      <c r="D566" s="31"/>
    </row>
    <row r="567" spans="2:4" ht="14.25" customHeight="1" x14ac:dyDescent="0.3">
      <c r="B567" s="31"/>
      <c r="C567" s="31"/>
      <c r="D567" s="31"/>
    </row>
    <row r="568" spans="2:4" ht="14.25" customHeight="1" x14ac:dyDescent="0.3">
      <c r="B568" s="31"/>
      <c r="C568" s="31"/>
      <c r="D568" s="31"/>
    </row>
    <row r="569" spans="2:4" ht="14.25" customHeight="1" x14ac:dyDescent="0.3">
      <c r="B569" s="31"/>
      <c r="C569" s="31"/>
      <c r="D569" s="31"/>
    </row>
    <row r="570" spans="2:4" ht="14.25" customHeight="1" x14ac:dyDescent="0.3">
      <c r="B570" s="31"/>
      <c r="C570" s="31"/>
      <c r="D570" s="31"/>
    </row>
    <row r="571" spans="2:4" ht="14.25" customHeight="1" x14ac:dyDescent="0.3">
      <c r="B571" s="31"/>
      <c r="C571" s="31"/>
      <c r="D571" s="31"/>
    </row>
    <row r="572" spans="2:4" ht="14.25" customHeight="1" x14ac:dyDescent="0.3">
      <c r="B572" s="31"/>
      <c r="C572" s="31"/>
      <c r="D572" s="31"/>
    </row>
    <row r="573" spans="2:4" ht="14.25" customHeight="1" x14ac:dyDescent="0.3">
      <c r="B573" s="31"/>
      <c r="C573" s="31"/>
      <c r="D573" s="31"/>
    </row>
    <row r="574" spans="2:4" ht="14.25" customHeight="1" x14ac:dyDescent="0.3">
      <c r="B574" s="31"/>
      <c r="C574" s="31"/>
      <c r="D574" s="31"/>
    </row>
    <row r="575" spans="2:4" ht="14.25" customHeight="1" x14ac:dyDescent="0.3">
      <c r="B575" s="31"/>
      <c r="C575" s="31"/>
      <c r="D575" s="31"/>
    </row>
    <row r="576" spans="2:4" ht="14.25" customHeight="1" x14ac:dyDescent="0.3">
      <c r="B576" s="31"/>
      <c r="C576" s="31"/>
      <c r="D576" s="31"/>
    </row>
    <row r="577" spans="2:4" ht="14.25" customHeight="1" x14ac:dyDescent="0.3">
      <c r="B577" s="31"/>
      <c r="C577" s="31"/>
      <c r="D577" s="31"/>
    </row>
    <row r="578" spans="2:4" ht="14.25" customHeight="1" x14ac:dyDescent="0.3">
      <c r="B578" s="31"/>
      <c r="C578" s="31"/>
      <c r="D578" s="31"/>
    </row>
    <row r="579" spans="2:4" ht="14.25" customHeight="1" x14ac:dyDescent="0.3">
      <c r="B579" s="31"/>
      <c r="C579" s="31"/>
      <c r="D579" s="31"/>
    </row>
    <row r="580" spans="2:4" ht="14.25" customHeight="1" x14ac:dyDescent="0.3">
      <c r="B580" s="31"/>
      <c r="C580" s="31"/>
      <c r="D580" s="31"/>
    </row>
    <row r="581" spans="2:4" ht="14.25" customHeight="1" x14ac:dyDescent="0.3">
      <c r="B581" s="31"/>
      <c r="C581" s="31"/>
      <c r="D581" s="31"/>
    </row>
    <row r="582" spans="2:4" ht="14.25" customHeight="1" x14ac:dyDescent="0.3">
      <c r="B582" s="31"/>
      <c r="C582" s="31"/>
      <c r="D582" s="31"/>
    </row>
    <row r="583" spans="2:4" ht="14.25" customHeight="1" x14ac:dyDescent="0.3">
      <c r="B583" s="31"/>
      <c r="C583" s="31"/>
      <c r="D583" s="31"/>
    </row>
    <row r="584" spans="2:4" ht="14.25" customHeight="1" x14ac:dyDescent="0.3">
      <c r="B584" s="31"/>
      <c r="C584" s="31"/>
      <c r="D584" s="31"/>
    </row>
    <row r="585" spans="2:4" ht="14.25" customHeight="1" x14ac:dyDescent="0.3">
      <c r="B585" s="31"/>
      <c r="C585" s="31"/>
      <c r="D585" s="31"/>
    </row>
    <row r="586" spans="2:4" ht="14.25" customHeight="1" x14ac:dyDescent="0.3">
      <c r="B586" s="31"/>
      <c r="C586" s="31"/>
      <c r="D586" s="31"/>
    </row>
    <row r="587" spans="2:4" ht="14.25" customHeight="1" x14ac:dyDescent="0.3">
      <c r="B587" s="31"/>
      <c r="C587" s="31"/>
      <c r="D587" s="31"/>
    </row>
    <row r="588" spans="2:4" ht="14.25" customHeight="1" x14ac:dyDescent="0.3">
      <c r="B588" s="31"/>
      <c r="C588" s="31"/>
      <c r="D588" s="31"/>
    </row>
    <row r="589" spans="2:4" ht="14.25" customHeight="1" x14ac:dyDescent="0.3">
      <c r="B589" s="31"/>
      <c r="C589" s="31"/>
      <c r="D589" s="31"/>
    </row>
    <row r="590" spans="2:4" ht="14.25" customHeight="1" x14ac:dyDescent="0.3">
      <c r="B590" s="31"/>
      <c r="C590" s="31"/>
      <c r="D590" s="31"/>
    </row>
    <row r="591" spans="2:4" ht="14.25" customHeight="1" x14ac:dyDescent="0.3">
      <c r="B591" s="31"/>
      <c r="C591" s="31"/>
      <c r="D591" s="31"/>
    </row>
    <row r="592" spans="2:4" ht="14.25" customHeight="1" x14ac:dyDescent="0.3">
      <c r="B592" s="31"/>
      <c r="C592" s="31"/>
      <c r="D592" s="31"/>
    </row>
    <row r="593" spans="2:4" ht="14.25" customHeight="1" x14ac:dyDescent="0.3">
      <c r="B593" s="31"/>
      <c r="C593" s="31"/>
      <c r="D593" s="31"/>
    </row>
    <row r="594" spans="2:4" ht="14.25" customHeight="1" x14ac:dyDescent="0.3">
      <c r="B594" s="31"/>
      <c r="C594" s="31"/>
      <c r="D594" s="31"/>
    </row>
    <row r="595" spans="2:4" ht="14.25" customHeight="1" x14ac:dyDescent="0.3">
      <c r="B595" s="31"/>
      <c r="C595" s="31"/>
      <c r="D595" s="31"/>
    </row>
    <row r="596" spans="2:4" ht="14.25" customHeight="1" x14ac:dyDescent="0.3">
      <c r="B596" s="31"/>
      <c r="C596" s="31"/>
      <c r="D596" s="31"/>
    </row>
    <row r="597" spans="2:4" ht="14.25" customHeight="1" x14ac:dyDescent="0.3">
      <c r="B597" s="31"/>
      <c r="C597" s="31"/>
      <c r="D597" s="31"/>
    </row>
    <row r="598" spans="2:4" ht="14.25" customHeight="1" x14ac:dyDescent="0.3">
      <c r="B598" s="31"/>
      <c r="C598" s="31"/>
      <c r="D598" s="31"/>
    </row>
    <row r="599" spans="2:4" ht="14.25" customHeight="1" x14ac:dyDescent="0.3">
      <c r="B599" s="31"/>
      <c r="C599" s="31"/>
      <c r="D599" s="31"/>
    </row>
    <row r="600" spans="2:4" ht="14.25" customHeight="1" x14ac:dyDescent="0.3">
      <c r="B600" s="31"/>
      <c r="C600" s="31"/>
      <c r="D600" s="31"/>
    </row>
    <row r="601" spans="2:4" ht="14.25" customHeight="1" x14ac:dyDescent="0.3">
      <c r="B601" s="31"/>
      <c r="C601" s="31"/>
      <c r="D601" s="31"/>
    </row>
    <row r="602" spans="2:4" ht="14.25" customHeight="1" x14ac:dyDescent="0.3">
      <c r="B602" s="31"/>
      <c r="C602" s="31"/>
      <c r="D602" s="31"/>
    </row>
    <row r="603" spans="2:4" ht="14.25" customHeight="1" x14ac:dyDescent="0.3">
      <c r="B603" s="31"/>
      <c r="C603" s="31"/>
      <c r="D603" s="31"/>
    </row>
    <row r="604" spans="2:4" ht="14.25" customHeight="1" x14ac:dyDescent="0.3">
      <c r="B604" s="31"/>
      <c r="C604" s="31"/>
      <c r="D604" s="31"/>
    </row>
    <row r="605" spans="2:4" ht="14.25" customHeight="1" x14ac:dyDescent="0.3">
      <c r="B605" s="31"/>
      <c r="C605" s="31"/>
      <c r="D605" s="31"/>
    </row>
    <row r="606" spans="2:4" ht="14.25" customHeight="1" x14ac:dyDescent="0.3">
      <c r="B606" s="31"/>
      <c r="C606" s="31"/>
      <c r="D606" s="31"/>
    </row>
    <row r="607" spans="2:4" ht="14.25" customHeight="1" x14ac:dyDescent="0.3">
      <c r="B607" s="31"/>
      <c r="C607" s="31"/>
      <c r="D607" s="31"/>
    </row>
    <row r="608" spans="2:4" ht="14.25" customHeight="1" x14ac:dyDescent="0.3">
      <c r="B608" s="31"/>
      <c r="C608" s="31"/>
      <c r="D608" s="31"/>
    </row>
    <row r="609" spans="2:4" ht="14.25" customHeight="1" x14ac:dyDescent="0.3">
      <c r="B609" s="31"/>
      <c r="C609" s="31"/>
      <c r="D609" s="31"/>
    </row>
    <row r="610" spans="2:4" ht="14.25" customHeight="1" x14ac:dyDescent="0.3">
      <c r="B610" s="31"/>
      <c r="C610" s="31"/>
      <c r="D610" s="31"/>
    </row>
    <row r="611" spans="2:4" ht="14.25" customHeight="1" x14ac:dyDescent="0.3">
      <c r="B611" s="31"/>
      <c r="C611" s="31"/>
      <c r="D611" s="31"/>
    </row>
    <row r="612" spans="2:4" ht="14.25" customHeight="1" x14ac:dyDescent="0.3">
      <c r="B612" s="31"/>
      <c r="C612" s="31"/>
      <c r="D612" s="31"/>
    </row>
    <row r="613" spans="2:4" ht="14.25" customHeight="1" x14ac:dyDescent="0.3">
      <c r="B613" s="31"/>
      <c r="C613" s="31"/>
      <c r="D613" s="31"/>
    </row>
    <row r="614" spans="2:4" ht="14.25" customHeight="1" x14ac:dyDescent="0.3">
      <c r="B614" s="31"/>
      <c r="C614" s="31"/>
      <c r="D614" s="31"/>
    </row>
    <row r="615" spans="2:4" ht="14.25" customHeight="1" x14ac:dyDescent="0.3">
      <c r="B615" s="31"/>
      <c r="C615" s="31"/>
      <c r="D615" s="31"/>
    </row>
    <row r="616" spans="2:4" ht="14.25" customHeight="1" x14ac:dyDescent="0.3">
      <c r="B616" s="31"/>
      <c r="C616" s="31"/>
      <c r="D616" s="31"/>
    </row>
    <row r="617" spans="2:4" ht="14.25" customHeight="1" x14ac:dyDescent="0.3">
      <c r="B617" s="31"/>
      <c r="C617" s="31"/>
      <c r="D617" s="31"/>
    </row>
    <row r="618" spans="2:4" ht="14.25" customHeight="1" x14ac:dyDescent="0.3">
      <c r="B618" s="31"/>
      <c r="C618" s="31"/>
      <c r="D618" s="31"/>
    </row>
    <row r="619" spans="2:4" ht="14.25" customHeight="1" x14ac:dyDescent="0.3">
      <c r="B619" s="31"/>
      <c r="C619" s="31"/>
      <c r="D619" s="31"/>
    </row>
    <row r="620" spans="2:4" ht="14.25" customHeight="1" x14ac:dyDescent="0.3">
      <c r="B620" s="31"/>
      <c r="C620" s="31"/>
      <c r="D620" s="31"/>
    </row>
    <row r="621" spans="2:4" ht="14.25" customHeight="1" x14ac:dyDescent="0.3">
      <c r="B621" s="31"/>
      <c r="C621" s="31"/>
      <c r="D621" s="31"/>
    </row>
    <row r="622" spans="2:4" ht="14.25" customHeight="1" x14ac:dyDescent="0.3">
      <c r="B622" s="31"/>
      <c r="C622" s="31"/>
      <c r="D622" s="31"/>
    </row>
    <row r="623" spans="2:4" ht="14.25" customHeight="1" x14ac:dyDescent="0.3">
      <c r="B623" s="31"/>
      <c r="C623" s="31"/>
      <c r="D623" s="31"/>
    </row>
    <row r="624" spans="2:4" ht="14.25" customHeight="1" x14ac:dyDescent="0.3">
      <c r="B624" s="31"/>
      <c r="C624" s="31"/>
      <c r="D624" s="31"/>
    </row>
    <row r="625" spans="2:4" ht="14.25" customHeight="1" x14ac:dyDescent="0.3">
      <c r="B625" s="31"/>
      <c r="C625" s="31"/>
      <c r="D625" s="31"/>
    </row>
    <row r="626" spans="2:4" ht="14.25" customHeight="1" x14ac:dyDescent="0.3">
      <c r="B626" s="31"/>
      <c r="C626" s="31"/>
      <c r="D626" s="31"/>
    </row>
    <row r="627" spans="2:4" ht="14.25" customHeight="1" x14ac:dyDescent="0.3">
      <c r="B627" s="31"/>
      <c r="C627" s="31"/>
      <c r="D627" s="31"/>
    </row>
    <row r="628" spans="2:4" ht="14.25" customHeight="1" x14ac:dyDescent="0.3">
      <c r="B628" s="31"/>
      <c r="C628" s="31"/>
      <c r="D628" s="31"/>
    </row>
    <row r="629" spans="2:4" ht="14.25" customHeight="1" x14ac:dyDescent="0.3">
      <c r="B629" s="31"/>
      <c r="C629" s="31"/>
      <c r="D629" s="31"/>
    </row>
    <row r="630" spans="2:4" ht="14.25" customHeight="1" x14ac:dyDescent="0.3">
      <c r="B630" s="31"/>
      <c r="C630" s="31"/>
      <c r="D630" s="31"/>
    </row>
    <row r="631" spans="2:4" ht="14.25" customHeight="1" x14ac:dyDescent="0.3">
      <c r="B631" s="31"/>
      <c r="C631" s="31"/>
      <c r="D631" s="31"/>
    </row>
    <row r="632" spans="2:4" ht="14.25" customHeight="1" x14ac:dyDescent="0.3">
      <c r="B632" s="31"/>
      <c r="C632" s="31"/>
      <c r="D632" s="31"/>
    </row>
    <row r="633" spans="2:4" ht="14.25" customHeight="1" x14ac:dyDescent="0.3">
      <c r="B633" s="31"/>
      <c r="C633" s="31"/>
      <c r="D633" s="31"/>
    </row>
    <row r="634" spans="2:4" ht="14.25" customHeight="1" x14ac:dyDescent="0.3">
      <c r="B634" s="31"/>
      <c r="C634" s="31"/>
      <c r="D634" s="31"/>
    </row>
    <row r="635" spans="2:4" ht="14.25" customHeight="1" x14ac:dyDescent="0.3">
      <c r="B635" s="31"/>
      <c r="C635" s="31"/>
      <c r="D635" s="31"/>
    </row>
    <row r="636" spans="2:4" ht="14.25" customHeight="1" x14ac:dyDescent="0.3">
      <c r="B636" s="31"/>
      <c r="C636" s="31"/>
      <c r="D636" s="31"/>
    </row>
    <row r="637" spans="2:4" ht="14.25" customHeight="1" x14ac:dyDescent="0.3">
      <c r="B637" s="31"/>
      <c r="C637" s="31"/>
      <c r="D637" s="31"/>
    </row>
    <row r="638" spans="2:4" ht="14.25" customHeight="1" x14ac:dyDescent="0.3">
      <c r="B638" s="31"/>
      <c r="C638" s="31"/>
      <c r="D638" s="31"/>
    </row>
    <row r="639" spans="2:4" ht="14.25" customHeight="1" x14ac:dyDescent="0.3">
      <c r="B639" s="31"/>
      <c r="C639" s="31"/>
      <c r="D639" s="31"/>
    </row>
    <row r="640" spans="2:4" ht="14.25" customHeight="1" x14ac:dyDescent="0.3">
      <c r="B640" s="31"/>
      <c r="C640" s="31"/>
      <c r="D640" s="31"/>
    </row>
    <row r="641" spans="2:4" ht="14.25" customHeight="1" x14ac:dyDescent="0.3">
      <c r="B641" s="31"/>
      <c r="C641" s="31"/>
      <c r="D641" s="31"/>
    </row>
    <row r="642" spans="2:4" ht="14.25" customHeight="1" x14ac:dyDescent="0.3">
      <c r="B642" s="31"/>
      <c r="C642" s="31"/>
      <c r="D642" s="31"/>
    </row>
    <row r="643" spans="2:4" ht="14.25" customHeight="1" x14ac:dyDescent="0.3">
      <c r="B643" s="31"/>
      <c r="C643" s="31"/>
      <c r="D643" s="31"/>
    </row>
    <row r="644" spans="2:4" ht="14.25" customHeight="1" x14ac:dyDescent="0.3">
      <c r="B644" s="31"/>
      <c r="C644" s="31"/>
      <c r="D644" s="31"/>
    </row>
    <row r="645" spans="2:4" ht="14.25" customHeight="1" x14ac:dyDescent="0.3">
      <c r="B645" s="31"/>
      <c r="C645" s="31"/>
      <c r="D645" s="31"/>
    </row>
    <row r="646" spans="2:4" ht="14.25" customHeight="1" x14ac:dyDescent="0.3">
      <c r="B646" s="31"/>
      <c r="C646" s="31"/>
      <c r="D646" s="31"/>
    </row>
    <row r="647" spans="2:4" ht="14.25" customHeight="1" x14ac:dyDescent="0.3">
      <c r="B647" s="31"/>
      <c r="C647" s="31"/>
      <c r="D647" s="31"/>
    </row>
    <row r="648" spans="2:4" ht="14.25" customHeight="1" x14ac:dyDescent="0.3">
      <c r="B648" s="31"/>
      <c r="C648" s="31"/>
      <c r="D648" s="31"/>
    </row>
    <row r="649" spans="2:4" ht="14.25" customHeight="1" x14ac:dyDescent="0.3">
      <c r="B649" s="31"/>
      <c r="C649" s="31"/>
      <c r="D649" s="31"/>
    </row>
    <row r="650" spans="2:4" ht="14.25" customHeight="1" x14ac:dyDescent="0.3">
      <c r="B650" s="31"/>
      <c r="C650" s="31"/>
      <c r="D650" s="31"/>
    </row>
    <row r="651" spans="2:4" ht="14.25" customHeight="1" x14ac:dyDescent="0.3">
      <c r="B651" s="31"/>
      <c r="C651" s="31"/>
      <c r="D651" s="31"/>
    </row>
    <row r="652" spans="2:4" ht="14.25" customHeight="1" x14ac:dyDescent="0.3">
      <c r="B652" s="31"/>
      <c r="C652" s="31"/>
      <c r="D652" s="31"/>
    </row>
    <row r="653" spans="2:4" ht="14.25" customHeight="1" x14ac:dyDescent="0.3">
      <c r="B653" s="31"/>
      <c r="C653" s="31"/>
      <c r="D653" s="31"/>
    </row>
    <row r="654" spans="2:4" ht="14.25" customHeight="1" x14ac:dyDescent="0.3">
      <c r="B654" s="31"/>
      <c r="C654" s="31"/>
      <c r="D654" s="31"/>
    </row>
    <row r="655" spans="2:4" ht="14.25" customHeight="1" x14ac:dyDescent="0.3">
      <c r="B655" s="31"/>
      <c r="C655" s="31"/>
      <c r="D655" s="31"/>
    </row>
    <row r="656" spans="2:4" ht="14.25" customHeight="1" x14ac:dyDescent="0.3">
      <c r="B656" s="31"/>
      <c r="C656" s="31"/>
      <c r="D656" s="31"/>
    </row>
    <row r="657" spans="2:4" ht="14.25" customHeight="1" x14ac:dyDescent="0.3">
      <c r="B657" s="31"/>
      <c r="C657" s="31"/>
      <c r="D657" s="31"/>
    </row>
    <row r="658" spans="2:4" ht="14.25" customHeight="1" x14ac:dyDescent="0.3">
      <c r="B658" s="31"/>
      <c r="C658" s="31"/>
      <c r="D658" s="31"/>
    </row>
    <row r="659" spans="2:4" ht="14.25" customHeight="1" x14ac:dyDescent="0.3">
      <c r="B659" s="31"/>
      <c r="C659" s="31"/>
      <c r="D659" s="31"/>
    </row>
    <row r="660" spans="2:4" ht="14.25" customHeight="1" x14ac:dyDescent="0.3">
      <c r="B660" s="31"/>
      <c r="C660" s="31"/>
      <c r="D660" s="31"/>
    </row>
    <row r="661" spans="2:4" ht="14.25" customHeight="1" x14ac:dyDescent="0.3">
      <c r="B661" s="31"/>
      <c r="C661" s="31"/>
      <c r="D661" s="31"/>
    </row>
    <row r="662" spans="2:4" ht="14.25" customHeight="1" x14ac:dyDescent="0.3">
      <c r="B662" s="31"/>
      <c r="C662" s="31"/>
      <c r="D662" s="31"/>
    </row>
    <row r="663" spans="2:4" ht="14.25" customHeight="1" x14ac:dyDescent="0.3">
      <c r="B663" s="31"/>
      <c r="C663" s="31"/>
      <c r="D663" s="31"/>
    </row>
    <row r="664" spans="2:4" ht="14.25" customHeight="1" x14ac:dyDescent="0.3">
      <c r="B664" s="31"/>
      <c r="C664" s="31"/>
      <c r="D664" s="31"/>
    </row>
    <row r="665" spans="2:4" ht="14.25" customHeight="1" x14ac:dyDescent="0.3">
      <c r="B665" s="31"/>
      <c r="C665" s="31"/>
      <c r="D665" s="31"/>
    </row>
    <row r="666" spans="2:4" ht="14.25" customHeight="1" x14ac:dyDescent="0.3">
      <c r="B666" s="31"/>
      <c r="C666" s="31"/>
      <c r="D666" s="31"/>
    </row>
    <row r="667" spans="2:4" ht="14.25" customHeight="1" x14ac:dyDescent="0.3">
      <c r="B667" s="31"/>
      <c r="C667" s="31"/>
      <c r="D667" s="31"/>
    </row>
    <row r="668" spans="2:4" ht="14.25" customHeight="1" x14ac:dyDescent="0.3">
      <c r="B668" s="31"/>
      <c r="C668" s="31"/>
      <c r="D668" s="31"/>
    </row>
    <row r="669" spans="2:4" ht="14.25" customHeight="1" x14ac:dyDescent="0.3">
      <c r="B669" s="31"/>
      <c r="C669" s="31"/>
      <c r="D669" s="31"/>
    </row>
    <row r="670" spans="2:4" ht="14.25" customHeight="1" x14ac:dyDescent="0.3">
      <c r="B670" s="31"/>
      <c r="C670" s="31"/>
      <c r="D670" s="31"/>
    </row>
    <row r="671" spans="2:4" ht="14.25" customHeight="1" x14ac:dyDescent="0.3">
      <c r="B671" s="31"/>
      <c r="C671" s="31"/>
      <c r="D671" s="31"/>
    </row>
    <row r="672" spans="2:4" ht="14.25" customHeight="1" x14ac:dyDescent="0.3">
      <c r="B672" s="31"/>
      <c r="C672" s="31"/>
      <c r="D672" s="31"/>
    </row>
    <row r="673" spans="2:4" ht="14.25" customHeight="1" x14ac:dyDescent="0.3">
      <c r="B673" s="31"/>
      <c r="C673" s="31"/>
      <c r="D673" s="31"/>
    </row>
    <row r="674" spans="2:4" ht="14.25" customHeight="1" x14ac:dyDescent="0.3">
      <c r="B674" s="31"/>
      <c r="C674" s="31"/>
      <c r="D674" s="31"/>
    </row>
    <row r="675" spans="2:4" ht="14.25" customHeight="1" x14ac:dyDescent="0.3">
      <c r="B675" s="31"/>
      <c r="C675" s="31"/>
      <c r="D675" s="31"/>
    </row>
    <row r="676" spans="2:4" ht="14.25" customHeight="1" x14ac:dyDescent="0.3">
      <c r="B676" s="31"/>
      <c r="C676" s="31"/>
      <c r="D676" s="31"/>
    </row>
    <row r="677" spans="2:4" ht="14.25" customHeight="1" x14ac:dyDescent="0.3">
      <c r="B677" s="31"/>
      <c r="C677" s="31"/>
      <c r="D677" s="31"/>
    </row>
    <row r="678" spans="2:4" ht="14.25" customHeight="1" x14ac:dyDescent="0.3">
      <c r="B678" s="31"/>
      <c r="C678" s="31"/>
      <c r="D678" s="31"/>
    </row>
    <row r="679" spans="2:4" ht="14.25" customHeight="1" x14ac:dyDescent="0.3">
      <c r="B679" s="31"/>
      <c r="C679" s="31"/>
      <c r="D679" s="31"/>
    </row>
    <row r="680" spans="2:4" ht="14.25" customHeight="1" x14ac:dyDescent="0.3">
      <c r="B680" s="31"/>
      <c r="C680" s="31"/>
      <c r="D680" s="31"/>
    </row>
    <row r="681" spans="2:4" ht="14.25" customHeight="1" x14ac:dyDescent="0.3">
      <c r="B681" s="31"/>
      <c r="C681" s="31"/>
      <c r="D681" s="31"/>
    </row>
    <row r="682" spans="2:4" ht="14.25" customHeight="1" x14ac:dyDescent="0.3">
      <c r="B682" s="31"/>
      <c r="C682" s="31"/>
      <c r="D682" s="31"/>
    </row>
    <row r="683" spans="2:4" ht="14.25" customHeight="1" x14ac:dyDescent="0.3">
      <c r="B683" s="31"/>
      <c r="C683" s="31"/>
      <c r="D683" s="31"/>
    </row>
    <row r="684" spans="2:4" ht="14.25" customHeight="1" x14ac:dyDescent="0.3">
      <c r="B684" s="31"/>
      <c r="C684" s="31"/>
      <c r="D684" s="31"/>
    </row>
    <row r="685" spans="2:4" ht="14.25" customHeight="1" x14ac:dyDescent="0.3">
      <c r="B685" s="31"/>
      <c r="C685" s="31"/>
      <c r="D685" s="31"/>
    </row>
    <row r="686" spans="2:4" ht="14.25" customHeight="1" x14ac:dyDescent="0.3">
      <c r="B686" s="31"/>
      <c r="C686" s="31"/>
      <c r="D686" s="31"/>
    </row>
    <row r="687" spans="2:4" ht="14.25" customHeight="1" x14ac:dyDescent="0.3">
      <c r="B687" s="31"/>
      <c r="C687" s="31"/>
      <c r="D687" s="31"/>
    </row>
    <row r="688" spans="2:4" ht="14.25" customHeight="1" x14ac:dyDescent="0.3">
      <c r="B688" s="31"/>
      <c r="C688" s="31"/>
      <c r="D688" s="31"/>
    </row>
    <row r="689" spans="2:4" ht="14.25" customHeight="1" x14ac:dyDescent="0.3">
      <c r="B689" s="31"/>
      <c r="C689" s="31"/>
      <c r="D689" s="31"/>
    </row>
    <row r="690" spans="2:4" ht="14.25" customHeight="1" x14ac:dyDescent="0.3">
      <c r="B690" s="31"/>
      <c r="C690" s="31"/>
      <c r="D690" s="31"/>
    </row>
    <row r="691" spans="2:4" ht="14.25" customHeight="1" x14ac:dyDescent="0.3">
      <c r="B691" s="31"/>
      <c r="C691" s="31"/>
      <c r="D691" s="31"/>
    </row>
    <row r="692" spans="2:4" ht="14.25" customHeight="1" x14ac:dyDescent="0.3">
      <c r="B692" s="31"/>
      <c r="C692" s="31"/>
      <c r="D692" s="31"/>
    </row>
    <row r="693" spans="2:4" ht="14.25" customHeight="1" x14ac:dyDescent="0.3">
      <c r="B693" s="31"/>
      <c r="C693" s="31"/>
      <c r="D693" s="31"/>
    </row>
    <row r="694" spans="2:4" ht="14.25" customHeight="1" x14ac:dyDescent="0.3">
      <c r="B694" s="31"/>
      <c r="C694" s="31"/>
      <c r="D694" s="31"/>
    </row>
    <row r="695" spans="2:4" ht="14.25" customHeight="1" x14ac:dyDescent="0.3">
      <c r="B695" s="31"/>
      <c r="C695" s="31"/>
      <c r="D695" s="31"/>
    </row>
    <row r="696" spans="2:4" ht="14.25" customHeight="1" x14ac:dyDescent="0.3">
      <c r="B696" s="31"/>
      <c r="C696" s="31"/>
      <c r="D696" s="31"/>
    </row>
    <row r="697" spans="2:4" ht="14.25" customHeight="1" x14ac:dyDescent="0.3">
      <c r="B697" s="31"/>
      <c r="C697" s="31"/>
      <c r="D697" s="31"/>
    </row>
    <row r="698" spans="2:4" ht="14.25" customHeight="1" x14ac:dyDescent="0.3">
      <c r="B698" s="31"/>
      <c r="C698" s="31"/>
      <c r="D698" s="31"/>
    </row>
    <row r="699" spans="2:4" ht="14.25" customHeight="1" x14ac:dyDescent="0.3">
      <c r="B699" s="31"/>
      <c r="C699" s="31"/>
      <c r="D699" s="31"/>
    </row>
    <row r="700" spans="2:4" ht="14.25" customHeight="1" x14ac:dyDescent="0.3">
      <c r="B700" s="31"/>
      <c r="C700" s="31"/>
      <c r="D700" s="31"/>
    </row>
    <row r="701" spans="2:4" ht="14.25" customHeight="1" x14ac:dyDescent="0.3">
      <c r="B701" s="31"/>
      <c r="C701" s="31"/>
      <c r="D701" s="31"/>
    </row>
    <row r="702" spans="2:4" ht="14.25" customHeight="1" x14ac:dyDescent="0.3">
      <c r="B702" s="31"/>
      <c r="C702" s="31"/>
      <c r="D702" s="31"/>
    </row>
    <row r="703" spans="2:4" ht="14.25" customHeight="1" x14ac:dyDescent="0.3">
      <c r="B703" s="31"/>
      <c r="C703" s="31"/>
      <c r="D703" s="31"/>
    </row>
    <row r="704" spans="2:4" ht="14.25" customHeight="1" x14ac:dyDescent="0.3">
      <c r="B704" s="31"/>
      <c r="C704" s="31"/>
      <c r="D704" s="31"/>
    </row>
    <row r="705" spans="2:4" ht="14.25" customHeight="1" x14ac:dyDescent="0.3">
      <c r="B705" s="31"/>
      <c r="C705" s="31"/>
      <c r="D705" s="31"/>
    </row>
    <row r="706" spans="2:4" ht="14.25" customHeight="1" x14ac:dyDescent="0.3">
      <c r="B706" s="31"/>
      <c r="C706" s="31"/>
      <c r="D706" s="31"/>
    </row>
    <row r="707" spans="2:4" ht="14.25" customHeight="1" x14ac:dyDescent="0.3">
      <c r="B707" s="31"/>
      <c r="C707" s="31"/>
      <c r="D707" s="31"/>
    </row>
    <row r="708" spans="2:4" ht="14.25" customHeight="1" x14ac:dyDescent="0.3">
      <c r="B708" s="31"/>
      <c r="C708" s="31"/>
      <c r="D708" s="31"/>
    </row>
    <row r="709" spans="2:4" ht="14.25" customHeight="1" x14ac:dyDescent="0.3">
      <c r="B709" s="31"/>
      <c r="C709" s="31"/>
      <c r="D709" s="31"/>
    </row>
    <row r="710" spans="2:4" ht="14.25" customHeight="1" x14ac:dyDescent="0.3">
      <c r="B710" s="31"/>
      <c r="C710" s="31"/>
      <c r="D710" s="31"/>
    </row>
    <row r="711" spans="2:4" ht="14.25" customHeight="1" x14ac:dyDescent="0.3">
      <c r="B711" s="31"/>
      <c r="C711" s="31"/>
      <c r="D711" s="31"/>
    </row>
    <row r="712" spans="2:4" ht="14.25" customHeight="1" x14ac:dyDescent="0.3">
      <c r="B712" s="31"/>
      <c r="C712" s="31"/>
      <c r="D712" s="31"/>
    </row>
    <row r="713" spans="2:4" ht="14.25" customHeight="1" x14ac:dyDescent="0.3">
      <c r="B713" s="31"/>
      <c r="C713" s="31"/>
      <c r="D713" s="31"/>
    </row>
    <row r="714" spans="2:4" ht="14.25" customHeight="1" x14ac:dyDescent="0.3">
      <c r="B714" s="31"/>
      <c r="C714" s="31"/>
      <c r="D714" s="31"/>
    </row>
    <row r="715" spans="2:4" ht="14.25" customHeight="1" x14ac:dyDescent="0.3">
      <c r="B715" s="31"/>
      <c r="C715" s="31"/>
      <c r="D715" s="31"/>
    </row>
    <row r="716" spans="2:4" ht="14.25" customHeight="1" x14ac:dyDescent="0.3">
      <c r="B716" s="31"/>
      <c r="C716" s="31"/>
      <c r="D716" s="31"/>
    </row>
    <row r="717" spans="2:4" ht="14.25" customHeight="1" x14ac:dyDescent="0.3">
      <c r="B717" s="31"/>
      <c r="C717" s="31"/>
      <c r="D717" s="31"/>
    </row>
    <row r="718" spans="2:4" ht="14.25" customHeight="1" x14ac:dyDescent="0.3">
      <c r="B718" s="31"/>
      <c r="C718" s="31"/>
      <c r="D718" s="31"/>
    </row>
    <row r="719" spans="2:4" ht="14.25" customHeight="1" x14ac:dyDescent="0.3">
      <c r="B719" s="31"/>
      <c r="C719" s="31"/>
      <c r="D719" s="31"/>
    </row>
    <row r="720" spans="2:4" ht="14.25" customHeight="1" x14ac:dyDescent="0.3">
      <c r="B720" s="31"/>
      <c r="C720" s="31"/>
      <c r="D720" s="31"/>
    </row>
    <row r="721" spans="2:4" ht="14.25" customHeight="1" x14ac:dyDescent="0.3">
      <c r="B721" s="31"/>
      <c r="C721" s="31"/>
      <c r="D721" s="31"/>
    </row>
    <row r="722" spans="2:4" ht="14.25" customHeight="1" x14ac:dyDescent="0.3">
      <c r="B722" s="31"/>
      <c r="C722" s="31"/>
      <c r="D722" s="31"/>
    </row>
    <row r="723" spans="2:4" ht="14.25" customHeight="1" x14ac:dyDescent="0.3">
      <c r="B723" s="31"/>
      <c r="C723" s="31"/>
      <c r="D723" s="31"/>
    </row>
    <row r="724" spans="2:4" ht="14.25" customHeight="1" x14ac:dyDescent="0.3">
      <c r="B724" s="31"/>
      <c r="C724" s="31"/>
      <c r="D724" s="31"/>
    </row>
    <row r="725" spans="2:4" ht="14.25" customHeight="1" x14ac:dyDescent="0.3">
      <c r="B725" s="31"/>
      <c r="C725" s="31"/>
      <c r="D725" s="31"/>
    </row>
    <row r="726" spans="2:4" ht="14.25" customHeight="1" x14ac:dyDescent="0.3">
      <c r="B726" s="31"/>
      <c r="C726" s="31"/>
      <c r="D726" s="31"/>
    </row>
    <row r="727" spans="2:4" ht="14.25" customHeight="1" x14ac:dyDescent="0.3">
      <c r="B727" s="31"/>
      <c r="C727" s="31"/>
      <c r="D727" s="31"/>
    </row>
    <row r="728" spans="2:4" ht="14.25" customHeight="1" x14ac:dyDescent="0.3">
      <c r="B728" s="31"/>
      <c r="C728" s="31"/>
      <c r="D728" s="31"/>
    </row>
    <row r="729" spans="2:4" ht="14.25" customHeight="1" x14ac:dyDescent="0.3">
      <c r="B729" s="31"/>
      <c r="C729" s="31"/>
      <c r="D729" s="31"/>
    </row>
    <row r="730" spans="2:4" ht="14.25" customHeight="1" x14ac:dyDescent="0.3">
      <c r="B730" s="31"/>
      <c r="C730" s="31"/>
      <c r="D730" s="31"/>
    </row>
    <row r="731" spans="2:4" ht="14.25" customHeight="1" x14ac:dyDescent="0.3">
      <c r="B731" s="31"/>
      <c r="C731" s="31"/>
      <c r="D731" s="31"/>
    </row>
    <row r="732" spans="2:4" ht="14.25" customHeight="1" x14ac:dyDescent="0.3">
      <c r="B732" s="31"/>
      <c r="C732" s="31"/>
      <c r="D732" s="31"/>
    </row>
    <row r="733" spans="2:4" ht="14.25" customHeight="1" x14ac:dyDescent="0.3">
      <c r="B733" s="31"/>
      <c r="C733" s="31"/>
      <c r="D733" s="31"/>
    </row>
    <row r="734" spans="2:4" ht="14.25" customHeight="1" x14ac:dyDescent="0.3">
      <c r="B734" s="31"/>
      <c r="C734" s="31"/>
      <c r="D734" s="31"/>
    </row>
    <row r="735" spans="2:4" ht="14.25" customHeight="1" x14ac:dyDescent="0.3">
      <c r="B735" s="31"/>
      <c r="C735" s="31"/>
      <c r="D735" s="31"/>
    </row>
    <row r="736" spans="2:4" ht="14.25" customHeight="1" x14ac:dyDescent="0.3">
      <c r="B736" s="31"/>
      <c r="C736" s="31"/>
      <c r="D736" s="31"/>
    </row>
    <row r="737" spans="2:4" ht="14.25" customHeight="1" x14ac:dyDescent="0.3">
      <c r="B737" s="31"/>
      <c r="C737" s="31"/>
      <c r="D737" s="31"/>
    </row>
    <row r="738" spans="2:4" ht="14.25" customHeight="1" x14ac:dyDescent="0.3">
      <c r="B738" s="31"/>
      <c r="C738" s="31"/>
      <c r="D738" s="31"/>
    </row>
    <row r="739" spans="2:4" ht="14.25" customHeight="1" x14ac:dyDescent="0.3">
      <c r="B739" s="31"/>
      <c r="C739" s="31"/>
      <c r="D739" s="31"/>
    </row>
    <row r="740" spans="2:4" ht="14.25" customHeight="1" x14ac:dyDescent="0.3">
      <c r="B740" s="31"/>
      <c r="C740" s="31"/>
      <c r="D740" s="31"/>
    </row>
    <row r="741" spans="2:4" ht="14.25" customHeight="1" x14ac:dyDescent="0.3">
      <c r="B741" s="31"/>
      <c r="C741" s="31"/>
      <c r="D741" s="31"/>
    </row>
    <row r="742" spans="2:4" ht="14.25" customHeight="1" x14ac:dyDescent="0.3">
      <c r="B742" s="31"/>
      <c r="C742" s="31"/>
      <c r="D742" s="31"/>
    </row>
    <row r="743" spans="2:4" ht="14.25" customHeight="1" x14ac:dyDescent="0.3">
      <c r="B743" s="31"/>
      <c r="C743" s="31"/>
      <c r="D743" s="31"/>
    </row>
    <row r="744" spans="2:4" ht="14.25" customHeight="1" x14ac:dyDescent="0.3">
      <c r="B744" s="31"/>
      <c r="C744" s="31"/>
      <c r="D744" s="31"/>
    </row>
    <row r="745" spans="2:4" ht="14.25" customHeight="1" x14ac:dyDescent="0.3">
      <c r="B745" s="31"/>
      <c r="C745" s="31"/>
      <c r="D745" s="31"/>
    </row>
    <row r="746" spans="2:4" ht="14.25" customHeight="1" x14ac:dyDescent="0.3">
      <c r="B746" s="31"/>
      <c r="C746" s="31"/>
      <c r="D746" s="31"/>
    </row>
    <row r="747" spans="2:4" ht="14.25" customHeight="1" x14ac:dyDescent="0.3">
      <c r="B747" s="31"/>
      <c r="C747" s="31"/>
      <c r="D747" s="31"/>
    </row>
    <row r="748" spans="2:4" ht="14.25" customHeight="1" x14ac:dyDescent="0.3">
      <c r="B748" s="31"/>
      <c r="C748" s="31"/>
      <c r="D748" s="31"/>
    </row>
    <row r="749" spans="2:4" ht="14.25" customHeight="1" x14ac:dyDescent="0.3">
      <c r="B749" s="31"/>
      <c r="C749" s="31"/>
      <c r="D749" s="31"/>
    </row>
    <row r="750" spans="2:4" ht="14.25" customHeight="1" x14ac:dyDescent="0.3">
      <c r="B750" s="31"/>
      <c r="C750" s="31"/>
      <c r="D750" s="31"/>
    </row>
    <row r="751" spans="2:4" ht="14.25" customHeight="1" x14ac:dyDescent="0.3">
      <c r="B751" s="31"/>
      <c r="C751" s="31"/>
      <c r="D751" s="31"/>
    </row>
    <row r="752" spans="2:4" ht="14.25" customHeight="1" x14ac:dyDescent="0.3">
      <c r="B752" s="31"/>
      <c r="C752" s="31"/>
      <c r="D752" s="31"/>
    </row>
    <row r="753" spans="2:4" ht="14.25" customHeight="1" x14ac:dyDescent="0.3">
      <c r="B753" s="31"/>
      <c r="C753" s="31"/>
      <c r="D753" s="31"/>
    </row>
    <row r="754" spans="2:4" ht="14.25" customHeight="1" x14ac:dyDescent="0.3">
      <c r="B754" s="31"/>
      <c r="C754" s="31"/>
      <c r="D754" s="31"/>
    </row>
    <row r="755" spans="2:4" ht="14.25" customHeight="1" x14ac:dyDescent="0.3">
      <c r="B755" s="31"/>
      <c r="C755" s="31"/>
      <c r="D755" s="31"/>
    </row>
    <row r="756" spans="2:4" ht="14.25" customHeight="1" x14ac:dyDescent="0.3">
      <c r="B756" s="31"/>
      <c r="C756" s="31"/>
      <c r="D756" s="31"/>
    </row>
    <row r="757" spans="2:4" ht="14.25" customHeight="1" x14ac:dyDescent="0.3">
      <c r="B757" s="31"/>
      <c r="C757" s="31"/>
      <c r="D757" s="31"/>
    </row>
    <row r="758" spans="2:4" ht="14.25" customHeight="1" x14ac:dyDescent="0.3">
      <c r="B758" s="31"/>
      <c r="C758" s="31"/>
      <c r="D758" s="31"/>
    </row>
    <row r="759" spans="2:4" ht="14.25" customHeight="1" x14ac:dyDescent="0.3">
      <c r="B759" s="31"/>
      <c r="C759" s="31"/>
      <c r="D759" s="31"/>
    </row>
    <row r="760" spans="2:4" ht="14.25" customHeight="1" x14ac:dyDescent="0.3">
      <c r="B760" s="31"/>
      <c r="C760" s="31"/>
      <c r="D760" s="31"/>
    </row>
    <row r="761" spans="2:4" ht="14.25" customHeight="1" x14ac:dyDescent="0.3">
      <c r="B761" s="31"/>
      <c r="C761" s="31"/>
      <c r="D761" s="31"/>
    </row>
    <row r="762" spans="2:4" ht="14.25" customHeight="1" x14ac:dyDescent="0.3">
      <c r="B762" s="31"/>
      <c r="C762" s="31"/>
      <c r="D762" s="31"/>
    </row>
    <row r="763" spans="2:4" ht="14.25" customHeight="1" x14ac:dyDescent="0.3">
      <c r="B763" s="31"/>
      <c r="C763" s="31"/>
      <c r="D763" s="31"/>
    </row>
    <row r="764" spans="2:4" ht="14.25" customHeight="1" x14ac:dyDescent="0.3">
      <c r="B764" s="31"/>
      <c r="C764" s="31"/>
      <c r="D764" s="31"/>
    </row>
    <row r="765" spans="2:4" ht="14.25" customHeight="1" x14ac:dyDescent="0.3">
      <c r="B765" s="31"/>
      <c r="C765" s="31"/>
      <c r="D765" s="31"/>
    </row>
    <row r="766" spans="2:4" ht="14.25" customHeight="1" x14ac:dyDescent="0.3">
      <c r="B766" s="31"/>
      <c r="C766" s="31"/>
      <c r="D766" s="31"/>
    </row>
    <row r="767" spans="2:4" ht="14.25" customHeight="1" x14ac:dyDescent="0.3">
      <c r="B767" s="31"/>
      <c r="C767" s="31"/>
      <c r="D767" s="31"/>
    </row>
    <row r="768" spans="2:4" ht="14.25" customHeight="1" x14ac:dyDescent="0.3">
      <c r="B768" s="31"/>
      <c r="C768" s="31"/>
      <c r="D768" s="31"/>
    </row>
    <row r="769" spans="2:4" ht="14.25" customHeight="1" x14ac:dyDescent="0.3">
      <c r="B769" s="31"/>
      <c r="C769" s="31"/>
      <c r="D769" s="31"/>
    </row>
    <row r="770" spans="2:4" ht="14.25" customHeight="1" x14ac:dyDescent="0.3">
      <c r="B770" s="31"/>
      <c r="C770" s="31"/>
      <c r="D770" s="31"/>
    </row>
    <row r="771" spans="2:4" ht="14.25" customHeight="1" x14ac:dyDescent="0.3">
      <c r="B771" s="31"/>
      <c r="C771" s="31"/>
      <c r="D771" s="31"/>
    </row>
    <row r="772" spans="2:4" ht="14.25" customHeight="1" x14ac:dyDescent="0.3">
      <c r="B772" s="31"/>
      <c r="C772" s="31"/>
      <c r="D772" s="31"/>
    </row>
    <row r="773" spans="2:4" ht="14.25" customHeight="1" x14ac:dyDescent="0.3">
      <c r="B773" s="31"/>
      <c r="C773" s="31"/>
      <c r="D773" s="31"/>
    </row>
    <row r="774" spans="2:4" ht="14.25" customHeight="1" x14ac:dyDescent="0.3">
      <c r="B774" s="31"/>
      <c r="C774" s="31"/>
      <c r="D774" s="31"/>
    </row>
    <row r="775" spans="2:4" ht="14.25" customHeight="1" x14ac:dyDescent="0.3">
      <c r="B775" s="31"/>
      <c r="C775" s="31"/>
      <c r="D775" s="31"/>
    </row>
    <row r="776" spans="2:4" ht="14.25" customHeight="1" x14ac:dyDescent="0.3">
      <c r="B776" s="31"/>
      <c r="C776" s="31"/>
      <c r="D776" s="31"/>
    </row>
    <row r="777" spans="2:4" ht="14.25" customHeight="1" x14ac:dyDescent="0.3">
      <c r="B777" s="31"/>
      <c r="C777" s="31"/>
      <c r="D777" s="31"/>
    </row>
    <row r="778" spans="2:4" ht="14.25" customHeight="1" x14ac:dyDescent="0.3">
      <c r="B778" s="31"/>
      <c r="C778" s="31"/>
      <c r="D778" s="31"/>
    </row>
    <row r="779" spans="2:4" ht="14.25" customHeight="1" x14ac:dyDescent="0.3">
      <c r="B779" s="31"/>
      <c r="C779" s="31"/>
      <c r="D779" s="31"/>
    </row>
    <row r="780" spans="2:4" ht="14.25" customHeight="1" x14ac:dyDescent="0.3">
      <c r="B780" s="31"/>
      <c r="C780" s="31"/>
      <c r="D780" s="31"/>
    </row>
    <row r="781" spans="2:4" ht="14.25" customHeight="1" x14ac:dyDescent="0.3">
      <c r="B781" s="31"/>
      <c r="C781" s="31"/>
      <c r="D781" s="31"/>
    </row>
    <row r="782" spans="2:4" ht="14.25" customHeight="1" x14ac:dyDescent="0.3">
      <c r="B782" s="31"/>
      <c r="C782" s="31"/>
      <c r="D782" s="31"/>
    </row>
    <row r="783" spans="2:4" ht="14.25" customHeight="1" x14ac:dyDescent="0.3">
      <c r="B783" s="31"/>
      <c r="C783" s="31"/>
      <c r="D783" s="31"/>
    </row>
    <row r="784" spans="2:4" ht="14.25" customHeight="1" x14ac:dyDescent="0.3">
      <c r="B784" s="31"/>
      <c r="C784" s="31"/>
      <c r="D784" s="31"/>
    </row>
    <row r="785" spans="2:4" ht="14.25" customHeight="1" x14ac:dyDescent="0.3">
      <c r="B785" s="31"/>
      <c r="C785" s="31"/>
      <c r="D785" s="31"/>
    </row>
    <row r="786" spans="2:4" ht="14.25" customHeight="1" x14ac:dyDescent="0.3">
      <c r="B786" s="31"/>
      <c r="C786" s="31"/>
      <c r="D786" s="31"/>
    </row>
    <row r="787" spans="2:4" ht="14.25" customHeight="1" x14ac:dyDescent="0.3">
      <c r="B787" s="31"/>
      <c r="C787" s="31"/>
      <c r="D787" s="31"/>
    </row>
    <row r="788" spans="2:4" ht="14.25" customHeight="1" x14ac:dyDescent="0.3">
      <c r="B788" s="31"/>
      <c r="C788" s="31"/>
      <c r="D788" s="31"/>
    </row>
    <row r="789" spans="2:4" ht="14.25" customHeight="1" x14ac:dyDescent="0.3">
      <c r="B789" s="31"/>
      <c r="C789" s="31"/>
      <c r="D789" s="31"/>
    </row>
    <row r="790" spans="2:4" ht="14.25" customHeight="1" x14ac:dyDescent="0.3">
      <c r="B790" s="31"/>
      <c r="C790" s="31"/>
      <c r="D790" s="31"/>
    </row>
    <row r="791" spans="2:4" ht="14.25" customHeight="1" x14ac:dyDescent="0.3">
      <c r="B791" s="31"/>
      <c r="C791" s="31"/>
      <c r="D791" s="31"/>
    </row>
    <row r="792" spans="2:4" ht="14.25" customHeight="1" x14ac:dyDescent="0.3">
      <c r="B792" s="31"/>
      <c r="C792" s="31"/>
      <c r="D792" s="31"/>
    </row>
    <row r="793" spans="2:4" ht="14.25" customHeight="1" x14ac:dyDescent="0.3">
      <c r="B793" s="31"/>
      <c r="C793" s="31"/>
      <c r="D793" s="31"/>
    </row>
    <row r="794" spans="2:4" ht="14.25" customHeight="1" x14ac:dyDescent="0.3">
      <c r="B794" s="31"/>
      <c r="C794" s="31"/>
      <c r="D794" s="31"/>
    </row>
    <row r="795" spans="2:4" ht="14.25" customHeight="1" x14ac:dyDescent="0.3">
      <c r="B795" s="31"/>
      <c r="C795" s="31"/>
      <c r="D795" s="31"/>
    </row>
    <row r="796" spans="2:4" ht="14.25" customHeight="1" x14ac:dyDescent="0.3">
      <c r="B796" s="31"/>
      <c r="C796" s="31"/>
      <c r="D796" s="31"/>
    </row>
    <row r="797" spans="2:4" ht="14.25" customHeight="1" x14ac:dyDescent="0.3">
      <c r="B797" s="31"/>
      <c r="C797" s="31"/>
      <c r="D797" s="31"/>
    </row>
    <row r="798" spans="2:4" ht="14.25" customHeight="1" x14ac:dyDescent="0.3">
      <c r="B798" s="31"/>
      <c r="C798" s="31"/>
      <c r="D798" s="31"/>
    </row>
    <row r="799" spans="2:4" ht="14.25" customHeight="1" x14ac:dyDescent="0.3">
      <c r="B799" s="31"/>
      <c r="C799" s="31"/>
      <c r="D799" s="31"/>
    </row>
    <row r="800" spans="2:4" ht="14.25" customHeight="1" x14ac:dyDescent="0.3">
      <c r="B800" s="31"/>
      <c r="C800" s="31"/>
      <c r="D800" s="31"/>
    </row>
    <row r="801" spans="2:4" ht="14.25" customHeight="1" x14ac:dyDescent="0.3">
      <c r="B801" s="31"/>
      <c r="C801" s="31"/>
      <c r="D801" s="31"/>
    </row>
    <row r="802" spans="2:4" ht="14.25" customHeight="1" x14ac:dyDescent="0.3">
      <c r="B802" s="31"/>
      <c r="C802" s="31"/>
      <c r="D802" s="31"/>
    </row>
    <row r="803" spans="2:4" ht="14.25" customHeight="1" x14ac:dyDescent="0.3">
      <c r="B803" s="31"/>
      <c r="C803" s="31"/>
      <c r="D803" s="31"/>
    </row>
    <row r="804" spans="2:4" ht="14.25" customHeight="1" x14ac:dyDescent="0.3">
      <c r="B804" s="31"/>
      <c r="C804" s="31"/>
      <c r="D804" s="31"/>
    </row>
    <row r="805" spans="2:4" ht="14.25" customHeight="1" x14ac:dyDescent="0.3">
      <c r="B805" s="31"/>
      <c r="C805" s="31"/>
      <c r="D805" s="31"/>
    </row>
    <row r="806" spans="2:4" ht="14.25" customHeight="1" x14ac:dyDescent="0.3">
      <c r="B806" s="31"/>
      <c r="C806" s="31"/>
      <c r="D806" s="31"/>
    </row>
    <row r="807" spans="2:4" ht="14.25" customHeight="1" x14ac:dyDescent="0.3">
      <c r="B807" s="31"/>
      <c r="C807" s="31"/>
      <c r="D807" s="31"/>
    </row>
    <row r="808" spans="2:4" ht="14.25" customHeight="1" x14ac:dyDescent="0.3">
      <c r="B808" s="31"/>
      <c r="C808" s="31"/>
      <c r="D808" s="31"/>
    </row>
    <row r="809" spans="2:4" ht="14.25" customHeight="1" x14ac:dyDescent="0.3">
      <c r="B809" s="31"/>
      <c r="C809" s="31"/>
      <c r="D809" s="31"/>
    </row>
    <row r="810" spans="2:4" ht="14.25" customHeight="1" x14ac:dyDescent="0.3">
      <c r="B810" s="31"/>
      <c r="C810" s="31"/>
      <c r="D810" s="31"/>
    </row>
    <row r="811" spans="2:4" ht="14.25" customHeight="1" x14ac:dyDescent="0.3">
      <c r="B811" s="31"/>
      <c r="C811" s="31"/>
      <c r="D811" s="31"/>
    </row>
    <row r="812" spans="2:4" ht="14.25" customHeight="1" x14ac:dyDescent="0.3">
      <c r="B812" s="31"/>
      <c r="C812" s="31"/>
      <c r="D812" s="31"/>
    </row>
    <row r="813" spans="2:4" ht="14.25" customHeight="1" x14ac:dyDescent="0.3">
      <c r="B813" s="31"/>
      <c r="C813" s="31"/>
      <c r="D813" s="31"/>
    </row>
    <row r="814" spans="2:4" ht="14.25" customHeight="1" x14ac:dyDescent="0.3">
      <c r="B814" s="31"/>
      <c r="C814" s="31"/>
      <c r="D814" s="31"/>
    </row>
    <row r="815" spans="2:4" ht="14.25" customHeight="1" x14ac:dyDescent="0.3">
      <c r="B815" s="31"/>
      <c r="C815" s="31"/>
      <c r="D815" s="31"/>
    </row>
    <row r="816" spans="2:4" ht="14.25" customHeight="1" x14ac:dyDescent="0.3">
      <c r="B816" s="31"/>
      <c r="C816" s="31"/>
      <c r="D816" s="31"/>
    </row>
    <row r="817" spans="2:4" ht="14.25" customHeight="1" x14ac:dyDescent="0.3">
      <c r="B817" s="31"/>
      <c r="C817" s="31"/>
      <c r="D817" s="31"/>
    </row>
    <row r="818" spans="2:4" ht="14.25" customHeight="1" x14ac:dyDescent="0.3">
      <c r="B818" s="31"/>
      <c r="C818" s="31"/>
      <c r="D818" s="31"/>
    </row>
    <row r="819" spans="2:4" ht="14.25" customHeight="1" x14ac:dyDescent="0.3">
      <c r="B819" s="31"/>
      <c r="C819" s="31"/>
      <c r="D819" s="31"/>
    </row>
    <row r="820" spans="2:4" ht="14.25" customHeight="1" x14ac:dyDescent="0.3">
      <c r="B820" s="31"/>
      <c r="C820" s="31"/>
      <c r="D820" s="31"/>
    </row>
    <row r="821" spans="2:4" ht="14.25" customHeight="1" x14ac:dyDescent="0.3">
      <c r="B821" s="31"/>
      <c r="C821" s="31"/>
      <c r="D821" s="31"/>
    </row>
    <row r="822" spans="2:4" ht="14.25" customHeight="1" x14ac:dyDescent="0.3">
      <c r="B822" s="31"/>
      <c r="C822" s="31"/>
      <c r="D822" s="31"/>
    </row>
    <row r="823" spans="2:4" ht="14.25" customHeight="1" x14ac:dyDescent="0.3">
      <c r="B823" s="31"/>
      <c r="C823" s="31"/>
      <c r="D823" s="31"/>
    </row>
    <row r="824" spans="2:4" ht="14.25" customHeight="1" x14ac:dyDescent="0.3">
      <c r="B824" s="31"/>
      <c r="C824" s="31"/>
      <c r="D824" s="31"/>
    </row>
    <row r="825" spans="2:4" ht="14.25" customHeight="1" x14ac:dyDescent="0.3">
      <c r="B825" s="31"/>
      <c r="C825" s="31"/>
      <c r="D825" s="31"/>
    </row>
    <row r="826" spans="2:4" ht="14.25" customHeight="1" x14ac:dyDescent="0.3">
      <c r="B826" s="31"/>
      <c r="C826" s="31"/>
      <c r="D826" s="31"/>
    </row>
    <row r="827" spans="2:4" ht="14.25" customHeight="1" x14ac:dyDescent="0.3">
      <c r="B827" s="31"/>
      <c r="C827" s="31"/>
      <c r="D827" s="31"/>
    </row>
    <row r="828" spans="2:4" ht="14.25" customHeight="1" x14ac:dyDescent="0.3">
      <c r="B828" s="31"/>
      <c r="C828" s="31"/>
      <c r="D828" s="31"/>
    </row>
    <row r="829" spans="2:4" ht="14.25" customHeight="1" x14ac:dyDescent="0.3">
      <c r="B829" s="31"/>
      <c r="C829" s="31"/>
      <c r="D829" s="31"/>
    </row>
    <row r="830" spans="2:4" ht="14.25" customHeight="1" x14ac:dyDescent="0.3">
      <c r="B830" s="31"/>
      <c r="C830" s="31"/>
      <c r="D830" s="31"/>
    </row>
    <row r="831" spans="2:4" ht="14.25" customHeight="1" x14ac:dyDescent="0.3">
      <c r="B831" s="31"/>
      <c r="C831" s="31"/>
      <c r="D831" s="31"/>
    </row>
    <row r="832" spans="2:4" ht="14.25" customHeight="1" x14ac:dyDescent="0.3">
      <c r="B832" s="31"/>
      <c r="C832" s="31"/>
      <c r="D832" s="31"/>
    </row>
    <row r="833" spans="2:4" ht="14.25" customHeight="1" x14ac:dyDescent="0.3">
      <c r="B833" s="31"/>
      <c r="C833" s="31"/>
      <c r="D833" s="31"/>
    </row>
    <row r="834" spans="2:4" ht="14.25" customHeight="1" x14ac:dyDescent="0.3">
      <c r="B834" s="31"/>
      <c r="C834" s="31"/>
      <c r="D834" s="31"/>
    </row>
    <row r="835" spans="2:4" ht="14.25" customHeight="1" x14ac:dyDescent="0.3">
      <c r="B835" s="31"/>
      <c r="C835" s="31"/>
      <c r="D835" s="31"/>
    </row>
    <row r="836" spans="2:4" ht="14.25" customHeight="1" x14ac:dyDescent="0.3">
      <c r="B836" s="31"/>
      <c r="C836" s="31"/>
      <c r="D836" s="31"/>
    </row>
    <row r="837" spans="2:4" ht="14.25" customHeight="1" x14ac:dyDescent="0.3">
      <c r="B837" s="31"/>
      <c r="C837" s="31"/>
      <c r="D837" s="31"/>
    </row>
    <row r="838" spans="2:4" ht="14.25" customHeight="1" x14ac:dyDescent="0.3">
      <c r="B838" s="31"/>
      <c r="C838" s="31"/>
      <c r="D838" s="31"/>
    </row>
    <row r="839" spans="2:4" ht="14.25" customHeight="1" x14ac:dyDescent="0.3">
      <c r="B839" s="31"/>
      <c r="C839" s="31"/>
      <c r="D839" s="31"/>
    </row>
    <row r="840" spans="2:4" ht="14.25" customHeight="1" x14ac:dyDescent="0.3">
      <c r="B840" s="31"/>
      <c r="C840" s="31"/>
      <c r="D840" s="31"/>
    </row>
    <row r="841" spans="2:4" ht="14.25" customHeight="1" x14ac:dyDescent="0.3">
      <c r="B841" s="31"/>
      <c r="C841" s="31"/>
      <c r="D841" s="31"/>
    </row>
    <row r="842" spans="2:4" ht="14.25" customHeight="1" x14ac:dyDescent="0.3">
      <c r="B842" s="31"/>
      <c r="C842" s="31"/>
      <c r="D842" s="31"/>
    </row>
    <row r="843" spans="2:4" ht="14.25" customHeight="1" x14ac:dyDescent="0.3">
      <c r="B843" s="31"/>
      <c r="C843" s="31"/>
      <c r="D843" s="31"/>
    </row>
    <row r="844" spans="2:4" ht="14.25" customHeight="1" x14ac:dyDescent="0.3">
      <c r="B844" s="31"/>
      <c r="C844" s="31"/>
      <c r="D844" s="31"/>
    </row>
    <row r="845" spans="2:4" ht="14.25" customHeight="1" x14ac:dyDescent="0.3">
      <c r="B845" s="31"/>
      <c r="C845" s="31"/>
      <c r="D845" s="31"/>
    </row>
    <row r="846" spans="2:4" ht="14.25" customHeight="1" x14ac:dyDescent="0.3">
      <c r="B846" s="31"/>
      <c r="C846" s="31"/>
      <c r="D846" s="31"/>
    </row>
    <row r="847" spans="2:4" ht="14.25" customHeight="1" x14ac:dyDescent="0.3">
      <c r="B847" s="31"/>
      <c r="C847" s="31"/>
      <c r="D847" s="31"/>
    </row>
    <row r="848" spans="2:4" ht="14.25" customHeight="1" x14ac:dyDescent="0.3">
      <c r="B848" s="31"/>
      <c r="C848" s="31"/>
      <c r="D848" s="31"/>
    </row>
    <row r="849" spans="2:4" ht="14.25" customHeight="1" x14ac:dyDescent="0.3">
      <c r="B849" s="31"/>
      <c r="C849" s="31"/>
      <c r="D849" s="31"/>
    </row>
    <row r="850" spans="2:4" ht="14.25" customHeight="1" x14ac:dyDescent="0.3">
      <c r="B850" s="31"/>
      <c r="C850" s="31"/>
      <c r="D850" s="31"/>
    </row>
    <row r="851" spans="2:4" ht="14.25" customHeight="1" x14ac:dyDescent="0.3">
      <c r="B851" s="31"/>
      <c r="C851" s="31"/>
      <c r="D851" s="31"/>
    </row>
    <row r="852" spans="2:4" ht="14.25" customHeight="1" x14ac:dyDescent="0.3">
      <c r="B852" s="31"/>
      <c r="C852" s="31"/>
      <c r="D852" s="31"/>
    </row>
    <row r="853" spans="2:4" ht="14.25" customHeight="1" x14ac:dyDescent="0.3">
      <c r="B853" s="31"/>
      <c r="C853" s="31"/>
      <c r="D853" s="31"/>
    </row>
    <row r="854" spans="2:4" ht="14.25" customHeight="1" x14ac:dyDescent="0.3">
      <c r="B854" s="31"/>
      <c r="C854" s="31"/>
      <c r="D854" s="31"/>
    </row>
    <row r="855" spans="2:4" ht="14.25" customHeight="1" x14ac:dyDescent="0.3">
      <c r="B855" s="31"/>
      <c r="C855" s="31"/>
      <c r="D855" s="31"/>
    </row>
    <row r="856" spans="2:4" ht="14.25" customHeight="1" x14ac:dyDescent="0.3">
      <c r="B856" s="31"/>
      <c r="C856" s="31"/>
      <c r="D856" s="31"/>
    </row>
    <row r="857" spans="2:4" ht="14.25" customHeight="1" x14ac:dyDescent="0.3">
      <c r="B857" s="31"/>
      <c r="C857" s="31"/>
      <c r="D857" s="31"/>
    </row>
    <row r="858" spans="2:4" ht="14.25" customHeight="1" x14ac:dyDescent="0.3">
      <c r="B858" s="31"/>
      <c r="C858" s="31"/>
      <c r="D858" s="31"/>
    </row>
    <row r="859" spans="2:4" ht="14.25" customHeight="1" x14ac:dyDescent="0.3">
      <c r="B859" s="31"/>
      <c r="C859" s="31"/>
      <c r="D859" s="31"/>
    </row>
    <row r="860" spans="2:4" ht="14.25" customHeight="1" x14ac:dyDescent="0.3">
      <c r="B860" s="31"/>
      <c r="C860" s="31"/>
      <c r="D860" s="31"/>
    </row>
    <row r="861" spans="2:4" ht="14.25" customHeight="1" x14ac:dyDescent="0.3">
      <c r="B861" s="31"/>
      <c r="C861" s="31"/>
      <c r="D861" s="31"/>
    </row>
    <row r="862" spans="2:4" ht="14.25" customHeight="1" x14ac:dyDescent="0.3">
      <c r="B862" s="31"/>
      <c r="C862" s="31"/>
      <c r="D862" s="31"/>
    </row>
    <row r="863" spans="2:4" ht="14.25" customHeight="1" x14ac:dyDescent="0.3">
      <c r="B863" s="31"/>
      <c r="C863" s="31"/>
      <c r="D863" s="31"/>
    </row>
    <row r="864" spans="2:4" ht="14.25" customHeight="1" x14ac:dyDescent="0.3">
      <c r="B864" s="31"/>
      <c r="C864" s="31"/>
      <c r="D864" s="31"/>
    </row>
    <row r="865" spans="2:4" ht="14.25" customHeight="1" x14ac:dyDescent="0.3">
      <c r="B865" s="31"/>
      <c r="C865" s="31"/>
      <c r="D865" s="31"/>
    </row>
    <row r="866" spans="2:4" ht="14.25" customHeight="1" x14ac:dyDescent="0.3">
      <c r="B866" s="31"/>
      <c r="C866" s="31"/>
      <c r="D866" s="31"/>
    </row>
    <row r="867" spans="2:4" ht="14.25" customHeight="1" x14ac:dyDescent="0.3">
      <c r="B867" s="31"/>
      <c r="C867" s="31"/>
      <c r="D867" s="31"/>
    </row>
    <row r="868" spans="2:4" ht="14.25" customHeight="1" x14ac:dyDescent="0.3">
      <c r="B868" s="31"/>
      <c r="C868" s="31"/>
      <c r="D868" s="31"/>
    </row>
    <row r="869" spans="2:4" ht="14.25" customHeight="1" x14ac:dyDescent="0.3">
      <c r="B869" s="31"/>
      <c r="C869" s="31"/>
      <c r="D869" s="31"/>
    </row>
    <row r="870" spans="2:4" ht="14.25" customHeight="1" x14ac:dyDescent="0.3">
      <c r="B870" s="31"/>
      <c r="C870" s="31"/>
      <c r="D870" s="31"/>
    </row>
    <row r="871" spans="2:4" ht="14.25" customHeight="1" x14ac:dyDescent="0.3">
      <c r="B871" s="31"/>
      <c r="C871" s="31"/>
      <c r="D871" s="31"/>
    </row>
    <row r="872" spans="2:4" ht="14.25" customHeight="1" x14ac:dyDescent="0.3">
      <c r="B872" s="31"/>
      <c r="C872" s="31"/>
      <c r="D872" s="31"/>
    </row>
    <row r="873" spans="2:4" ht="14.25" customHeight="1" x14ac:dyDescent="0.3">
      <c r="B873" s="31"/>
      <c r="C873" s="31"/>
      <c r="D873" s="31"/>
    </row>
    <row r="874" spans="2:4" ht="14.25" customHeight="1" x14ac:dyDescent="0.3">
      <c r="B874" s="31"/>
      <c r="C874" s="31"/>
      <c r="D874" s="31"/>
    </row>
    <row r="875" spans="2:4" ht="14.25" customHeight="1" x14ac:dyDescent="0.3">
      <c r="B875" s="31"/>
      <c r="C875" s="31"/>
      <c r="D875" s="31"/>
    </row>
    <row r="876" spans="2:4" ht="14.25" customHeight="1" x14ac:dyDescent="0.3">
      <c r="B876" s="31"/>
      <c r="C876" s="31"/>
      <c r="D876" s="31"/>
    </row>
    <row r="877" spans="2:4" ht="14.25" customHeight="1" x14ac:dyDescent="0.3">
      <c r="B877" s="31"/>
      <c r="C877" s="31"/>
      <c r="D877" s="31"/>
    </row>
    <row r="878" spans="2:4" ht="14.25" customHeight="1" x14ac:dyDescent="0.3">
      <c r="B878" s="31"/>
      <c r="C878" s="31"/>
      <c r="D878" s="31"/>
    </row>
    <row r="879" spans="2:4" ht="14.25" customHeight="1" x14ac:dyDescent="0.3">
      <c r="B879" s="31"/>
      <c r="C879" s="31"/>
      <c r="D879" s="31"/>
    </row>
    <row r="880" spans="2:4" ht="14.25" customHeight="1" x14ac:dyDescent="0.3">
      <c r="B880" s="31"/>
      <c r="C880" s="31"/>
      <c r="D880" s="31"/>
    </row>
    <row r="881" spans="2:4" ht="14.25" customHeight="1" x14ac:dyDescent="0.3">
      <c r="B881" s="31"/>
      <c r="C881" s="31"/>
      <c r="D881" s="31"/>
    </row>
    <row r="882" spans="2:4" ht="14.25" customHeight="1" x14ac:dyDescent="0.3">
      <c r="B882" s="31"/>
      <c r="C882" s="31"/>
      <c r="D882" s="31"/>
    </row>
    <row r="883" spans="2:4" ht="14.25" customHeight="1" x14ac:dyDescent="0.3">
      <c r="B883" s="31"/>
      <c r="C883" s="31"/>
      <c r="D883" s="31"/>
    </row>
    <row r="884" spans="2:4" ht="14.25" customHeight="1" x14ac:dyDescent="0.3">
      <c r="B884" s="31"/>
      <c r="C884" s="31"/>
      <c r="D884" s="31"/>
    </row>
    <row r="885" spans="2:4" ht="14.25" customHeight="1" x14ac:dyDescent="0.3">
      <c r="B885" s="31"/>
      <c r="C885" s="31"/>
      <c r="D885" s="31"/>
    </row>
    <row r="886" spans="2:4" ht="14.25" customHeight="1" x14ac:dyDescent="0.3">
      <c r="B886" s="31"/>
      <c r="C886" s="31"/>
      <c r="D886" s="31"/>
    </row>
    <row r="887" spans="2:4" ht="14.25" customHeight="1" x14ac:dyDescent="0.3">
      <c r="B887" s="31"/>
      <c r="C887" s="31"/>
      <c r="D887" s="31"/>
    </row>
    <row r="888" spans="2:4" ht="14.25" customHeight="1" x14ac:dyDescent="0.3">
      <c r="B888" s="31"/>
      <c r="C888" s="31"/>
      <c r="D888" s="31"/>
    </row>
    <row r="889" spans="2:4" ht="14.25" customHeight="1" x14ac:dyDescent="0.3">
      <c r="B889" s="31"/>
      <c r="C889" s="31"/>
      <c r="D889" s="31"/>
    </row>
    <row r="890" spans="2:4" ht="14.25" customHeight="1" x14ac:dyDescent="0.3">
      <c r="B890" s="31"/>
      <c r="C890" s="31"/>
      <c r="D890" s="31"/>
    </row>
    <row r="891" spans="2:4" ht="14.25" customHeight="1" x14ac:dyDescent="0.3">
      <c r="B891" s="31"/>
      <c r="C891" s="31"/>
      <c r="D891" s="31"/>
    </row>
    <row r="892" spans="2:4" ht="14.25" customHeight="1" x14ac:dyDescent="0.3">
      <c r="B892" s="31"/>
      <c r="C892" s="31"/>
      <c r="D892" s="31"/>
    </row>
    <row r="893" spans="2:4" ht="14.25" customHeight="1" x14ac:dyDescent="0.3">
      <c r="B893" s="31"/>
      <c r="C893" s="31"/>
      <c r="D893" s="31"/>
    </row>
    <row r="894" spans="2:4" ht="14.25" customHeight="1" x14ac:dyDescent="0.3">
      <c r="B894" s="31"/>
      <c r="C894" s="31"/>
      <c r="D894" s="31"/>
    </row>
    <row r="895" spans="2:4" ht="14.25" customHeight="1" x14ac:dyDescent="0.3">
      <c r="B895" s="31"/>
      <c r="C895" s="31"/>
      <c r="D895" s="31"/>
    </row>
    <row r="896" spans="2:4" ht="14.25" customHeight="1" x14ac:dyDescent="0.3">
      <c r="B896" s="31"/>
      <c r="C896" s="31"/>
      <c r="D896" s="31"/>
    </row>
    <row r="897" spans="2:4" ht="14.25" customHeight="1" x14ac:dyDescent="0.3">
      <c r="B897" s="31"/>
      <c r="C897" s="31"/>
      <c r="D897" s="31"/>
    </row>
    <row r="898" spans="2:4" ht="14.25" customHeight="1" x14ac:dyDescent="0.3">
      <c r="B898" s="31"/>
      <c r="C898" s="31"/>
      <c r="D898" s="31"/>
    </row>
    <row r="899" spans="2:4" ht="14.25" customHeight="1" x14ac:dyDescent="0.3">
      <c r="B899" s="31"/>
      <c r="C899" s="31"/>
      <c r="D899" s="31"/>
    </row>
    <row r="900" spans="2:4" ht="14.25" customHeight="1" x14ac:dyDescent="0.3">
      <c r="B900" s="31"/>
      <c r="C900" s="31"/>
      <c r="D900" s="31"/>
    </row>
    <row r="901" spans="2:4" ht="14.25" customHeight="1" x14ac:dyDescent="0.3">
      <c r="B901" s="31"/>
      <c r="C901" s="31"/>
      <c r="D901" s="31"/>
    </row>
    <row r="902" spans="2:4" ht="14.25" customHeight="1" x14ac:dyDescent="0.3">
      <c r="B902" s="31"/>
      <c r="C902" s="31"/>
      <c r="D902" s="31"/>
    </row>
    <row r="903" spans="2:4" ht="14.25" customHeight="1" x14ac:dyDescent="0.3">
      <c r="B903" s="31"/>
      <c r="C903" s="31"/>
      <c r="D903" s="31"/>
    </row>
    <row r="904" spans="2:4" ht="14.25" customHeight="1" x14ac:dyDescent="0.3">
      <c r="B904" s="31"/>
      <c r="C904" s="31"/>
      <c r="D904" s="31"/>
    </row>
    <row r="905" spans="2:4" ht="14.25" customHeight="1" x14ac:dyDescent="0.3">
      <c r="B905" s="31"/>
      <c r="C905" s="31"/>
      <c r="D905" s="31"/>
    </row>
    <row r="906" spans="2:4" ht="14.25" customHeight="1" x14ac:dyDescent="0.3">
      <c r="B906" s="31"/>
      <c r="C906" s="31"/>
      <c r="D906" s="31"/>
    </row>
    <row r="907" spans="2:4" ht="14.25" customHeight="1" x14ac:dyDescent="0.3">
      <c r="B907" s="31"/>
      <c r="C907" s="31"/>
      <c r="D907" s="31"/>
    </row>
    <row r="908" spans="2:4" ht="14.25" customHeight="1" x14ac:dyDescent="0.3">
      <c r="B908" s="31"/>
      <c r="C908" s="31"/>
      <c r="D908" s="31"/>
    </row>
    <row r="909" spans="2:4" ht="14.25" customHeight="1" x14ac:dyDescent="0.3">
      <c r="B909" s="31"/>
      <c r="C909" s="31"/>
      <c r="D909" s="31"/>
    </row>
    <row r="910" spans="2:4" ht="14.25" customHeight="1" x14ac:dyDescent="0.3">
      <c r="B910" s="31"/>
      <c r="C910" s="31"/>
      <c r="D910" s="31"/>
    </row>
    <row r="911" spans="2:4" ht="14.25" customHeight="1" x14ac:dyDescent="0.3">
      <c r="B911" s="31"/>
      <c r="C911" s="31"/>
      <c r="D911" s="31"/>
    </row>
    <row r="912" spans="2:4" ht="14.25" customHeight="1" x14ac:dyDescent="0.3">
      <c r="B912" s="31"/>
      <c r="C912" s="31"/>
      <c r="D912" s="31"/>
    </row>
    <row r="913" spans="2:4" ht="14.25" customHeight="1" x14ac:dyDescent="0.3">
      <c r="B913" s="31"/>
      <c r="C913" s="31"/>
      <c r="D913" s="31"/>
    </row>
    <row r="914" spans="2:4" ht="14.25" customHeight="1" x14ac:dyDescent="0.3">
      <c r="B914" s="31"/>
      <c r="C914" s="31"/>
      <c r="D914" s="31"/>
    </row>
    <row r="915" spans="2:4" ht="14.25" customHeight="1" x14ac:dyDescent="0.3">
      <c r="B915" s="31"/>
      <c r="C915" s="31"/>
      <c r="D915" s="31"/>
    </row>
    <row r="916" spans="2:4" ht="14.25" customHeight="1" x14ac:dyDescent="0.3">
      <c r="B916" s="31"/>
      <c r="C916" s="31"/>
      <c r="D916" s="31"/>
    </row>
    <row r="917" spans="2:4" ht="14.25" customHeight="1" x14ac:dyDescent="0.3">
      <c r="B917" s="31"/>
      <c r="C917" s="31"/>
      <c r="D917" s="31"/>
    </row>
    <row r="918" spans="2:4" ht="14.25" customHeight="1" x14ac:dyDescent="0.3">
      <c r="B918" s="31"/>
      <c r="C918" s="31"/>
      <c r="D918" s="31"/>
    </row>
    <row r="919" spans="2:4" ht="14.25" customHeight="1" x14ac:dyDescent="0.3">
      <c r="B919" s="31"/>
      <c r="C919" s="31"/>
      <c r="D919" s="31"/>
    </row>
    <row r="920" spans="2:4" ht="14.25" customHeight="1" x14ac:dyDescent="0.3">
      <c r="B920" s="31"/>
      <c r="C920" s="31"/>
      <c r="D920" s="31"/>
    </row>
    <row r="921" spans="2:4" ht="14.25" customHeight="1" x14ac:dyDescent="0.3">
      <c r="B921" s="31"/>
      <c r="C921" s="31"/>
      <c r="D921" s="31"/>
    </row>
    <row r="922" spans="2:4" ht="14.25" customHeight="1" x14ac:dyDescent="0.3">
      <c r="B922" s="31"/>
      <c r="C922" s="31"/>
      <c r="D922" s="31"/>
    </row>
    <row r="923" spans="2:4" ht="14.25" customHeight="1" x14ac:dyDescent="0.3">
      <c r="B923" s="31"/>
      <c r="C923" s="31"/>
      <c r="D923" s="31"/>
    </row>
    <row r="924" spans="2:4" ht="14.25" customHeight="1" x14ac:dyDescent="0.3">
      <c r="B924" s="31"/>
      <c r="C924" s="31"/>
      <c r="D924" s="31"/>
    </row>
    <row r="925" spans="2:4" ht="14.25" customHeight="1" x14ac:dyDescent="0.3">
      <c r="B925" s="31"/>
      <c r="C925" s="31"/>
      <c r="D925" s="31"/>
    </row>
    <row r="926" spans="2:4" ht="14.25" customHeight="1" x14ac:dyDescent="0.3">
      <c r="B926" s="31"/>
      <c r="C926" s="31"/>
      <c r="D926" s="31"/>
    </row>
    <row r="927" spans="2:4" ht="14.25" customHeight="1" x14ac:dyDescent="0.3">
      <c r="B927" s="31"/>
      <c r="C927" s="31"/>
      <c r="D927" s="31"/>
    </row>
    <row r="928" spans="2:4" ht="14.25" customHeight="1" x14ac:dyDescent="0.3">
      <c r="B928" s="31"/>
      <c r="C928" s="31"/>
      <c r="D928" s="31"/>
    </row>
    <row r="929" spans="2:4" ht="14.25" customHeight="1" x14ac:dyDescent="0.3">
      <c r="B929" s="31"/>
      <c r="C929" s="31"/>
      <c r="D929" s="31"/>
    </row>
    <row r="930" spans="2:4" ht="14.25" customHeight="1" x14ac:dyDescent="0.3">
      <c r="B930" s="31"/>
      <c r="C930" s="31"/>
      <c r="D930" s="31"/>
    </row>
    <row r="931" spans="2:4" ht="14.25" customHeight="1" x14ac:dyDescent="0.3">
      <c r="B931" s="31"/>
      <c r="C931" s="31"/>
      <c r="D931" s="31"/>
    </row>
    <row r="932" spans="2:4" ht="14.25" customHeight="1" x14ac:dyDescent="0.3">
      <c r="B932" s="31"/>
      <c r="C932" s="31"/>
      <c r="D932" s="31"/>
    </row>
    <row r="933" spans="2:4" ht="14.25" customHeight="1" x14ac:dyDescent="0.3">
      <c r="B933" s="31"/>
      <c r="C933" s="31"/>
      <c r="D933" s="31"/>
    </row>
    <row r="934" spans="2:4" ht="14.25" customHeight="1" x14ac:dyDescent="0.3">
      <c r="B934" s="31"/>
      <c r="C934" s="31"/>
      <c r="D934" s="31"/>
    </row>
    <row r="935" spans="2:4" ht="14.25" customHeight="1" x14ac:dyDescent="0.3">
      <c r="B935" s="31"/>
      <c r="C935" s="31"/>
      <c r="D935" s="31"/>
    </row>
    <row r="936" spans="2:4" ht="14.25" customHeight="1" x14ac:dyDescent="0.3">
      <c r="B936" s="31"/>
      <c r="C936" s="31"/>
      <c r="D936" s="31"/>
    </row>
    <row r="937" spans="2:4" ht="14.25" customHeight="1" x14ac:dyDescent="0.3">
      <c r="B937" s="31"/>
      <c r="C937" s="31"/>
      <c r="D937" s="31"/>
    </row>
    <row r="938" spans="2:4" ht="14.25" customHeight="1" x14ac:dyDescent="0.3">
      <c r="B938" s="31"/>
      <c r="C938" s="31"/>
      <c r="D938" s="31"/>
    </row>
    <row r="939" spans="2:4" ht="14.25" customHeight="1" x14ac:dyDescent="0.3">
      <c r="B939" s="31"/>
      <c r="C939" s="31"/>
      <c r="D939" s="31"/>
    </row>
    <row r="940" spans="2:4" ht="14.25" customHeight="1" x14ac:dyDescent="0.3">
      <c r="B940" s="31"/>
      <c r="C940" s="31"/>
      <c r="D940" s="31"/>
    </row>
    <row r="941" spans="2:4" ht="14.25" customHeight="1" x14ac:dyDescent="0.3">
      <c r="B941" s="31"/>
      <c r="C941" s="31"/>
      <c r="D941" s="31"/>
    </row>
    <row r="942" spans="2:4" ht="14.25" customHeight="1" x14ac:dyDescent="0.3">
      <c r="B942" s="31"/>
      <c r="C942" s="31"/>
      <c r="D942" s="31"/>
    </row>
    <row r="943" spans="2:4" ht="14.25" customHeight="1" x14ac:dyDescent="0.3">
      <c r="B943" s="31"/>
      <c r="C943" s="31"/>
      <c r="D943" s="31"/>
    </row>
    <row r="944" spans="2:4" ht="14.25" customHeight="1" x14ac:dyDescent="0.3">
      <c r="B944" s="31"/>
      <c r="C944" s="31"/>
      <c r="D944" s="31"/>
    </row>
    <row r="945" spans="2:4" ht="14.25" customHeight="1" x14ac:dyDescent="0.3">
      <c r="B945" s="31"/>
      <c r="C945" s="31"/>
      <c r="D945" s="31"/>
    </row>
    <row r="946" spans="2:4" ht="14.25" customHeight="1" x14ac:dyDescent="0.3">
      <c r="B946" s="31"/>
      <c r="C946" s="31"/>
      <c r="D946" s="31"/>
    </row>
    <row r="947" spans="2:4" ht="14.25" customHeight="1" x14ac:dyDescent="0.3">
      <c r="B947" s="31"/>
      <c r="C947" s="31"/>
      <c r="D947" s="31"/>
    </row>
    <row r="948" spans="2:4" ht="14.25" customHeight="1" x14ac:dyDescent="0.3">
      <c r="B948" s="31"/>
      <c r="C948" s="31"/>
      <c r="D948" s="31"/>
    </row>
    <row r="949" spans="2:4" ht="14.25" customHeight="1" x14ac:dyDescent="0.3">
      <c r="B949" s="31"/>
      <c r="C949" s="31"/>
      <c r="D949" s="31"/>
    </row>
    <row r="950" spans="2:4" ht="14.25" customHeight="1" x14ac:dyDescent="0.3">
      <c r="B950" s="31"/>
      <c r="C950" s="31"/>
      <c r="D950" s="31"/>
    </row>
    <row r="951" spans="2:4" ht="14.25" customHeight="1" x14ac:dyDescent="0.3">
      <c r="B951" s="31"/>
      <c r="C951" s="31"/>
      <c r="D951" s="31"/>
    </row>
    <row r="952" spans="2:4" ht="14.25" customHeight="1" x14ac:dyDescent="0.3">
      <c r="B952" s="31"/>
      <c r="C952" s="31"/>
      <c r="D952" s="31"/>
    </row>
    <row r="953" spans="2:4" ht="14.25" customHeight="1" x14ac:dyDescent="0.3">
      <c r="B953" s="31"/>
      <c r="C953" s="31"/>
      <c r="D953" s="31"/>
    </row>
    <row r="954" spans="2:4" ht="14.25" customHeight="1" x14ac:dyDescent="0.3">
      <c r="B954" s="31"/>
      <c r="C954" s="31"/>
      <c r="D954" s="31"/>
    </row>
    <row r="955" spans="2:4" ht="14.25" customHeight="1" x14ac:dyDescent="0.3">
      <c r="B955" s="31"/>
      <c r="C955" s="31"/>
      <c r="D955" s="31"/>
    </row>
    <row r="956" spans="2:4" ht="14.25" customHeight="1" x14ac:dyDescent="0.3">
      <c r="B956" s="31"/>
      <c r="C956" s="31"/>
      <c r="D956" s="31"/>
    </row>
    <row r="957" spans="2:4" ht="14.25" customHeight="1" x14ac:dyDescent="0.3">
      <c r="B957" s="31"/>
      <c r="C957" s="31"/>
      <c r="D957" s="31"/>
    </row>
    <row r="958" spans="2:4" ht="14.25" customHeight="1" x14ac:dyDescent="0.3">
      <c r="B958" s="31"/>
      <c r="C958" s="31"/>
      <c r="D958" s="31"/>
    </row>
    <row r="959" spans="2:4" ht="14.25" customHeight="1" x14ac:dyDescent="0.3">
      <c r="B959" s="31"/>
      <c r="C959" s="31"/>
      <c r="D959" s="31"/>
    </row>
    <row r="960" spans="2:4" ht="14.25" customHeight="1" x14ac:dyDescent="0.3">
      <c r="B960" s="31"/>
      <c r="C960" s="31"/>
      <c r="D960" s="31"/>
    </row>
    <row r="961" spans="2:4" ht="14.25" customHeight="1" x14ac:dyDescent="0.3">
      <c r="B961" s="31"/>
      <c r="C961" s="31"/>
      <c r="D961" s="31"/>
    </row>
    <row r="962" spans="2:4" ht="14.25" customHeight="1" x14ac:dyDescent="0.3">
      <c r="B962" s="31"/>
      <c r="C962" s="31"/>
      <c r="D962" s="31"/>
    </row>
    <row r="963" spans="2:4" ht="14.25" customHeight="1" x14ac:dyDescent="0.3">
      <c r="B963" s="31"/>
      <c r="C963" s="31"/>
      <c r="D963" s="31"/>
    </row>
    <row r="964" spans="2:4" ht="14.25" customHeight="1" x14ac:dyDescent="0.3">
      <c r="B964" s="31"/>
      <c r="C964" s="31"/>
      <c r="D964" s="31"/>
    </row>
    <row r="965" spans="2:4" ht="14.25" customHeight="1" x14ac:dyDescent="0.3">
      <c r="B965" s="31"/>
      <c r="C965" s="31"/>
      <c r="D965" s="31"/>
    </row>
    <row r="966" spans="2:4" ht="14.25" customHeight="1" x14ac:dyDescent="0.3">
      <c r="B966" s="31"/>
      <c r="C966" s="31"/>
      <c r="D966" s="31"/>
    </row>
    <row r="967" spans="2:4" ht="14.25" customHeight="1" x14ac:dyDescent="0.3">
      <c r="B967" s="31"/>
      <c r="C967" s="31"/>
      <c r="D967" s="31"/>
    </row>
    <row r="968" spans="2:4" ht="14.25" customHeight="1" x14ac:dyDescent="0.3">
      <c r="B968" s="31"/>
      <c r="C968" s="31"/>
      <c r="D968" s="31"/>
    </row>
    <row r="969" spans="2:4" ht="14.25" customHeight="1" x14ac:dyDescent="0.3">
      <c r="B969" s="31"/>
      <c r="C969" s="31"/>
      <c r="D969" s="31"/>
    </row>
    <row r="970" spans="2:4" ht="14.25" customHeight="1" x14ac:dyDescent="0.3">
      <c r="B970" s="31"/>
      <c r="C970" s="31"/>
      <c r="D970" s="31"/>
    </row>
    <row r="971" spans="2:4" ht="14.25" customHeight="1" x14ac:dyDescent="0.3">
      <c r="B971" s="31"/>
      <c r="C971" s="31"/>
      <c r="D971" s="31"/>
    </row>
    <row r="972" spans="2:4" ht="14.25" customHeight="1" x14ac:dyDescent="0.3">
      <c r="B972" s="31"/>
      <c r="C972" s="31"/>
      <c r="D972" s="31"/>
    </row>
    <row r="973" spans="2:4" ht="14.25" customHeight="1" x14ac:dyDescent="0.3">
      <c r="B973" s="31"/>
      <c r="C973" s="31"/>
      <c r="D973" s="31"/>
    </row>
    <row r="974" spans="2:4" ht="14.25" customHeight="1" x14ac:dyDescent="0.3">
      <c r="B974" s="31"/>
      <c r="C974" s="31"/>
      <c r="D974" s="31"/>
    </row>
    <row r="975" spans="2:4" ht="14.25" customHeight="1" x14ac:dyDescent="0.3">
      <c r="B975" s="31"/>
      <c r="C975" s="31"/>
      <c r="D975" s="31"/>
    </row>
    <row r="976" spans="2:4" ht="14.25" customHeight="1" x14ac:dyDescent="0.3">
      <c r="B976" s="31"/>
      <c r="C976" s="31"/>
      <c r="D976" s="31"/>
    </row>
    <row r="977" spans="2:4" ht="14.25" customHeight="1" x14ac:dyDescent="0.3">
      <c r="B977" s="31"/>
      <c r="C977" s="31"/>
      <c r="D977" s="31"/>
    </row>
    <row r="978" spans="2:4" ht="14.25" customHeight="1" x14ac:dyDescent="0.3">
      <c r="B978" s="31"/>
      <c r="C978" s="31"/>
      <c r="D978" s="31"/>
    </row>
    <row r="979" spans="2:4" ht="14.25" customHeight="1" x14ac:dyDescent="0.3">
      <c r="B979" s="31"/>
      <c r="C979" s="31"/>
      <c r="D979" s="31"/>
    </row>
    <row r="980" spans="2:4" ht="14.25" customHeight="1" x14ac:dyDescent="0.3">
      <c r="B980" s="31"/>
      <c r="C980" s="31"/>
      <c r="D980" s="31"/>
    </row>
    <row r="981" spans="2:4" ht="14.25" customHeight="1" x14ac:dyDescent="0.3">
      <c r="B981" s="31"/>
      <c r="C981" s="31"/>
      <c r="D981" s="31"/>
    </row>
    <row r="982" spans="2:4" ht="14.25" customHeight="1" x14ac:dyDescent="0.3">
      <c r="B982" s="31"/>
      <c r="C982" s="31"/>
      <c r="D982" s="31"/>
    </row>
    <row r="983" spans="2:4" ht="14.25" customHeight="1" x14ac:dyDescent="0.3">
      <c r="B983" s="31"/>
      <c r="C983" s="31"/>
      <c r="D983" s="31"/>
    </row>
    <row r="984" spans="2:4" ht="14.25" customHeight="1" x14ac:dyDescent="0.3">
      <c r="B984" s="31"/>
      <c r="C984" s="31"/>
      <c r="D984" s="31"/>
    </row>
    <row r="985" spans="2:4" ht="14.25" customHeight="1" x14ac:dyDescent="0.3">
      <c r="B985" s="31"/>
      <c r="C985" s="31"/>
      <c r="D985" s="31"/>
    </row>
    <row r="986" spans="2:4" ht="14.25" customHeight="1" x14ac:dyDescent="0.3">
      <c r="B986" s="31"/>
      <c r="C986" s="31"/>
      <c r="D986" s="31"/>
    </row>
    <row r="987" spans="2:4" ht="14.25" customHeight="1" x14ac:dyDescent="0.3">
      <c r="B987" s="31"/>
      <c r="C987" s="31"/>
      <c r="D987" s="31"/>
    </row>
    <row r="988" spans="2:4" ht="14.25" customHeight="1" x14ac:dyDescent="0.3">
      <c r="B988" s="31"/>
      <c r="C988" s="31"/>
      <c r="D988" s="31"/>
    </row>
    <row r="989" spans="2:4" ht="14.25" customHeight="1" x14ac:dyDescent="0.3">
      <c r="B989" s="31"/>
      <c r="C989" s="31"/>
      <c r="D989" s="31"/>
    </row>
    <row r="990" spans="2:4" ht="14.25" customHeight="1" x14ac:dyDescent="0.3">
      <c r="B990" s="31"/>
      <c r="C990" s="31"/>
      <c r="D990" s="31"/>
    </row>
    <row r="991" spans="2:4" ht="14.25" customHeight="1" x14ac:dyDescent="0.3">
      <c r="B991" s="31"/>
      <c r="C991" s="31"/>
      <c r="D991" s="31"/>
    </row>
    <row r="992" spans="2:4" ht="14.25" customHeight="1" x14ac:dyDescent="0.3">
      <c r="B992" s="31"/>
      <c r="C992" s="31"/>
      <c r="D992" s="31"/>
    </row>
    <row r="993" spans="2:4" ht="14.25" customHeight="1" x14ac:dyDescent="0.3">
      <c r="B993" s="31"/>
      <c r="C993" s="31"/>
      <c r="D993" s="31"/>
    </row>
    <row r="994" spans="2:4" ht="14.25" customHeight="1" x14ac:dyDescent="0.3">
      <c r="B994" s="31"/>
      <c r="C994" s="31"/>
      <c r="D994" s="31"/>
    </row>
    <row r="995" spans="2:4" ht="14.25" customHeight="1" x14ac:dyDescent="0.3">
      <c r="B995" s="31"/>
      <c r="C995" s="31"/>
      <c r="D995" s="31"/>
    </row>
    <row r="996" spans="2:4" ht="14.25" customHeight="1" x14ac:dyDescent="0.3">
      <c r="B996" s="31"/>
      <c r="C996" s="31"/>
      <c r="D996" s="31"/>
    </row>
    <row r="997" spans="2:4" ht="14.25" customHeight="1" x14ac:dyDescent="0.3">
      <c r="B997" s="31"/>
      <c r="C997" s="31"/>
      <c r="D997" s="31"/>
    </row>
    <row r="998" spans="2:4" ht="14.25" customHeight="1" x14ac:dyDescent="0.3">
      <c r="B998" s="31"/>
      <c r="C998" s="31"/>
      <c r="D998" s="31"/>
    </row>
    <row r="999" spans="2:4" ht="14.25" customHeight="1" x14ac:dyDescent="0.3">
      <c r="B999" s="31"/>
      <c r="C999" s="31"/>
      <c r="D999" s="31"/>
    </row>
    <row r="1000" spans="2:4" ht="14.25" customHeight="1" x14ac:dyDescent="0.3">
      <c r="B1000" s="31"/>
      <c r="C1000" s="31"/>
      <c r="D1000" s="31"/>
    </row>
  </sheetData>
  <mergeCells count="2">
    <mergeCell ref="B1:J1"/>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D6870-2F3F-4066-B69D-37FDC3461D66}">
  <dimension ref="B2:J14"/>
  <sheetViews>
    <sheetView workbookViewId="0">
      <selection activeCell="I17" sqref="I17"/>
    </sheetView>
  </sheetViews>
  <sheetFormatPr defaultRowHeight="14.4" x14ac:dyDescent="0.3"/>
  <cols>
    <col min="2" max="2" width="16.44140625" bestFit="1" customWidth="1"/>
    <col min="4" max="4" width="11.109375" customWidth="1"/>
    <col min="5" max="5" width="9.88671875" customWidth="1"/>
    <col min="8" max="8" width="8.88671875" customWidth="1"/>
    <col min="9" max="9" width="20.44140625" customWidth="1"/>
    <col min="10" max="10" width="7.33203125" customWidth="1"/>
    <col min="11" max="12" width="8.109375" customWidth="1"/>
  </cols>
  <sheetData>
    <row r="2" spans="2:10" ht="14.4" customHeight="1" x14ac:dyDescent="0.3">
      <c r="B2" s="208" t="s">
        <v>207</v>
      </c>
      <c r="C2" s="208"/>
      <c r="D2" s="208"/>
      <c r="E2" s="208"/>
      <c r="F2" s="208"/>
      <c r="G2" s="50"/>
      <c r="H2" s="50"/>
      <c r="I2" s="50"/>
      <c r="J2" s="50"/>
    </row>
    <row r="3" spans="2:10" x14ac:dyDescent="0.3">
      <c r="B3" s="208"/>
      <c r="C3" s="208"/>
      <c r="D3" s="208"/>
      <c r="E3" s="208"/>
      <c r="F3" s="208"/>
      <c r="G3" s="50"/>
      <c r="H3" s="50"/>
      <c r="I3" s="50"/>
      <c r="J3" s="50"/>
    </row>
    <row r="4" spans="2:10" x14ac:dyDescent="0.3">
      <c r="B4" s="208"/>
      <c r="C4" s="208"/>
      <c r="D4" s="208"/>
      <c r="E4" s="208"/>
      <c r="F4" s="208"/>
      <c r="G4" s="50"/>
      <c r="H4" s="50"/>
      <c r="I4" s="50"/>
      <c r="J4" s="50"/>
    </row>
    <row r="5" spans="2:10" ht="15.75" customHeight="1" x14ac:dyDescent="0.3"/>
    <row r="6" spans="2:10" s="41" customFormat="1" ht="16.95" customHeight="1" x14ac:dyDescent="0.3">
      <c r="B6" s="49"/>
      <c r="C6" s="48" t="s">
        <v>206</v>
      </c>
      <c r="D6" s="48" t="s">
        <v>205</v>
      </c>
      <c r="E6" s="48" t="s">
        <v>204</v>
      </c>
      <c r="F6" s="48" t="s">
        <v>203</v>
      </c>
      <c r="I6" s="47" t="s">
        <v>202</v>
      </c>
    </row>
    <row r="7" spans="2:10" s="41" customFormat="1" ht="16.95" customHeight="1" x14ac:dyDescent="0.3">
      <c r="B7" s="43" t="s">
        <v>201</v>
      </c>
      <c r="C7" s="42">
        <v>10256</v>
      </c>
      <c r="D7" s="42">
        <v>12879</v>
      </c>
      <c r="E7" s="42">
        <v>14598</v>
      </c>
      <c r="F7" s="42">
        <v>16919.666666666701</v>
      </c>
      <c r="I7" s="46" t="s">
        <v>200</v>
      </c>
      <c r="J7" s="45">
        <f>AVERAGE(C7:C14)</f>
        <v>17431.25</v>
      </c>
    </row>
    <row r="8" spans="2:10" s="41" customFormat="1" ht="16.95" customHeight="1" x14ac:dyDescent="0.3">
      <c r="B8" s="43" t="s">
        <v>199</v>
      </c>
      <c r="C8" s="42">
        <v>11348</v>
      </c>
      <c r="D8" s="42">
        <v>21487</v>
      </c>
      <c r="E8" s="42">
        <v>25645</v>
      </c>
      <c r="F8" s="42">
        <v>33790.333333333299</v>
      </c>
      <c r="I8" s="46" t="s">
        <v>198</v>
      </c>
      <c r="J8" s="45">
        <f>AVERAGE(D7:D14)</f>
        <v>16086.625</v>
      </c>
    </row>
    <row r="9" spans="2:10" s="41" customFormat="1" ht="16.95" customHeight="1" x14ac:dyDescent="0.3">
      <c r="B9" s="43" t="s">
        <v>197</v>
      </c>
      <c r="C9" s="42">
        <v>10987</v>
      </c>
      <c r="D9" s="42">
        <v>11987</v>
      </c>
      <c r="E9" s="42">
        <v>9587</v>
      </c>
      <c r="F9" s="42">
        <v>9453.6666666666697</v>
      </c>
      <c r="I9" s="46" t="s">
        <v>196</v>
      </c>
      <c r="J9" s="45">
        <f>AVERAGE(E7:E14)</f>
        <v>16531.875</v>
      </c>
    </row>
    <row r="10" spans="2:10" s="41" customFormat="1" ht="16.95" customHeight="1" x14ac:dyDescent="0.3">
      <c r="B10" s="43" t="s">
        <v>195</v>
      </c>
      <c r="C10" s="42">
        <v>25649</v>
      </c>
      <c r="D10" s="42">
        <v>21564</v>
      </c>
      <c r="E10" s="42">
        <v>19546</v>
      </c>
      <c r="F10" s="42">
        <v>16150</v>
      </c>
      <c r="I10" s="46" t="s">
        <v>194</v>
      </c>
      <c r="J10" s="45">
        <f>AVERAGE(F7:F14)</f>
        <v>15783.875</v>
      </c>
    </row>
    <row r="11" spans="2:10" s="41" customFormat="1" ht="16.95" customHeight="1" x14ac:dyDescent="0.3">
      <c r="B11" s="43" t="s">
        <v>193</v>
      </c>
      <c r="C11" s="42">
        <v>20154</v>
      </c>
      <c r="D11" s="42">
        <v>22321</v>
      </c>
      <c r="E11" s="42">
        <v>18945</v>
      </c>
      <c r="F11" s="42">
        <v>19264.333333333299</v>
      </c>
    </row>
    <row r="12" spans="2:10" s="41" customFormat="1" ht="16.95" customHeight="1" x14ac:dyDescent="0.3">
      <c r="B12" s="43" t="s">
        <v>192</v>
      </c>
      <c r="C12" s="42">
        <v>10254</v>
      </c>
      <c r="D12" s="42">
        <v>9987</v>
      </c>
      <c r="E12" s="42">
        <v>8974</v>
      </c>
      <c r="F12" s="42">
        <v>8458.3333333333303</v>
      </c>
    </row>
    <row r="13" spans="2:10" s="41" customFormat="1" ht="16.95" customHeight="1" x14ac:dyDescent="0.3">
      <c r="B13" s="43" t="s">
        <v>191</v>
      </c>
      <c r="C13" s="42">
        <v>32457</v>
      </c>
      <c r="D13" s="42">
        <v>18214</v>
      </c>
      <c r="E13" s="42">
        <v>24973</v>
      </c>
      <c r="F13" s="42">
        <v>17730.666666666701</v>
      </c>
      <c r="I13" s="44"/>
    </row>
    <row r="14" spans="2:10" s="41" customFormat="1" ht="16.95" customHeight="1" x14ac:dyDescent="0.3">
      <c r="B14" s="43" t="s">
        <v>190</v>
      </c>
      <c r="C14" s="42">
        <v>18345</v>
      </c>
      <c r="D14" s="42">
        <v>10254</v>
      </c>
      <c r="E14" s="42">
        <v>9987</v>
      </c>
      <c r="F14" s="42">
        <v>4504</v>
      </c>
    </row>
  </sheetData>
  <mergeCells count="1">
    <mergeCell ref="B2:F4"/>
  </mergeCells>
  <conditionalFormatting sqref="C7:C14">
    <cfRule type="cellIs" dxfId="12" priority="7" operator="lessThan">
      <formula>$J$7</formula>
    </cfRule>
    <cfRule type="cellIs" dxfId="11" priority="8" operator="greaterThan">
      <formula>$J$7</formula>
    </cfRule>
  </conditionalFormatting>
  <conditionalFormatting sqref="D7:D14">
    <cfRule type="cellIs" dxfId="10" priority="5" operator="lessThan">
      <formula>$J$8</formula>
    </cfRule>
    <cfRule type="cellIs" dxfId="9" priority="6" operator="greaterThan">
      <formula>$J$8</formula>
    </cfRule>
  </conditionalFormatting>
  <conditionalFormatting sqref="E7:E14">
    <cfRule type="cellIs" dxfId="8" priority="3" operator="greaterThan">
      <formula>$J$9</formula>
    </cfRule>
    <cfRule type="cellIs" dxfId="7" priority="4" operator="lessThan">
      <formula>$J$9</formula>
    </cfRule>
  </conditionalFormatting>
  <conditionalFormatting sqref="F7:F14">
    <cfRule type="cellIs" dxfId="6" priority="1" operator="lessThan">
      <formula>$J$10</formula>
    </cfRule>
    <cfRule type="cellIs" dxfId="5" priority="2" operator="greaterThan">
      <formula>$J$10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AA43-8215-4530-9081-5F2035CC46C1}">
  <dimension ref="B1:Q18"/>
  <sheetViews>
    <sheetView workbookViewId="0">
      <selection activeCell="H23" sqref="H23"/>
    </sheetView>
  </sheetViews>
  <sheetFormatPr defaultRowHeight="14.4" x14ac:dyDescent="0.3"/>
  <cols>
    <col min="2" max="2" width="11.44140625" bestFit="1" customWidth="1"/>
    <col min="3" max="3" width="10.33203125" bestFit="1" customWidth="1"/>
    <col min="4" max="4" width="13.109375" bestFit="1" customWidth="1"/>
    <col min="5" max="5" width="6.33203125" customWidth="1"/>
    <col min="13" max="13" width="10.5546875" bestFit="1" customWidth="1"/>
    <col min="14" max="14" width="12.33203125" customWidth="1"/>
    <col min="16" max="16" width="10.6640625" bestFit="1" customWidth="1"/>
    <col min="17" max="17" width="10" bestFit="1" customWidth="1"/>
  </cols>
  <sheetData>
    <row r="1" spans="2:17" ht="15" thickBot="1" x14ac:dyDescent="0.35"/>
    <row r="2" spans="2:17" ht="15" thickBot="1" x14ac:dyDescent="0.35">
      <c r="B2" s="209" t="s">
        <v>223</v>
      </c>
      <c r="C2" s="210"/>
      <c r="D2" s="210"/>
      <c r="E2" s="210"/>
      <c r="F2" s="211"/>
      <c r="M2" s="209" t="s">
        <v>222</v>
      </c>
      <c r="N2" s="210"/>
      <c r="O2" s="210"/>
      <c r="P2" s="210"/>
      <c r="Q2" s="211"/>
    </row>
    <row r="4" spans="2:17" x14ac:dyDescent="0.3">
      <c r="B4" s="10" t="s">
        <v>221</v>
      </c>
      <c r="C4" s="10" t="s">
        <v>220</v>
      </c>
      <c r="D4" s="10" t="s">
        <v>219</v>
      </c>
      <c r="E4" s="10"/>
    </row>
    <row r="5" spans="2:17" x14ac:dyDescent="0.3">
      <c r="B5" s="10" t="s">
        <v>208</v>
      </c>
      <c r="C5" s="52">
        <v>44408</v>
      </c>
      <c r="D5" s="10">
        <v>10.02</v>
      </c>
      <c r="E5" s="51"/>
      <c r="M5" s="10" t="s">
        <v>218</v>
      </c>
      <c r="N5" s="10" t="s">
        <v>217</v>
      </c>
    </row>
    <row r="6" spans="2:17" x14ac:dyDescent="0.3">
      <c r="B6" s="10" t="s">
        <v>208</v>
      </c>
      <c r="C6" s="52">
        <v>44410</v>
      </c>
      <c r="D6" s="10">
        <v>9.98</v>
      </c>
      <c r="E6" s="51">
        <f t="shared" ref="E6:E18" si="0">D6-D5</f>
        <v>-3.9999999999999147E-2</v>
      </c>
      <c r="M6" s="10" t="s">
        <v>216</v>
      </c>
      <c r="N6" s="53">
        <v>33236.340000000011</v>
      </c>
      <c r="O6" s="53">
        <v>33236.339999999997</v>
      </c>
    </row>
    <row r="7" spans="2:17" x14ac:dyDescent="0.3">
      <c r="B7" s="10" t="s">
        <v>208</v>
      </c>
      <c r="C7" s="52">
        <v>44411</v>
      </c>
      <c r="D7" s="10">
        <v>10.01</v>
      </c>
      <c r="E7" s="51">
        <f t="shared" si="0"/>
        <v>2.9999999999999361E-2</v>
      </c>
      <c r="M7" s="10" t="s">
        <v>215</v>
      </c>
      <c r="N7" s="53">
        <v>77318.25</v>
      </c>
      <c r="O7" s="53">
        <v>77318.25</v>
      </c>
    </row>
    <row r="8" spans="2:17" x14ac:dyDescent="0.3">
      <c r="B8" s="10" t="s">
        <v>208</v>
      </c>
      <c r="C8" s="52">
        <v>44412</v>
      </c>
      <c r="D8" s="10">
        <v>9.9</v>
      </c>
      <c r="E8" s="51">
        <f t="shared" si="0"/>
        <v>-0.10999999999999943</v>
      </c>
      <c r="M8" s="10" t="s">
        <v>214</v>
      </c>
      <c r="N8" s="53">
        <v>149591.78000000276</v>
      </c>
      <c r="O8" s="53">
        <v>149591.78000000276</v>
      </c>
    </row>
    <row r="9" spans="2:17" x14ac:dyDescent="0.3">
      <c r="B9" s="10" t="s">
        <v>208</v>
      </c>
      <c r="C9" s="52">
        <v>44413</v>
      </c>
      <c r="D9" s="10">
        <v>9.93</v>
      </c>
      <c r="E9" s="51">
        <f t="shared" si="0"/>
        <v>2.9999999999999361E-2</v>
      </c>
      <c r="M9" s="10" t="s">
        <v>213</v>
      </c>
      <c r="N9" s="53">
        <v>212952.30000000005</v>
      </c>
      <c r="O9" s="53">
        <v>212952.30000000005</v>
      </c>
    </row>
    <row r="10" spans="2:17" x14ac:dyDescent="0.3">
      <c r="B10" s="10" t="s">
        <v>208</v>
      </c>
      <c r="C10" s="52">
        <v>44414</v>
      </c>
      <c r="D10" s="10">
        <v>9.94</v>
      </c>
      <c r="E10" s="51">
        <f t="shared" si="0"/>
        <v>9.9999999999997868E-3</v>
      </c>
      <c r="M10" s="10" t="s">
        <v>212</v>
      </c>
      <c r="N10" s="53">
        <v>148702.35000000271</v>
      </c>
      <c r="O10" s="53">
        <v>148702.35000000271</v>
      </c>
    </row>
    <row r="11" spans="2:17" x14ac:dyDescent="0.3">
      <c r="B11" s="10" t="s">
        <v>208</v>
      </c>
      <c r="C11" s="52">
        <v>44417</v>
      </c>
      <c r="D11" s="10">
        <v>10.02</v>
      </c>
      <c r="E11" s="51">
        <f t="shared" si="0"/>
        <v>8.0000000000000071E-2</v>
      </c>
      <c r="M11" s="10" t="s">
        <v>211</v>
      </c>
      <c r="N11" s="53">
        <v>172382.85000000425</v>
      </c>
      <c r="O11" s="53">
        <v>172382.85000000425</v>
      </c>
    </row>
    <row r="12" spans="2:17" x14ac:dyDescent="0.3">
      <c r="B12" s="10" t="s">
        <v>208</v>
      </c>
      <c r="C12" s="52">
        <v>44418</v>
      </c>
      <c r="D12" s="10">
        <v>9.91</v>
      </c>
      <c r="E12" s="51">
        <f t="shared" si="0"/>
        <v>-0.10999999999999943</v>
      </c>
      <c r="M12" s="10" t="s">
        <v>210</v>
      </c>
      <c r="N12" s="53">
        <v>17463.150000000001</v>
      </c>
      <c r="O12" s="53">
        <v>17463.150000000001</v>
      </c>
    </row>
    <row r="13" spans="2:17" x14ac:dyDescent="0.3">
      <c r="B13" s="10" t="s">
        <v>208</v>
      </c>
      <c r="C13" s="52">
        <v>44419</v>
      </c>
      <c r="D13" s="10">
        <v>9.91</v>
      </c>
      <c r="E13" s="51">
        <f t="shared" si="0"/>
        <v>0</v>
      </c>
      <c r="M13" s="10" t="s">
        <v>209</v>
      </c>
      <c r="N13" s="53">
        <v>69550.099999999991</v>
      </c>
      <c r="O13" s="53">
        <v>69550.099999999991</v>
      </c>
    </row>
    <row r="14" spans="2:17" x14ac:dyDescent="0.3">
      <c r="B14" s="10" t="s">
        <v>208</v>
      </c>
      <c r="C14" s="52">
        <v>44420</v>
      </c>
      <c r="D14" s="10">
        <v>9.92</v>
      </c>
      <c r="E14" s="51">
        <f t="shared" si="0"/>
        <v>9.9999999999997868E-3</v>
      </c>
    </row>
    <row r="15" spans="2:17" x14ac:dyDescent="0.3">
      <c r="B15" s="10" t="s">
        <v>208</v>
      </c>
      <c r="C15" s="52">
        <v>44421</v>
      </c>
      <c r="D15" s="10">
        <v>9.86</v>
      </c>
      <c r="E15" s="51">
        <f t="shared" si="0"/>
        <v>-6.0000000000000497E-2</v>
      </c>
    </row>
    <row r="16" spans="2:17" x14ac:dyDescent="0.3">
      <c r="B16" s="10" t="s">
        <v>208</v>
      </c>
      <c r="C16" s="52">
        <v>44424</v>
      </c>
      <c r="D16" s="10">
        <v>9.7799999999999994</v>
      </c>
      <c r="E16" s="51">
        <f t="shared" si="0"/>
        <v>-8.0000000000000071E-2</v>
      </c>
    </row>
    <row r="17" spans="2:5" x14ac:dyDescent="0.3">
      <c r="B17" s="10" t="s">
        <v>208</v>
      </c>
      <c r="C17" s="52">
        <v>44425</v>
      </c>
      <c r="D17" s="10">
        <v>9.7200000000000006</v>
      </c>
      <c r="E17" s="51">
        <f t="shared" si="0"/>
        <v>-5.9999999999998721E-2</v>
      </c>
    </row>
    <row r="18" spans="2:5" x14ac:dyDescent="0.3">
      <c r="B18" s="10" t="s">
        <v>208</v>
      </c>
      <c r="C18" s="52">
        <v>44426</v>
      </c>
      <c r="D18" s="10">
        <v>9.77</v>
      </c>
      <c r="E18" s="51">
        <f t="shared" si="0"/>
        <v>4.9999999999998934E-2</v>
      </c>
    </row>
  </sheetData>
  <mergeCells count="2">
    <mergeCell ref="B2:F2"/>
    <mergeCell ref="M2:Q2"/>
  </mergeCells>
  <conditionalFormatting sqref="E6:E18">
    <cfRule type="iconSet" priority="2">
      <iconSet iconSet="3Arrows" showValue="0">
        <cfvo type="percent" val="0"/>
        <cfvo type="num" val="0"/>
        <cfvo type="num" val="0.01"/>
      </iconSet>
    </cfRule>
  </conditionalFormatting>
  <conditionalFormatting sqref="O6:O13">
    <cfRule type="dataBar" priority="1">
      <dataBar showValue="0">
        <cfvo type="min"/>
        <cfvo type="max"/>
        <color rgb="FF638EC6"/>
      </dataBar>
      <extLst>
        <ext xmlns:x14="http://schemas.microsoft.com/office/spreadsheetml/2009/9/main" uri="{B025F937-C7B1-47D3-B67F-A62EFF666E3E}">
          <x14:id>{AD9A39B7-3E69-46EF-A690-6508C08E27D3}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D9A39B7-3E69-46EF-A690-6508C08E27D3}">
            <x14:dataBar minLength="0" maxLength="100" gradient="0">
              <x14:cfvo type="autoMin"/>
              <x14:cfvo type="autoMax"/>
              <x14:negativeFillColor rgb="FFFF0000"/>
              <x14:axisColor rgb="FF000000"/>
            </x14:dataBar>
          </x14:cfRule>
          <xm:sqref>O6:O13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F6BFF-1BAB-498A-9B1C-AE752BF422D6}">
  <dimension ref="C1:H25"/>
  <sheetViews>
    <sheetView topLeftCell="A3" workbookViewId="0">
      <selection activeCell="L21" sqref="L21"/>
    </sheetView>
  </sheetViews>
  <sheetFormatPr defaultRowHeight="14.4" x14ac:dyDescent="0.3"/>
  <cols>
    <col min="4" max="4" width="19.6640625" customWidth="1"/>
    <col min="6" max="6" width="12" bestFit="1" customWidth="1"/>
    <col min="7" max="7" width="17.33203125" bestFit="1" customWidth="1"/>
  </cols>
  <sheetData>
    <row r="1" spans="3:8" ht="15" thickBot="1" x14ac:dyDescent="0.35"/>
    <row r="2" spans="3:8" ht="18.600000000000001" thickBot="1" x14ac:dyDescent="0.4">
      <c r="D2" s="212" t="s">
        <v>235</v>
      </c>
      <c r="E2" s="213"/>
      <c r="F2" s="213"/>
      <c r="G2" s="214"/>
    </row>
    <row r="4" spans="3:8" ht="28.8" x14ac:dyDescent="0.3">
      <c r="C4" s="60" t="s">
        <v>234</v>
      </c>
      <c r="D4" s="60" t="s">
        <v>233</v>
      </c>
      <c r="E4" s="60" t="s">
        <v>232</v>
      </c>
      <c r="F4" s="60" t="s">
        <v>231</v>
      </c>
      <c r="G4" s="60" t="s">
        <v>230</v>
      </c>
      <c r="H4" s="60" t="s">
        <v>229</v>
      </c>
    </row>
    <row r="5" spans="3:8" ht="15.6" x14ac:dyDescent="0.3">
      <c r="C5" s="57">
        <v>1</v>
      </c>
      <c r="D5" s="57" t="s">
        <v>228</v>
      </c>
      <c r="E5" s="51">
        <v>21</v>
      </c>
      <c r="F5" s="56" t="s">
        <v>224</v>
      </c>
      <c r="G5" s="55">
        <f ca="1">TODAY()</f>
        <v>45864</v>
      </c>
      <c r="H5" s="54" t="s">
        <v>181</v>
      </c>
    </row>
    <row r="6" spans="3:8" ht="15.6" x14ac:dyDescent="0.3">
      <c r="C6" s="57">
        <v>2</v>
      </c>
      <c r="D6" s="57" t="s">
        <v>225</v>
      </c>
      <c r="E6" s="51">
        <v>25</v>
      </c>
      <c r="F6" s="51" t="s">
        <v>224</v>
      </c>
      <c r="G6" s="55">
        <v>44754</v>
      </c>
      <c r="H6" s="54" t="s">
        <v>179</v>
      </c>
    </row>
    <row r="7" spans="3:8" ht="15.6" x14ac:dyDescent="0.3">
      <c r="C7" s="57">
        <v>3</v>
      </c>
      <c r="D7" s="57" t="s">
        <v>225</v>
      </c>
      <c r="E7" s="51">
        <v>24</v>
      </c>
      <c r="F7" s="51" t="s">
        <v>224</v>
      </c>
      <c r="G7" s="55">
        <v>44755</v>
      </c>
      <c r="H7" s="54" t="s">
        <v>181</v>
      </c>
    </row>
    <row r="8" spans="3:8" ht="15.6" x14ac:dyDescent="0.3">
      <c r="C8" s="57">
        <v>4</v>
      </c>
      <c r="D8" s="59" t="s">
        <v>225</v>
      </c>
      <c r="E8" s="56">
        <v>26</v>
      </c>
      <c r="F8" s="56" t="s">
        <v>224</v>
      </c>
      <c r="G8" s="58">
        <v>44755</v>
      </c>
      <c r="H8" s="54" t="s">
        <v>179</v>
      </c>
    </row>
    <row r="9" spans="3:8" ht="15.6" x14ac:dyDescent="0.3">
      <c r="C9" s="57">
        <v>5</v>
      </c>
      <c r="D9" s="57" t="s">
        <v>225</v>
      </c>
      <c r="E9" s="51">
        <v>25</v>
      </c>
      <c r="F9" s="51" t="s">
        <v>224</v>
      </c>
      <c r="G9" s="55">
        <v>44756</v>
      </c>
      <c r="H9" s="54" t="s">
        <v>181</v>
      </c>
    </row>
    <row r="10" spans="3:8" ht="15.6" x14ac:dyDescent="0.3">
      <c r="C10" s="57">
        <v>6</v>
      </c>
      <c r="D10" s="57" t="s">
        <v>225</v>
      </c>
      <c r="E10" s="51">
        <v>25</v>
      </c>
      <c r="F10" s="51" t="s">
        <v>224</v>
      </c>
      <c r="G10" s="55">
        <f ca="1">TODAY()</f>
        <v>45864</v>
      </c>
      <c r="H10" s="54" t="s">
        <v>179</v>
      </c>
    </row>
    <row r="11" spans="3:8" ht="15.6" x14ac:dyDescent="0.3">
      <c r="C11" s="57">
        <v>7</v>
      </c>
      <c r="D11" s="57" t="s">
        <v>225</v>
      </c>
      <c r="E11" s="51">
        <v>25</v>
      </c>
      <c r="F11" s="51" t="s">
        <v>224</v>
      </c>
      <c r="G11" s="55">
        <v>44757</v>
      </c>
      <c r="H11" s="54" t="s">
        <v>181</v>
      </c>
    </row>
    <row r="12" spans="3:8" ht="15.6" x14ac:dyDescent="0.3">
      <c r="C12" s="57">
        <v>8</v>
      </c>
      <c r="D12" s="57" t="s">
        <v>225</v>
      </c>
      <c r="E12" s="51">
        <v>25</v>
      </c>
      <c r="F12" s="51" t="s">
        <v>224</v>
      </c>
      <c r="G12" s="55">
        <v>44757</v>
      </c>
      <c r="H12" s="54" t="s">
        <v>179</v>
      </c>
    </row>
    <row r="13" spans="3:8" ht="15.6" x14ac:dyDescent="0.3">
      <c r="C13" s="57">
        <v>9</v>
      </c>
      <c r="D13" s="57" t="s">
        <v>225</v>
      </c>
      <c r="E13" s="51">
        <v>25</v>
      </c>
      <c r="F13" s="51" t="s">
        <v>224</v>
      </c>
      <c r="G13" s="55">
        <f ca="1">TODAY()</f>
        <v>45864</v>
      </c>
      <c r="H13" s="54" t="s">
        <v>181</v>
      </c>
    </row>
    <row r="14" spans="3:8" ht="15.6" x14ac:dyDescent="0.3">
      <c r="C14" s="57">
        <v>10</v>
      </c>
      <c r="D14" s="57" t="s">
        <v>225</v>
      </c>
      <c r="E14" s="51">
        <v>24</v>
      </c>
      <c r="F14" s="51" t="s">
        <v>224</v>
      </c>
      <c r="G14" s="55">
        <v>44761</v>
      </c>
      <c r="H14" s="54" t="s">
        <v>179</v>
      </c>
    </row>
    <row r="15" spans="3:8" ht="15.6" x14ac:dyDescent="0.3">
      <c r="C15" s="57">
        <v>11</v>
      </c>
      <c r="D15" s="57" t="s">
        <v>225</v>
      </c>
      <c r="E15" s="51">
        <v>20</v>
      </c>
      <c r="F15" s="51" t="s">
        <v>224</v>
      </c>
      <c r="G15" s="55">
        <v>44762</v>
      </c>
      <c r="H15" s="54" t="s">
        <v>181</v>
      </c>
    </row>
    <row r="16" spans="3:8" ht="15.6" x14ac:dyDescent="0.3">
      <c r="C16" s="57">
        <v>12</v>
      </c>
      <c r="D16" s="57" t="s">
        <v>225</v>
      </c>
      <c r="E16" s="51">
        <v>20</v>
      </c>
      <c r="F16" s="51" t="s">
        <v>224</v>
      </c>
      <c r="G16" s="55">
        <v>44762</v>
      </c>
      <c r="H16" s="54" t="s">
        <v>179</v>
      </c>
    </row>
    <row r="17" spans="3:8" ht="15.6" x14ac:dyDescent="0.3">
      <c r="C17" s="57">
        <v>13</v>
      </c>
      <c r="D17" s="57" t="s">
        <v>228</v>
      </c>
      <c r="E17" s="51">
        <v>25</v>
      </c>
      <c r="F17" s="51" t="s">
        <v>224</v>
      </c>
      <c r="G17" s="55">
        <f ca="1">TODAY()</f>
        <v>45864</v>
      </c>
      <c r="H17" s="54" t="s">
        <v>181</v>
      </c>
    </row>
    <row r="18" spans="3:8" ht="15.6" x14ac:dyDescent="0.3">
      <c r="C18" s="57">
        <v>14</v>
      </c>
      <c r="D18" s="57" t="s">
        <v>227</v>
      </c>
      <c r="E18" s="51">
        <v>27</v>
      </c>
      <c r="F18" s="51" t="s">
        <v>226</v>
      </c>
      <c r="G18" s="55">
        <v>44763</v>
      </c>
      <c r="H18" s="54" t="s">
        <v>179</v>
      </c>
    </row>
    <row r="19" spans="3:8" ht="15.6" x14ac:dyDescent="0.3">
      <c r="C19" s="57">
        <v>15</v>
      </c>
      <c r="D19" s="57" t="s">
        <v>227</v>
      </c>
      <c r="E19" s="51">
        <v>26</v>
      </c>
      <c r="F19" s="51" t="s">
        <v>226</v>
      </c>
      <c r="G19" s="55">
        <v>44764</v>
      </c>
      <c r="H19" s="54" t="s">
        <v>181</v>
      </c>
    </row>
    <row r="20" spans="3:8" ht="15.6" x14ac:dyDescent="0.3">
      <c r="C20" s="57">
        <v>16</v>
      </c>
      <c r="D20" s="57" t="s">
        <v>227</v>
      </c>
      <c r="E20" s="51">
        <v>14</v>
      </c>
      <c r="F20" s="51" t="s">
        <v>224</v>
      </c>
      <c r="G20" s="55">
        <v>44764</v>
      </c>
      <c r="H20" s="54" t="s">
        <v>179</v>
      </c>
    </row>
    <row r="21" spans="3:8" ht="15.6" x14ac:dyDescent="0.3">
      <c r="C21" s="57">
        <v>17</v>
      </c>
      <c r="D21" s="57" t="s">
        <v>225</v>
      </c>
      <c r="E21" s="54">
        <v>27</v>
      </c>
      <c r="F21" s="56" t="s">
        <v>224</v>
      </c>
      <c r="G21" s="55">
        <v>44768</v>
      </c>
      <c r="H21" s="54" t="s">
        <v>181</v>
      </c>
    </row>
    <row r="22" spans="3:8" ht="15.6" x14ac:dyDescent="0.3">
      <c r="C22" s="57">
        <v>18</v>
      </c>
      <c r="D22" s="57" t="s">
        <v>228</v>
      </c>
      <c r="E22" s="51">
        <v>24</v>
      </c>
      <c r="F22" s="51" t="s">
        <v>224</v>
      </c>
      <c r="G22" s="55">
        <v>44768</v>
      </c>
      <c r="H22" s="54" t="s">
        <v>179</v>
      </c>
    </row>
    <row r="23" spans="3:8" ht="15.6" x14ac:dyDescent="0.3">
      <c r="C23" s="57">
        <v>19</v>
      </c>
      <c r="D23" s="57" t="s">
        <v>227</v>
      </c>
      <c r="E23" s="51">
        <v>27</v>
      </c>
      <c r="F23" s="51" t="s">
        <v>226</v>
      </c>
      <c r="G23" s="55">
        <v>44769</v>
      </c>
      <c r="H23" s="54" t="s">
        <v>181</v>
      </c>
    </row>
    <row r="24" spans="3:8" ht="15.6" x14ac:dyDescent="0.3">
      <c r="C24" s="57">
        <v>20</v>
      </c>
      <c r="D24" s="57" t="s">
        <v>225</v>
      </c>
      <c r="E24" s="54">
        <v>27</v>
      </c>
      <c r="F24" s="56" t="s">
        <v>224</v>
      </c>
      <c r="G24" s="55">
        <f ca="1">TODAY()</f>
        <v>45864</v>
      </c>
      <c r="H24" s="54" t="s">
        <v>179</v>
      </c>
    </row>
    <row r="25" spans="3:8" ht="15.6" x14ac:dyDescent="0.3">
      <c r="C25" s="57">
        <v>21</v>
      </c>
      <c r="D25" s="57" t="s">
        <v>225</v>
      </c>
      <c r="E25" s="54">
        <v>28</v>
      </c>
      <c r="F25" s="56" t="s">
        <v>224</v>
      </c>
      <c r="G25" s="55">
        <v>44771</v>
      </c>
      <c r="H25" s="54" t="s">
        <v>181</v>
      </c>
    </row>
  </sheetData>
  <mergeCells count="1">
    <mergeCell ref="D2:G2"/>
  </mergeCells>
  <conditionalFormatting sqref="C5:H25">
    <cfRule type="expression" dxfId="4" priority="1">
      <formula>$G5=TODAY()</formula>
    </cfRule>
    <cfRule type="expression" dxfId="3" priority="2">
      <formula>$H5=TODAY()</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5158-EFEA-4133-8DC3-2DADED385A78}">
  <dimension ref="B1:G18"/>
  <sheetViews>
    <sheetView workbookViewId="0">
      <selection activeCell="L23" sqref="L23"/>
    </sheetView>
  </sheetViews>
  <sheetFormatPr defaultRowHeight="14.4" x14ac:dyDescent="0.3"/>
  <sheetData>
    <row r="1" spans="2:7" ht="15" thickBot="1" x14ac:dyDescent="0.35"/>
    <row r="2" spans="2:7" x14ac:dyDescent="0.3">
      <c r="B2" s="215" t="s">
        <v>243</v>
      </c>
      <c r="C2" s="216"/>
      <c r="D2" s="216"/>
      <c r="E2" s="216"/>
      <c r="F2" s="216"/>
      <c r="G2" s="217"/>
    </row>
    <row r="3" spans="2:7" ht="15" thickBot="1" x14ac:dyDescent="0.35">
      <c r="B3" s="218"/>
      <c r="C3" s="219"/>
      <c r="D3" s="219"/>
      <c r="E3" s="219"/>
      <c r="F3" s="219"/>
      <c r="G3" s="220"/>
    </row>
    <row r="4" spans="2:7" ht="15" thickBot="1" x14ac:dyDescent="0.35">
      <c r="B4" s="63"/>
      <c r="C4" s="63"/>
      <c r="D4" s="63"/>
      <c r="E4" s="63"/>
      <c r="F4" s="63"/>
      <c r="G4" s="63"/>
    </row>
    <row r="5" spans="2:7" ht="15" thickBot="1" x14ac:dyDescent="0.35">
      <c r="B5" s="62" t="s">
        <v>242</v>
      </c>
      <c r="C5" s="61" t="s">
        <v>239</v>
      </c>
    </row>
    <row r="7" spans="2:7" x14ac:dyDescent="0.3">
      <c r="B7" s="16" t="s">
        <v>241</v>
      </c>
      <c r="C7" s="16" t="s">
        <v>240</v>
      </c>
      <c r="D7" s="16" t="s">
        <v>239</v>
      </c>
      <c r="E7" s="16" t="s">
        <v>238</v>
      </c>
      <c r="F7" s="16" t="s">
        <v>237</v>
      </c>
      <c r="G7" s="16" t="s">
        <v>236</v>
      </c>
    </row>
    <row r="8" spans="2:7" x14ac:dyDescent="0.3">
      <c r="B8" s="10">
        <v>244</v>
      </c>
      <c r="C8" s="10">
        <v>605</v>
      </c>
      <c r="D8" s="10">
        <v>596</v>
      </c>
      <c r="E8" s="10">
        <v>116</v>
      </c>
      <c r="F8" s="10">
        <v>970</v>
      </c>
      <c r="G8" s="10">
        <v>170</v>
      </c>
    </row>
    <row r="9" spans="2:7" x14ac:dyDescent="0.3">
      <c r="B9" s="10">
        <v>589</v>
      </c>
      <c r="C9" s="10">
        <v>385</v>
      </c>
      <c r="D9" s="10">
        <v>959</v>
      </c>
      <c r="E9" s="10">
        <v>778</v>
      </c>
      <c r="F9" s="10">
        <v>1067</v>
      </c>
      <c r="G9" s="10">
        <v>419</v>
      </c>
    </row>
    <row r="10" spans="2:7" x14ac:dyDescent="0.3">
      <c r="B10" s="10">
        <v>565</v>
      </c>
      <c r="C10" s="10">
        <v>929</v>
      </c>
      <c r="D10" s="10">
        <v>685</v>
      </c>
      <c r="E10" s="10">
        <v>606</v>
      </c>
      <c r="F10" s="10">
        <v>497</v>
      </c>
      <c r="G10" s="10">
        <v>591</v>
      </c>
    </row>
    <row r="11" spans="2:7" x14ac:dyDescent="0.3">
      <c r="B11" s="10">
        <v>704</v>
      </c>
      <c r="C11" s="10">
        <v>355</v>
      </c>
      <c r="D11" s="10">
        <v>1114</v>
      </c>
      <c r="E11" s="10">
        <v>686</v>
      </c>
      <c r="F11" s="10">
        <v>678</v>
      </c>
      <c r="G11" s="10">
        <v>1121</v>
      </c>
    </row>
    <row r="12" spans="2:7" x14ac:dyDescent="0.3">
      <c r="B12" s="10">
        <v>1118</v>
      </c>
      <c r="C12" s="10">
        <v>1023</v>
      </c>
      <c r="D12" s="10">
        <v>733</v>
      </c>
      <c r="E12" s="10">
        <v>998</v>
      </c>
      <c r="F12" s="10">
        <v>174</v>
      </c>
      <c r="G12" s="10">
        <v>123</v>
      </c>
    </row>
    <row r="13" spans="2:7" x14ac:dyDescent="0.3">
      <c r="B13" s="10">
        <v>1045</v>
      </c>
      <c r="C13" s="10">
        <v>1162</v>
      </c>
      <c r="D13" s="10">
        <v>819</v>
      </c>
      <c r="E13" s="10">
        <v>877</v>
      </c>
      <c r="F13" s="10">
        <v>945</v>
      </c>
      <c r="G13" s="10">
        <v>1106</v>
      </c>
    </row>
    <row r="14" spans="2:7" x14ac:dyDescent="0.3">
      <c r="B14" s="10">
        <v>681</v>
      </c>
      <c r="C14" s="10">
        <v>121</v>
      </c>
      <c r="D14" s="10">
        <v>652</v>
      </c>
      <c r="E14" s="10">
        <v>993</v>
      </c>
      <c r="F14" s="10">
        <v>214</v>
      </c>
      <c r="G14" s="10">
        <v>448</v>
      </c>
    </row>
    <row r="15" spans="2:7" x14ac:dyDescent="0.3">
      <c r="B15" s="10">
        <v>666</v>
      </c>
      <c r="C15" s="10">
        <v>627</v>
      </c>
      <c r="D15" s="10">
        <v>1188</v>
      </c>
      <c r="E15" s="10">
        <v>817</v>
      </c>
      <c r="F15" s="10">
        <v>530</v>
      </c>
      <c r="G15" s="10">
        <v>344</v>
      </c>
    </row>
    <row r="16" spans="2:7" x14ac:dyDescent="0.3">
      <c r="B16" s="10">
        <v>1030</v>
      </c>
      <c r="C16" s="10">
        <v>121</v>
      </c>
      <c r="D16" s="10">
        <v>384</v>
      </c>
      <c r="E16" s="10">
        <v>965</v>
      </c>
      <c r="F16" s="10">
        <v>734</v>
      </c>
      <c r="G16" s="10">
        <v>1188</v>
      </c>
    </row>
    <row r="17" spans="2:7" x14ac:dyDescent="0.3">
      <c r="B17" s="10">
        <v>645</v>
      </c>
      <c r="C17" s="10">
        <v>773</v>
      </c>
      <c r="D17" s="10">
        <v>115</v>
      </c>
      <c r="E17" s="10">
        <v>362</v>
      </c>
      <c r="F17" s="10">
        <v>804</v>
      </c>
      <c r="G17" s="10">
        <v>730</v>
      </c>
    </row>
    <row r="18" spans="2:7" x14ac:dyDescent="0.3">
      <c r="B18" s="10">
        <v>697</v>
      </c>
      <c r="C18" s="10">
        <v>300</v>
      </c>
      <c r="D18" s="10">
        <v>866</v>
      </c>
      <c r="E18" s="10">
        <v>377</v>
      </c>
      <c r="F18" s="10">
        <v>1184</v>
      </c>
      <c r="G18" s="10">
        <v>789</v>
      </c>
    </row>
  </sheetData>
  <mergeCells count="1">
    <mergeCell ref="B2:G3"/>
  </mergeCells>
  <conditionalFormatting sqref="B8:G18">
    <cfRule type="expression" dxfId="2" priority="1">
      <formula>B$7=$C$5</formula>
    </cfRule>
    <cfRule type="expression" dxfId="1" priority="2">
      <formula>$B$7=$C$5</formula>
    </cfRule>
  </conditionalFormatting>
  <dataValidations count="1">
    <dataValidation type="list" allowBlank="1" showInputMessage="1" showErrorMessage="1" sqref="C5" xr:uid="{8B8E9358-5619-47CE-B9B5-2BFE800C1921}">
      <formula1>$B$7:$G$7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EDE6C-5D30-4CA6-AE3F-B79EB7AA12F2}">
  <dimension ref="B2:H18"/>
  <sheetViews>
    <sheetView workbookViewId="0">
      <selection activeCell="F11" sqref="F11"/>
    </sheetView>
  </sheetViews>
  <sheetFormatPr defaultColWidth="14.44140625" defaultRowHeight="14.4" x14ac:dyDescent="0.3"/>
  <cols>
    <col min="1" max="1" width="8.6640625" customWidth="1"/>
    <col min="2" max="3" width="21.6640625" customWidth="1"/>
    <col min="4" max="5" width="8.6640625" customWidth="1"/>
    <col min="6" max="6" width="17.88671875" bestFit="1" customWidth="1"/>
    <col min="7" max="26" width="8.6640625" customWidth="1"/>
  </cols>
  <sheetData>
    <row r="2" spans="2:8" ht="14.4" customHeight="1" x14ac:dyDescent="0.3">
      <c r="B2" s="221" t="s">
        <v>247</v>
      </c>
      <c r="C2" s="222"/>
    </row>
    <row r="3" spans="2:8" x14ac:dyDescent="0.3">
      <c r="B3" s="223"/>
      <c r="C3" s="224"/>
    </row>
    <row r="5" spans="2:8" ht="24.6" customHeight="1" x14ac:dyDescent="0.35">
      <c r="B5" s="69" t="s">
        <v>246</v>
      </c>
      <c r="C5" s="69" t="s">
        <v>245</v>
      </c>
      <c r="F5" s="68"/>
      <c r="G5" s="67"/>
      <c r="H5" s="67"/>
    </row>
    <row r="6" spans="2:8" ht="15.6" customHeight="1" x14ac:dyDescent="0.3">
      <c r="B6" s="66">
        <v>20051220</v>
      </c>
      <c r="C6" s="65">
        <f t="shared" ref="C6:C14" si="0">DATE(LEFT(B6,4),MID(B6,5,2),RIGHT(B6,2))</f>
        <v>38706</v>
      </c>
    </row>
    <row r="7" spans="2:8" ht="15.6" customHeight="1" x14ac:dyDescent="0.3">
      <c r="B7" s="66">
        <v>20061202</v>
      </c>
      <c r="C7" s="65">
        <f t="shared" si="0"/>
        <v>39053</v>
      </c>
    </row>
    <row r="8" spans="2:8" ht="15.6" customHeight="1" x14ac:dyDescent="0.3">
      <c r="B8" s="66">
        <v>20070112</v>
      </c>
      <c r="C8" s="65">
        <f t="shared" si="0"/>
        <v>39094</v>
      </c>
    </row>
    <row r="9" spans="2:8" ht="15.6" customHeight="1" x14ac:dyDescent="0.3">
      <c r="B9" s="66">
        <v>20070519</v>
      </c>
      <c r="C9" s="65">
        <f t="shared" si="0"/>
        <v>39221</v>
      </c>
    </row>
    <row r="10" spans="2:8" ht="15.6" customHeight="1" x14ac:dyDescent="0.3">
      <c r="B10" s="66">
        <v>20070523</v>
      </c>
      <c r="C10" s="65">
        <f t="shared" si="0"/>
        <v>39225</v>
      </c>
    </row>
    <row r="11" spans="2:8" ht="15.6" customHeight="1" x14ac:dyDescent="0.3">
      <c r="B11" s="66">
        <v>20070623</v>
      </c>
      <c r="C11" s="65">
        <f t="shared" si="0"/>
        <v>39256</v>
      </c>
    </row>
    <row r="12" spans="2:8" ht="15.6" customHeight="1" x14ac:dyDescent="0.3">
      <c r="B12" s="66">
        <v>20070624</v>
      </c>
      <c r="C12" s="65">
        <f t="shared" si="0"/>
        <v>39257</v>
      </c>
    </row>
    <row r="13" spans="2:8" ht="15.6" customHeight="1" x14ac:dyDescent="0.3">
      <c r="B13" s="66">
        <v>20071017</v>
      </c>
      <c r="C13" s="65">
        <f t="shared" si="0"/>
        <v>39372</v>
      </c>
    </row>
    <row r="14" spans="2:8" ht="15.6" customHeight="1" x14ac:dyDescent="0.3">
      <c r="B14" s="66">
        <v>20080419</v>
      </c>
      <c r="C14" s="65">
        <f t="shared" si="0"/>
        <v>39557</v>
      </c>
    </row>
    <row r="18" spans="2:2" x14ac:dyDescent="0.3">
      <c r="B18" s="64" t="s">
        <v>244</v>
      </c>
    </row>
  </sheetData>
  <mergeCells count="1">
    <mergeCell ref="B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30</vt:i4>
      </vt:variant>
    </vt:vector>
  </HeadingPairs>
  <TitlesOfParts>
    <vt:vector size="61" baseType="lpstr">
      <vt:lpstr>AS1-Arithmatic Functions</vt:lpstr>
      <vt:lpstr>AS1-Operators</vt:lpstr>
      <vt:lpstr>AS2-Averageif</vt:lpstr>
      <vt:lpstr>AS2-Minif &amp; Maxif</vt:lpstr>
      <vt:lpstr>AS3-Formating1</vt:lpstr>
      <vt:lpstr>AS3-Formating2</vt:lpstr>
      <vt:lpstr>AS3-Formating3</vt:lpstr>
      <vt:lpstr>AS3-Formating4</vt:lpstr>
      <vt:lpstr>AS4-Date1</vt:lpstr>
      <vt:lpstr>AS4-Date2</vt:lpstr>
      <vt:lpstr>AS5-Filter</vt:lpstr>
      <vt:lpstr>AS5-Q1_Filter</vt:lpstr>
      <vt:lpstr>AS5-Q2_Filter</vt:lpstr>
      <vt:lpstr>AS6-IF AND OR nested</vt:lpstr>
      <vt:lpstr>AS7-Index Match 1</vt:lpstr>
      <vt:lpstr>AS7-Index Match 2</vt:lpstr>
      <vt:lpstr>AS8-Sort</vt:lpstr>
      <vt:lpstr>AS8-Segment_Country_Profit_Sort</vt:lpstr>
      <vt:lpstr>AS9-Text Functions</vt:lpstr>
      <vt:lpstr>AS10-VLOOKUP</vt:lpstr>
      <vt:lpstr>AS10-Master Emp Sheet</vt:lpstr>
      <vt:lpstr>AS10-Source</vt:lpstr>
      <vt:lpstr>AS11-Charts1</vt:lpstr>
      <vt:lpstr>AS11-Charts2</vt:lpstr>
      <vt:lpstr>AS11-Charts3</vt:lpstr>
      <vt:lpstr>AS11-Charts4</vt:lpstr>
      <vt:lpstr>AS11-Charts5</vt:lpstr>
      <vt:lpstr>AS12-DataValidation</vt:lpstr>
      <vt:lpstr>AS13-Tax Invoice</vt:lpstr>
      <vt:lpstr>AS13-Product</vt:lpstr>
      <vt:lpstr>AS13-Customers</vt:lpstr>
      <vt:lpstr>Basic_Salary</vt:lpstr>
      <vt:lpstr>Birthdate</vt:lpstr>
      <vt:lpstr>C_Code</vt:lpstr>
      <vt:lpstr>CustList</vt:lpstr>
      <vt:lpstr>Customer</vt:lpstr>
      <vt:lpstr>CustomerList</vt:lpstr>
      <vt:lpstr>Department</vt:lpstr>
      <vt:lpstr>East</vt:lpstr>
      <vt:lpstr>EastAreas</vt:lpstr>
      <vt:lpstr>FirstName</vt:lpstr>
      <vt:lpstr>Gender</vt:lpstr>
      <vt:lpstr>Grade</vt:lpstr>
      <vt:lpstr>Grades</vt:lpstr>
      <vt:lpstr>Head</vt:lpstr>
      <vt:lpstr>LastName</vt:lpstr>
      <vt:lpstr>M_Status</vt:lpstr>
      <vt:lpstr>Mname</vt:lpstr>
      <vt:lpstr>North</vt:lpstr>
      <vt:lpstr>NorthAreas</vt:lpstr>
      <vt:lpstr>Product</vt:lpstr>
      <vt:lpstr>ProList</vt:lpstr>
      <vt:lpstr>Region</vt:lpstr>
      <vt:lpstr>Score</vt:lpstr>
      <vt:lpstr>Score1</vt:lpstr>
      <vt:lpstr>Scores</vt:lpstr>
      <vt:lpstr>source_data</vt:lpstr>
      <vt:lpstr>South</vt:lpstr>
      <vt:lpstr>SouthAreas</vt:lpstr>
      <vt:lpstr>West</vt:lpstr>
      <vt:lpstr>WestAreas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Shanu Halli</dc:creator>
  <cp:lastModifiedBy>C Sumana</cp:lastModifiedBy>
  <dcterms:created xsi:type="dcterms:W3CDTF">2015-06-05T18:17:20Z</dcterms:created>
  <dcterms:modified xsi:type="dcterms:W3CDTF">2025-07-26T09:27:50Z</dcterms:modified>
</cp:coreProperties>
</file>