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9b3f07ed378e7d1c/Documents/"/>
    </mc:Choice>
  </mc:AlternateContent>
  <xr:revisionPtr revIDLastSave="612" documentId="8_{EE18E16B-9A5B-4F1C-AAFF-5A02263B231A}" xr6:coauthVersionLast="47" xr6:coauthVersionMax="47" xr10:uidLastSave="{39F79DD4-6EEC-44BC-B8C7-6DF9384842F5}"/>
  <bookViews>
    <workbookView xWindow="-108" yWindow="-108" windowWidth="23256" windowHeight="12456" firstSheet="2" activeTab="4" xr2:uid="{40686B91-5B0E-45B5-8D3B-9AACF5EFA4DF}"/>
  </bookViews>
  <sheets>
    <sheet name="GST Bradford assay" sheetId="2" r:id="rId1"/>
    <sheet name="GST ELISA assay" sheetId="1" r:id="rId2"/>
    <sheet name="GST enzyme activity assay" sheetId="3" r:id="rId3"/>
    <sheet name="GST inhibitors" sheetId="5" r:id="rId4"/>
    <sheet name="Substrate kinetic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6" i="4" l="1"/>
  <c r="A105" i="4"/>
  <c r="B104" i="4"/>
  <c r="A103" i="4"/>
  <c r="B102" i="4"/>
  <c r="A101" i="4"/>
  <c r="B100" i="4"/>
  <c r="A99" i="4"/>
  <c r="B98" i="4"/>
  <c r="A97" i="4"/>
  <c r="B94" i="4"/>
  <c r="B93" i="4"/>
  <c r="B92" i="4"/>
  <c r="B91" i="4"/>
  <c r="B90" i="4"/>
  <c r="A91" i="4"/>
  <c r="A92" i="4"/>
  <c r="A93" i="4"/>
  <c r="A94" i="4"/>
  <c r="A90" i="4"/>
  <c r="D86" i="4"/>
  <c r="C86" i="4"/>
  <c r="B86" i="4"/>
  <c r="A86" i="4"/>
  <c r="B80" i="4"/>
  <c r="B81" i="4"/>
  <c r="B82" i="4"/>
  <c r="B83" i="4"/>
  <c r="B79" i="4"/>
  <c r="A80" i="4"/>
  <c r="A81" i="4"/>
  <c r="A82" i="4"/>
  <c r="A83" i="4"/>
  <c r="A79" i="4"/>
  <c r="D75" i="4"/>
  <c r="B75" i="4"/>
  <c r="B69" i="4"/>
  <c r="B70" i="4"/>
  <c r="B71" i="4"/>
  <c r="B72" i="4"/>
  <c r="B68" i="4"/>
  <c r="A69" i="4"/>
  <c r="A70" i="4"/>
  <c r="A71" i="4"/>
  <c r="A72" i="4"/>
  <c r="A68" i="4"/>
  <c r="D63" i="4"/>
  <c r="B63" i="4"/>
  <c r="A63" i="4"/>
  <c r="B57" i="4"/>
  <c r="B58" i="4"/>
  <c r="B59" i="4"/>
  <c r="B60" i="4"/>
  <c r="A57" i="4"/>
  <c r="A58" i="4"/>
  <c r="A59" i="4"/>
  <c r="A60" i="4"/>
  <c r="B56" i="4"/>
  <c r="A56" i="4"/>
  <c r="D51" i="4"/>
  <c r="D50" i="4"/>
  <c r="D49" i="4"/>
  <c r="D48" i="4"/>
  <c r="D47" i="4"/>
  <c r="C51" i="4"/>
  <c r="C50" i="4"/>
  <c r="C49" i="4"/>
  <c r="C48" i="4"/>
  <c r="C47" i="4"/>
  <c r="C31" i="4"/>
  <c r="D31" i="4"/>
  <c r="E31" i="4"/>
  <c r="F31" i="4"/>
  <c r="B31" i="4"/>
  <c r="B48" i="4"/>
  <c r="B49" i="4"/>
  <c r="B50" i="4"/>
  <c r="B51" i="4"/>
  <c r="B47" i="4"/>
  <c r="B39" i="4"/>
  <c r="B40" i="4" s="1"/>
  <c r="C26" i="4"/>
  <c r="C30" i="4" s="1"/>
  <c r="C35" i="4" s="1"/>
  <c r="C36" i="4" s="1"/>
  <c r="C43" i="4" s="1"/>
  <c r="D26" i="4"/>
  <c r="D30" i="4" s="1"/>
  <c r="D35" i="4" s="1"/>
  <c r="D36" i="4" s="1"/>
  <c r="D43" i="4" s="1"/>
  <c r="E26" i="4"/>
  <c r="E30" i="4" s="1"/>
  <c r="E35" i="4" s="1"/>
  <c r="E36" i="4" s="1"/>
  <c r="F26" i="4"/>
  <c r="F30" i="4" s="1"/>
  <c r="F35" i="4" s="1"/>
  <c r="F36" i="4" s="1"/>
  <c r="B26" i="4"/>
  <c r="B30" i="4" s="1"/>
  <c r="B35" i="4" s="1"/>
  <c r="B36" i="4" s="1"/>
  <c r="D42" i="5"/>
  <c r="C42" i="5"/>
  <c r="B42" i="5"/>
  <c r="B41" i="5"/>
  <c r="C36" i="5"/>
  <c r="D36" i="5"/>
  <c r="B36" i="5"/>
  <c r="C35" i="5"/>
  <c r="D35" i="5"/>
  <c r="B35" i="5"/>
  <c r="C34" i="5"/>
  <c r="D34" i="5"/>
  <c r="B34" i="5"/>
  <c r="D33" i="5"/>
  <c r="C33" i="5"/>
  <c r="B33" i="5"/>
  <c r="D20" i="5"/>
  <c r="D21" i="5"/>
  <c r="D22" i="5"/>
  <c r="D23" i="5"/>
  <c r="D24" i="5"/>
  <c r="D25" i="5"/>
  <c r="D26" i="5"/>
  <c r="D27" i="5"/>
  <c r="D28" i="5"/>
  <c r="D29" i="5"/>
  <c r="D19" i="5"/>
  <c r="C20" i="5"/>
  <c r="C21" i="5"/>
  <c r="C22" i="5"/>
  <c r="C23" i="5"/>
  <c r="C24" i="5"/>
  <c r="C25" i="5"/>
  <c r="C26" i="5"/>
  <c r="C27" i="5"/>
  <c r="C28" i="5"/>
  <c r="C29" i="5"/>
  <c r="C19" i="5"/>
  <c r="B20" i="5"/>
  <c r="B21" i="5"/>
  <c r="B22" i="5"/>
  <c r="B23" i="5"/>
  <c r="B24" i="5"/>
  <c r="B25" i="5"/>
  <c r="B26" i="5"/>
  <c r="B27" i="5"/>
  <c r="B28" i="5"/>
  <c r="B29" i="5"/>
  <c r="B19" i="5"/>
  <c r="J6" i="5"/>
  <c r="J7" i="5"/>
  <c r="J8" i="5"/>
  <c r="J9" i="5"/>
  <c r="J10" i="5"/>
  <c r="J11" i="5"/>
  <c r="J12" i="5"/>
  <c r="J13" i="5"/>
  <c r="J14" i="5"/>
  <c r="J15" i="5"/>
  <c r="J5" i="5"/>
  <c r="G6" i="5"/>
  <c r="G7" i="5"/>
  <c r="G8" i="5"/>
  <c r="G9" i="5"/>
  <c r="G10" i="5"/>
  <c r="G11" i="5"/>
  <c r="G12" i="5"/>
  <c r="G13" i="5"/>
  <c r="G14" i="5"/>
  <c r="G15" i="5"/>
  <c r="G5" i="5"/>
  <c r="D6" i="5"/>
  <c r="D7" i="5"/>
  <c r="D8" i="5"/>
  <c r="D9" i="5"/>
  <c r="D10" i="5"/>
  <c r="D11" i="5"/>
  <c r="D12" i="5"/>
  <c r="D13" i="5"/>
  <c r="D14" i="5"/>
  <c r="D15" i="5"/>
  <c r="D5" i="5"/>
  <c r="C12" i="1"/>
  <c r="D12" i="1"/>
  <c r="E12" i="1"/>
  <c r="B12" i="1"/>
  <c r="C11" i="1"/>
  <c r="D11" i="1"/>
  <c r="E11" i="1"/>
  <c r="B11" i="1"/>
  <c r="B33" i="3"/>
  <c r="B32" i="3"/>
  <c r="A25" i="3"/>
  <c r="A23" i="3"/>
  <c r="A21" i="3"/>
  <c r="A19" i="3"/>
  <c r="D6" i="3"/>
  <c r="D7" i="3"/>
  <c r="D8" i="3"/>
  <c r="D9" i="3"/>
  <c r="D10" i="3"/>
  <c r="D11" i="3"/>
  <c r="D12" i="3"/>
  <c r="D13" i="3"/>
  <c r="D14" i="3"/>
  <c r="D15" i="3"/>
  <c r="D5" i="3"/>
  <c r="C6" i="3"/>
  <c r="C7" i="3"/>
  <c r="C8" i="3"/>
  <c r="C9" i="3"/>
  <c r="C10" i="3"/>
  <c r="C11" i="3"/>
  <c r="C12" i="3"/>
  <c r="C13" i="3"/>
  <c r="C14" i="3"/>
  <c r="C15" i="3"/>
  <c r="C5" i="3"/>
  <c r="A11" i="3"/>
  <c r="A12" i="3"/>
  <c r="A13" i="3" s="1"/>
  <c r="A14" i="3" s="1"/>
  <c r="A15" i="3" s="1"/>
  <c r="A10" i="3"/>
  <c r="E20" i="2"/>
  <c r="E24" i="2"/>
  <c r="F22" i="2"/>
  <c r="F20" i="2"/>
  <c r="E25" i="2" s="1"/>
  <c r="E26" i="2" s="1"/>
  <c r="E27" i="2" s="1"/>
  <c r="B27" i="2"/>
  <c r="B26" i="2"/>
  <c r="B25" i="2"/>
  <c r="B24" i="2"/>
  <c r="C22" i="2"/>
  <c r="C20" i="2"/>
  <c r="C12" i="2"/>
  <c r="C13" i="2"/>
  <c r="F43" i="4" l="1"/>
  <c r="B43" i="4"/>
  <c r="E43" i="4"/>
</calcChain>
</file>

<file path=xl/sharedStrings.xml><?xml version="1.0" encoding="utf-8"?>
<sst xmlns="http://schemas.openxmlformats.org/spreadsheetml/2006/main" count="201" uniqueCount="151">
  <si>
    <t>raw data</t>
  </si>
  <si>
    <t>cuvette no.</t>
  </si>
  <si>
    <t>absorbance at 595 nm</t>
  </si>
  <si>
    <t>c (mg/ml)</t>
  </si>
  <si>
    <t>7=blank</t>
  </si>
  <si>
    <t>A</t>
  </si>
  <si>
    <t>B</t>
  </si>
  <si>
    <t>more concentrated protein = more absorbance</t>
  </si>
  <si>
    <t>working out unknowns</t>
  </si>
  <si>
    <t>absorbance</t>
  </si>
  <si>
    <t>c(mg/ml)</t>
  </si>
  <si>
    <t>Converting GST concentration to microMolar</t>
  </si>
  <si>
    <t>mass</t>
  </si>
  <si>
    <t>mg</t>
  </si>
  <si>
    <t>g</t>
  </si>
  <si>
    <t>volume</t>
  </si>
  <si>
    <t>ml</t>
  </si>
  <si>
    <t>L</t>
  </si>
  <si>
    <t>Molecular W</t>
  </si>
  <si>
    <t>g/mol</t>
  </si>
  <si>
    <t>Moles (m/Mw)</t>
  </si>
  <si>
    <t>Molar conc = moles/volume</t>
  </si>
  <si>
    <t>Micromolar conc</t>
  </si>
  <si>
    <t>Principle of Bradford Assay</t>
  </si>
  <si>
    <t>Sources of inaccuracy</t>
  </si>
  <si>
    <t>Other methods to determine protein concentration</t>
  </si>
  <si>
    <t xml:space="preserve">The Bradford dye is acidic -- does not work for measuring proteins that precipitate in acid. The amount of dye that binds can vary based on the amino acid composition of the protein - in particular, dye Coomassie brilliant blue has a high affinity for basic amino acids - arginine, lysine, tyrosine, histidine. MIght not be same amount in BSA as in GST structure. Additionally, only sensitive down to 20 micrograms of protein per ml. </t>
  </si>
  <si>
    <t>Reference: Wilson &amp; Walker; de Moreno MR, Smith JF, Smith RV. Mechanism studies of coomassie blue and silver staining of proteins. J Pharm Sci. 1986 Sep;75(9):907-11. doi: 10.1002/jps.2600750919. PMID: 2431134.</t>
  </si>
  <si>
    <t>This is a colorimetric assay. Coomassie brilliant blue dye binds to amino acids in protein. The intensity of the blue (which can measured using a spectrophotometer) corresponds to the protein concentration in a sample.</t>
  </si>
  <si>
    <t>GST enzyme activity assay</t>
  </si>
  <si>
    <t>use Beer lambert</t>
  </si>
  <si>
    <t>Absorbance at 340 nm</t>
  </si>
  <si>
    <t>Time (seconds)</t>
  </si>
  <si>
    <t>C</t>
  </si>
  <si>
    <t>E</t>
  </si>
  <si>
    <t>C (microMolar)</t>
  </si>
  <si>
    <t>C=A/EL</t>
  </si>
  <si>
    <t>reaction volume = 1ml = 0.01L</t>
  </si>
  <si>
    <t>Change in absorbance per first minute:</t>
  </si>
  <si>
    <t>Change in concentration per first minute:</t>
  </si>
  <si>
    <t>Change in concentration in microM:</t>
  </si>
  <si>
    <t>Change in micromoles:</t>
  </si>
  <si>
    <t>micromol</t>
  </si>
  <si>
    <t>micromol/L</t>
  </si>
  <si>
    <t>product formed per minute</t>
  </si>
  <si>
    <t>enzyme activity</t>
  </si>
  <si>
    <t>(micromol/min)</t>
  </si>
  <si>
    <t xml:space="preserve">specific activty </t>
  </si>
  <si>
    <r>
      <t>added 10 microliters of 0.5 mg/ml GST molecular weight is 27 X10</t>
    </r>
    <r>
      <rPr>
        <vertAlign val="superscript"/>
        <sz val="11"/>
        <color theme="1"/>
        <rFont val="Calibri"/>
        <family val="2"/>
        <scheme val="minor"/>
      </rPr>
      <t>3</t>
    </r>
    <r>
      <rPr>
        <sz val="11"/>
        <color theme="1"/>
        <rFont val="Calibri"/>
        <family val="2"/>
        <scheme val="minor"/>
      </rPr>
      <t xml:space="preserve"> g/mol</t>
    </r>
  </si>
  <si>
    <t>U/mg</t>
  </si>
  <si>
    <t>enzyme added in ml</t>
  </si>
  <si>
    <t>0.002875 U</t>
  </si>
  <si>
    <t>enzyme added in grams</t>
  </si>
  <si>
    <t>In the literature:</t>
  </si>
  <si>
    <t>ABD1</t>
  </si>
  <si>
    <t>ABD2</t>
  </si>
  <si>
    <t>ABD3</t>
  </si>
  <si>
    <t>antibody dilution 1</t>
  </si>
  <si>
    <t>antibody dilution 2</t>
  </si>
  <si>
    <t>antibody dilution 3</t>
  </si>
  <si>
    <t>antibody</t>
  </si>
  <si>
    <t xml:space="preserve">solution </t>
  </si>
  <si>
    <t>Average</t>
  </si>
  <si>
    <t>GST ELISA</t>
  </si>
  <si>
    <t>Standard deviation)</t>
  </si>
  <si>
    <t>Negative control (no GST substrate)</t>
  </si>
  <si>
    <t>The more dilute antibodies yielded lower absorbance values. In addition the absorbance values of all three antibody dilutions in well sthat contained GST were higher than the absorbance values in the wells that contained no GST. This suggests that the absorbance signals were as a result of the recognition of GST immobilised on the plate by anti-GST primary antibody.</t>
  </si>
  <si>
    <t>alternative ways of using anti-GST antibodies to detect GST = western blotting, sandwich ELISA</t>
  </si>
  <si>
    <t>Practical 4 data</t>
  </si>
  <si>
    <t>uninhibited</t>
  </si>
  <si>
    <t>inhibitor A</t>
  </si>
  <si>
    <t>inhibitor B</t>
  </si>
  <si>
    <t>Time (s)</t>
  </si>
  <si>
    <t xml:space="preserve">ave un </t>
  </si>
  <si>
    <t>ave A</t>
  </si>
  <si>
    <t>ave B</t>
  </si>
  <si>
    <t xml:space="preserve">Time </t>
  </si>
  <si>
    <t>concentration</t>
  </si>
  <si>
    <t>UN</t>
  </si>
  <si>
    <t>A=ECL</t>
  </si>
  <si>
    <t>Calculation of enzyme activity</t>
  </si>
  <si>
    <r>
      <t xml:space="preserve">linear </t>
    </r>
    <r>
      <rPr>
        <sz val="11"/>
        <color theme="1"/>
        <rFont val="Symbol"/>
        <family val="1"/>
        <charset val="2"/>
      </rPr>
      <t>D</t>
    </r>
    <r>
      <rPr>
        <sz val="11"/>
        <color theme="1"/>
        <rFont val="Calibri"/>
        <family val="2"/>
        <scheme val="minor"/>
      </rPr>
      <t>C</t>
    </r>
  </si>
  <si>
    <t xml:space="preserve">micromol </t>
  </si>
  <si>
    <t>(rxn vol = 1000 microliters)</t>
  </si>
  <si>
    <t>enzyme activity (micromol/min)</t>
  </si>
  <si>
    <t>specific activity</t>
  </si>
  <si>
    <t>GST added</t>
  </si>
  <si>
    <t>10 microL</t>
  </si>
  <si>
    <t>conc</t>
  </si>
  <si>
    <t>0.5mg/ml</t>
  </si>
  <si>
    <t>mg added</t>
  </si>
  <si>
    <t>u/mg</t>
  </si>
  <si>
    <t xml:space="preserve"> </t>
  </si>
  <si>
    <t>practical2</t>
  </si>
  <si>
    <t>practical 5</t>
  </si>
  <si>
    <t>Need to obtain Vmax, Km, Kcat, Kcat/Km</t>
  </si>
  <si>
    <t>2. determine initial velocity (linear slope)</t>
  </si>
  <si>
    <t>1. progress curve absorbance vs time</t>
  </si>
  <si>
    <t>3. michaelis menten - estimate vmax, km</t>
  </si>
  <si>
    <t xml:space="preserve">4. LB, Hanes Woolf, Direct linear, </t>
  </si>
  <si>
    <t>1. Draw the progress curve for each substrate concentration</t>
  </si>
  <si>
    <t>1 mM</t>
  </si>
  <si>
    <t>0.5 mM</t>
  </si>
  <si>
    <t>0.25 mM</t>
  </si>
  <si>
    <t>0.125 mM</t>
  </si>
  <si>
    <t>0.0625 mM</t>
  </si>
  <si>
    <t>Absorbance for each substrate concentration</t>
  </si>
  <si>
    <t>2. Initial velocities for each substrate concentration</t>
  </si>
  <si>
    <t>Vi</t>
  </si>
  <si>
    <r>
      <t>(</t>
    </r>
    <r>
      <rPr>
        <sz val="11"/>
        <color theme="1"/>
        <rFont val="Symbol"/>
        <family val="1"/>
        <charset val="2"/>
      </rPr>
      <t>D</t>
    </r>
    <r>
      <rPr>
        <sz val="11"/>
        <color theme="1"/>
        <rFont val="Calibri"/>
        <family val="2"/>
        <scheme val="minor"/>
      </rPr>
      <t>abs/min)</t>
    </r>
  </si>
  <si>
    <t>convert abs into concentration</t>
  </si>
  <si>
    <t>A= ECL C=A/EL</t>
  </si>
  <si>
    <r>
      <t>Vi (</t>
    </r>
    <r>
      <rPr>
        <sz val="11"/>
        <color theme="1"/>
        <rFont val="Symbol"/>
        <family val="1"/>
        <charset val="2"/>
      </rPr>
      <t>D</t>
    </r>
    <r>
      <rPr>
        <sz val="11"/>
        <color theme="1"/>
        <rFont val="Calibri"/>
        <family val="2"/>
        <scheme val="minor"/>
      </rPr>
      <t>M/min)</t>
    </r>
  </si>
  <si>
    <t xml:space="preserve">convert concentration into product amount (mol) </t>
  </si>
  <si>
    <t>total rxn vol</t>
  </si>
  <si>
    <t>1mL</t>
  </si>
  <si>
    <t>n=c.v</t>
  </si>
  <si>
    <r>
      <rPr>
        <sz val="11"/>
        <color theme="1"/>
        <rFont val="Symbol"/>
        <family val="1"/>
        <charset val="2"/>
      </rPr>
      <t>D</t>
    </r>
    <r>
      <rPr>
        <sz val="11"/>
        <color theme="1"/>
        <rFont val="Calibri"/>
        <family val="2"/>
        <scheme val="minor"/>
      </rPr>
      <t>n (mols)/min</t>
    </r>
  </si>
  <si>
    <r>
      <rPr>
        <sz val="11"/>
        <color theme="1"/>
        <rFont val="Symbol"/>
        <family val="1"/>
        <charset val="2"/>
      </rPr>
      <t>D</t>
    </r>
    <r>
      <rPr>
        <sz val="11"/>
        <color theme="1"/>
        <rFont val="Calibri"/>
        <family val="2"/>
        <scheme val="minor"/>
      </rPr>
      <t>n (micromols)/min</t>
    </r>
  </si>
  <si>
    <t>&lt;-- enzyme activity</t>
  </si>
  <si>
    <r>
      <t xml:space="preserve">10 </t>
    </r>
    <r>
      <rPr>
        <sz val="11"/>
        <color theme="1"/>
        <rFont val="Symbol"/>
        <family val="1"/>
        <charset val="2"/>
      </rPr>
      <t>m</t>
    </r>
    <r>
      <rPr>
        <sz val="11"/>
        <color theme="1"/>
        <rFont val="Calibri"/>
        <family val="2"/>
        <scheme val="minor"/>
      </rPr>
      <t>Lof GST</t>
    </r>
  </si>
  <si>
    <t>mL</t>
  </si>
  <si>
    <t>IC50?</t>
  </si>
  <si>
    <t>3. michaelis menten</t>
  </si>
  <si>
    <t>substrate concentration (mM)</t>
  </si>
  <si>
    <t>Substrate concentration in microM</t>
  </si>
  <si>
    <r>
      <t>Vi(</t>
    </r>
    <r>
      <rPr>
        <sz val="11"/>
        <color theme="1"/>
        <rFont val="Symbol"/>
        <family val="1"/>
        <charset val="2"/>
      </rPr>
      <t>Dm</t>
    </r>
    <r>
      <rPr>
        <sz val="11"/>
        <color theme="1"/>
        <rFont val="Calibri"/>
        <family val="2"/>
        <scheme val="minor"/>
      </rPr>
      <t>mol.L-1.min-1)</t>
    </r>
  </si>
  <si>
    <t>Enzyme activity</t>
  </si>
  <si>
    <t>Lineweaver-Burke</t>
  </si>
  <si>
    <t>1/[S]</t>
  </si>
  <si>
    <t>1/V0</t>
  </si>
  <si>
    <t>Hanes-Woolf</t>
  </si>
  <si>
    <t>x-intercept</t>
  </si>
  <si>
    <t>Km</t>
  </si>
  <si>
    <t>y-int</t>
  </si>
  <si>
    <t>Vmax</t>
  </si>
  <si>
    <t>y = 34.271x + 0.1106</t>
  </si>
  <si>
    <t>Eadie-Hofstee</t>
  </si>
  <si>
    <t>V0</t>
  </si>
  <si>
    <t>V0/[S]</t>
  </si>
  <si>
    <t>vmax</t>
  </si>
  <si>
    <t>slope</t>
  </si>
  <si>
    <t>km</t>
  </si>
  <si>
    <r>
      <t>Vi (</t>
    </r>
    <r>
      <rPr>
        <sz val="11"/>
        <color theme="1"/>
        <rFont val="Symbol"/>
        <family val="1"/>
        <charset val="2"/>
      </rPr>
      <t>m</t>
    </r>
    <r>
      <rPr>
        <sz val="11"/>
        <color theme="1"/>
        <rFont val="Calibri"/>
        <family val="2"/>
        <scheme val="minor"/>
      </rPr>
      <t>mol.L.min)</t>
    </r>
  </si>
  <si>
    <t>[S]</t>
  </si>
  <si>
    <t>[S]/V0</t>
  </si>
  <si>
    <t>x-int</t>
  </si>
  <si>
    <t>Direct-Linear</t>
  </si>
  <si>
    <t>(-[S])</t>
  </si>
  <si>
    <t>x</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</si>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</sst>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0"/>
      <color rgb="FF212121"/>
      <name val="Segoe UI"/>
      <family val="2"/>
    </font>
    <font>
      <vertAlign val="superscript"/>
      <sz val="11"/>
      <color theme="1"/>
      <name val="Calibri"/>
      <family val="2"/>
      <scheme val="minor"/>
    </font>
    <font>
      <sz val="11"/>
      <color theme="1"/>
      <name val="Symbol"/>
      <family val="1"/>
      <charset val="2"/>
    </font>
    <font>
      <sz val="11"/>
      <color theme="1"/>
      <name val="Calibri"/>
      <family val="1"/>
      <charset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0" fillId="0" borderId="0" xfId="0" applyAlignment="1">
      <alignment horizontal="center"/>
    </xf>
    <xf numFmtId="0" fontId="5" fillId="0" borderId="0" xfId="0" applyFont="1"/>
    <xf numFmtId="0" fontId="0" fillId="0" borderId="0" xfId="0" applyAlignment="1">
      <alignment horizontal="center"/>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tx1"/>
              </a:solidFill>
              <a:ln w="9525">
                <a:solidFill>
                  <a:schemeClr val="tx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tx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'GST Bradford assay'!$C$3:$C$8</c:f>
              <c:numCache>
                <c:formatCode>General</c:formatCode>
                <c:ptCount val="6"/>
                <c:pt idx="0">
                  <c:v>1</c:v>
                </c:pt>
                <c:pt idx="1">
                  <c:v>0.8</c:v>
                </c:pt>
                <c:pt idx="2">
                  <c:v>0.6</c:v>
                </c:pt>
                <c:pt idx="3">
                  <c:v>0.4</c:v>
                </c:pt>
                <c:pt idx="4">
                  <c:v>0.2</c:v>
                </c:pt>
                <c:pt idx="5">
                  <c:v>0.1</c:v>
                </c:pt>
              </c:numCache>
            </c:numRef>
          </c:xVal>
          <c:yVal>
            <c:numRef>
              <c:f>'GST Bradford assay'!$D$3:$D$8</c:f>
              <c:numCache>
                <c:formatCode>General</c:formatCode>
                <c:ptCount val="6"/>
                <c:pt idx="0">
                  <c:v>0.94199999999999995</c:v>
                </c:pt>
                <c:pt idx="1">
                  <c:v>0.78800000000000003</c:v>
                </c:pt>
                <c:pt idx="2">
                  <c:v>0.33</c:v>
                </c:pt>
                <c:pt idx="3">
                  <c:v>0.22800000000000001</c:v>
                </c:pt>
                <c:pt idx="4">
                  <c:v>0.115</c:v>
                </c:pt>
                <c:pt idx="5">
                  <c:v>6.4000000000000001E-2</c:v>
                </c:pt>
              </c:numCache>
            </c:numRef>
          </c:yVal>
          <c:smooth val="0"/>
          <c:extLst>
            <c:ext xmlns:c16="http://schemas.microsoft.com/office/drawing/2014/chart" uri="{C3380CC4-5D6E-409C-BE32-E72D297353CC}">
              <c16:uniqueId val="{00000000-48C6-4D48-B94C-5807EE384B43}"/>
            </c:ext>
          </c:extLst>
        </c:ser>
        <c:dLbls>
          <c:showLegendKey val="0"/>
          <c:showVal val="0"/>
          <c:showCatName val="0"/>
          <c:showSerName val="0"/>
          <c:showPercent val="0"/>
          <c:showBubbleSize val="0"/>
        </c:dLbls>
        <c:axId val="1896644383"/>
        <c:axId val="1542974959"/>
      </c:scatterChart>
      <c:valAx>
        <c:axId val="189664438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solidFill>
                      <a:sysClr val="windowText" lastClr="000000"/>
                    </a:solidFill>
                  </a:rPr>
                  <a:t>BSA concentration</a:t>
                </a:r>
                <a:r>
                  <a:rPr lang="en-ZA" baseline="0">
                    <a:solidFill>
                      <a:sysClr val="windowText" lastClr="000000"/>
                    </a:solidFill>
                  </a:rPr>
                  <a:t> (mg/mL)</a:t>
                </a:r>
                <a:endParaRPr lang="en-ZA">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542974959"/>
        <c:crosses val="autoZero"/>
        <c:crossBetween val="midCat"/>
      </c:valAx>
      <c:valAx>
        <c:axId val="1542974959"/>
        <c:scaling>
          <c:orientation val="minMax"/>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ZA">
                    <a:solidFill>
                      <a:sysClr val="windowText" lastClr="000000"/>
                    </a:solidFill>
                  </a:rPr>
                  <a:t>Absorbance</a:t>
                </a:r>
                <a:r>
                  <a:rPr lang="en-ZA" baseline="0">
                    <a:solidFill>
                      <a:sysClr val="windowText" lastClr="000000"/>
                    </a:solidFill>
                  </a:rPr>
                  <a:t> at 595 nm</a:t>
                </a:r>
                <a:endParaRPr lang="en-ZA">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96644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ZA"/>
              <a:t>Direct-Linear</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forward val="2"/>
            <c:dispRSqr val="0"/>
            <c:dispEq val="0"/>
          </c:trendline>
          <c:trendline>
            <c:spPr>
              <a:ln w="19050" cap="rnd">
                <a:solidFill>
                  <a:schemeClr val="accent1"/>
                </a:solidFill>
                <a:prstDash val="sysDot"/>
              </a:ln>
              <a:effectLst/>
            </c:spPr>
            <c:trendlineType val="linear"/>
            <c:forward val="1000"/>
            <c:dispRSqr val="0"/>
            <c:dispEq val="0"/>
          </c:trendline>
          <c:xVal>
            <c:numRef>
              <c:f>'Substrate kinetics'!$A$97:$A$98</c:f>
              <c:numCache>
                <c:formatCode>General</c:formatCode>
                <c:ptCount val="2"/>
                <c:pt idx="0">
                  <c:v>-1000</c:v>
                </c:pt>
                <c:pt idx="1">
                  <c:v>0</c:v>
                </c:pt>
              </c:numCache>
            </c:numRef>
          </c:xVal>
          <c:yVal>
            <c:numRef>
              <c:f>'Substrate kinetics'!$B$97:$B$98</c:f>
              <c:numCache>
                <c:formatCode>General</c:formatCode>
                <c:ptCount val="2"/>
                <c:pt idx="0">
                  <c:v>0</c:v>
                </c:pt>
                <c:pt idx="1">
                  <c:v>12.520833333333336</c:v>
                </c:pt>
              </c:numCache>
            </c:numRef>
          </c:yVal>
          <c:smooth val="0"/>
          <c:extLst>
            <c:ext xmlns:c16="http://schemas.microsoft.com/office/drawing/2014/chart" uri="{C3380CC4-5D6E-409C-BE32-E72D297353CC}">
              <c16:uniqueId val="{00000003-E92A-496C-AC32-DDECAE39757F}"/>
            </c:ext>
          </c:extLst>
        </c:ser>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trendline>
            <c:spPr>
              <a:ln w="19050" cap="rnd">
                <a:solidFill>
                  <a:schemeClr val="accent2"/>
                </a:solidFill>
                <a:prstDash val="sysDot"/>
              </a:ln>
              <a:effectLst/>
            </c:spPr>
            <c:trendlineType val="linear"/>
            <c:forward val="1000"/>
            <c:dispRSqr val="0"/>
            <c:dispEq val="0"/>
          </c:trendline>
          <c:xVal>
            <c:numRef>
              <c:f>'Substrate kinetics'!$A$99:$A$100</c:f>
              <c:numCache>
                <c:formatCode>General</c:formatCode>
                <c:ptCount val="2"/>
                <c:pt idx="0">
                  <c:v>-500</c:v>
                </c:pt>
                <c:pt idx="1">
                  <c:v>0</c:v>
                </c:pt>
              </c:numCache>
            </c:numRef>
          </c:xVal>
          <c:yVal>
            <c:numRef>
              <c:f>'Substrate kinetics'!$B$99:$B$100</c:f>
              <c:numCache>
                <c:formatCode>General</c:formatCode>
                <c:ptCount val="2"/>
                <c:pt idx="0">
                  <c:v>0</c:v>
                </c:pt>
                <c:pt idx="1">
                  <c:v>5.854166666666667</c:v>
                </c:pt>
              </c:numCache>
            </c:numRef>
          </c:yVal>
          <c:smooth val="0"/>
          <c:extLst>
            <c:ext xmlns:c16="http://schemas.microsoft.com/office/drawing/2014/chart" uri="{C3380CC4-5D6E-409C-BE32-E72D297353CC}">
              <c16:uniqueId val="{00000004-E92A-496C-AC32-DDECAE39757F}"/>
            </c:ext>
          </c:extLst>
        </c:ser>
        <c:ser>
          <c:idx val="2"/>
          <c:order val="2"/>
          <c:tx>
            <c:strRef>
              <c:f>'Substrate kinetics'!$A$101:$A$102</c:f>
              <c:strCache>
                <c:ptCount val="2"/>
                <c:pt idx="0">
                  <c:v>-250</c:v>
                </c:pt>
                <c:pt idx="1">
                  <c:v>0</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0"/>
          </c:trendline>
          <c:trendline>
            <c:spPr>
              <a:ln w="19050" cap="rnd">
                <a:solidFill>
                  <a:schemeClr val="accent3"/>
                </a:solidFill>
                <a:prstDash val="sysDot"/>
              </a:ln>
              <a:effectLst/>
            </c:spPr>
            <c:trendlineType val="linear"/>
            <c:forward val="1000"/>
            <c:dispRSqr val="0"/>
            <c:dispEq val="0"/>
          </c:trendline>
          <c:xVal>
            <c:numRef>
              <c:f>'Substrate kinetics'!$A$101:$A$102</c:f>
              <c:numCache>
                <c:formatCode>General</c:formatCode>
                <c:ptCount val="2"/>
                <c:pt idx="0">
                  <c:v>-250</c:v>
                </c:pt>
                <c:pt idx="1">
                  <c:v>0</c:v>
                </c:pt>
              </c:numCache>
            </c:numRef>
          </c:xVal>
          <c:yVal>
            <c:numRef>
              <c:f>'Substrate kinetics'!$B$101:$B$102</c:f>
              <c:numCache>
                <c:formatCode>General</c:formatCode>
                <c:ptCount val="2"/>
                <c:pt idx="0">
                  <c:v>0</c:v>
                </c:pt>
                <c:pt idx="1">
                  <c:v>3.885416666666667</c:v>
                </c:pt>
              </c:numCache>
            </c:numRef>
          </c:yVal>
          <c:smooth val="0"/>
          <c:extLst>
            <c:ext xmlns:c16="http://schemas.microsoft.com/office/drawing/2014/chart" uri="{C3380CC4-5D6E-409C-BE32-E72D297353CC}">
              <c16:uniqueId val="{00000005-E92A-496C-AC32-DDECAE39757F}"/>
            </c:ext>
          </c:extLst>
        </c:ser>
        <c:ser>
          <c:idx val="3"/>
          <c:order val="3"/>
          <c:spPr>
            <a:ln w="25400" cap="rnd">
              <a:noFill/>
              <a:round/>
            </a:ln>
            <a:effectLst/>
          </c:spPr>
          <c:marker>
            <c:symbol val="circle"/>
            <c:size val="5"/>
            <c:spPr>
              <a:solidFill>
                <a:schemeClr val="accent4"/>
              </a:solidFill>
              <a:ln w="9525">
                <a:solidFill>
                  <a:schemeClr val="accent4"/>
                </a:solidFill>
              </a:ln>
              <a:effectLst/>
            </c:spPr>
          </c:marker>
          <c:trendline>
            <c:spPr>
              <a:ln w="19050" cap="rnd">
                <a:solidFill>
                  <a:schemeClr val="accent4"/>
                </a:solidFill>
                <a:prstDash val="sysDot"/>
              </a:ln>
              <a:effectLst/>
            </c:spPr>
            <c:trendlineType val="linear"/>
            <c:dispRSqr val="0"/>
            <c:dispEq val="0"/>
          </c:trendline>
          <c:trendline>
            <c:spPr>
              <a:ln w="19050" cap="rnd">
                <a:solidFill>
                  <a:schemeClr val="accent4"/>
                </a:solidFill>
                <a:prstDash val="sysDot"/>
              </a:ln>
              <a:effectLst/>
            </c:spPr>
            <c:trendlineType val="linear"/>
            <c:forward val="1000"/>
            <c:dispRSqr val="0"/>
            <c:dispEq val="0"/>
          </c:trendline>
          <c:xVal>
            <c:numRef>
              <c:f>'Substrate kinetics'!$A$103:$A$104</c:f>
              <c:numCache>
                <c:formatCode>General</c:formatCode>
                <c:ptCount val="2"/>
                <c:pt idx="0">
                  <c:v>-125</c:v>
                </c:pt>
                <c:pt idx="1">
                  <c:v>0</c:v>
                </c:pt>
              </c:numCache>
            </c:numRef>
          </c:xVal>
          <c:yVal>
            <c:numRef>
              <c:f>'Substrate kinetics'!$B$103:$B$104</c:f>
              <c:numCache>
                <c:formatCode>General</c:formatCode>
                <c:ptCount val="2"/>
                <c:pt idx="0">
                  <c:v>0</c:v>
                </c:pt>
                <c:pt idx="1">
                  <c:v>2.09375</c:v>
                </c:pt>
              </c:numCache>
            </c:numRef>
          </c:yVal>
          <c:smooth val="0"/>
          <c:extLst>
            <c:ext xmlns:c16="http://schemas.microsoft.com/office/drawing/2014/chart" uri="{C3380CC4-5D6E-409C-BE32-E72D297353CC}">
              <c16:uniqueId val="{00000006-E92A-496C-AC32-DDECAE39757F}"/>
            </c:ext>
          </c:extLst>
        </c:ser>
        <c:ser>
          <c:idx val="4"/>
          <c:order val="4"/>
          <c:tx>
            <c:strRef>
              <c:f>'Substrate kinetics'!$A$105:$A$106</c:f>
              <c:strCache>
                <c:ptCount val="2"/>
                <c:pt idx="0">
                  <c:v>-62.5</c:v>
                </c:pt>
                <c:pt idx="1">
                  <c:v>0</c:v>
                </c:pt>
              </c:strCache>
            </c:strRef>
          </c:tx>
          <c:spPr>
            <a:ln w="25400" cap="rnd">
              <a:noFill/>
              <a:round/>
            </a:ln>
            <a:effectLst/>
          </c:spPr>
          <c:marker>
            <c:symbol val="circle"/>
            <c:size val="5"/>
            <c:spPr>
              <a:solidFill>
                <a:schemeClr val="accent5"/>
              </a:solidFill>
              <a:ln w="9525">
                <a:solidFill>
                  <a:schemeClr val="accent5"/>
                </a:solidFill>
              </a:ln>
              <a:effectLst/>
            </c:spPr>
          </c:marker>
          <c:trendline>
            <c:spPr>
              <a:ln w="19050" cap="rnd">
                <a:solidFill>
                  <a:schemeClr val="accent5"/>
                </a:solidFill>
                <a:prstDash val="sysDot"/>
              </a:ln>
              <a:effectLst/>
            </c:spPr>
            <c:trendlineType val="linear"/>
            <c:dispRSqr val="0"/>
            <c:dispEq val="0"/>
          </c:trendline>
          <c:trendline>
            <c:spPr>
              <a:ln w="19050" cap="rnd">
                <a:solidFill>
                  <a:schemeClr val="accent5"/>
                </a:solidFill>
                <a:prstDash val="sysDot"/>
              </a:ln>
              <a:effectLst/>
            </c:spPr>
            <c:trendlineType val="linear"/>
            <c:forward val="1000"/>
            <c:dispRSqr val="0"/>
            <c:dispEq val="0"/>
          </c:trendline>
          <c:xVal>
            <c:numRef>
              <c:f>'Substrate kinetics'!$A$105:$A$106</c:f>
              <c:numCache>
                <c:formatCode>General</c:formatCode>
                <c:ptCount val="2"/>
                <c:pt idx="0">
                  <c:v>-62.5</c:v>
                </c:pt>
                <c:pt idx="1">
                  <c:v>0</c:v>
                </c:pt>
              </c:numCache>
            </c:numRef>
          </c:xVal>
          <c:yVal>
            <c:numRef>
              <c:f>'Substrate kinetics'!$B$105:$B$106</c:f>
              <c:numCache>
                <c:formatCode>General</c:formatCode>
                <c:ptCount val="2"/>
                <c:pt idx="0">
                  <c:v>0</c:v>
                </c:pt>
                <c:pt idx="1">
                  <c:v>1.5208333333333333</c:v>
                </c:pt>
              </c:numCache>
            </c:numRef>
          </c:yVal>
          <c:smooth val="0"/>
          <c:extLst>
            <c:ext xmlns:c16="http://schemas.microsoft.com/office/drawing/2014/chart" uri="{C3380CC4-5D6E-409C-BE32-E72D297353CC}">
              <c16:uniqueId val="{00000007-E92A-496C-AC32-DDECAE39757F}"/>
            </c:ext>
          </c:extLst>
        </c:ser>
        <c:dLbls>
          <c:showLegendKey val="0"/>
          <c:showVal val="0"/>
          <c:showCatName val="0"/>
          <c:showSerName val="0"/>
          <c:showPercent val="0"/>
          <c:showBubbleSize val="0"/>
        </c:dLbls>
        <c:axId val="355352687"/>
        <c:axId val="2124012447"/>
      </c:scatterChart>
      <c:valAx>
        <c:axId val="35535268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124012447"/>
        <c:crosses val="autoZero"/>
        <c:crossBetween val="midCat"/>
      </c:valAx>
      <c:valAx>
        <c:axId val="2124012447"/>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V0</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35535268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75161854768154"/>
          <c:y val="4.6296296296296294E-2"/>
          <c:w val="0.84192825896762902"/>
          <c:h val="0.70529308836395455"/>
        </c:manualLayout>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'GST ELISA assay'!$B$12:$E$12</c:f>
                <c:numCache>
                  <c:formatCode>General</c:formatCode>
                  <c:ptCount val="4"/>
                  <c:pt idx="0">
                    <c:v>4.6188021535170107E-3</c:v>
                  </c:pt>
                  <c:pt idx="1">
                    <c:v>8.5704920123254452E-2</c:v>
                  </c:pt>
                  <c:pt idx="2">
                    <c:v>3.7242448899072148E-2</c:v>
                  </c:pt>
                  <c:pt idx="3">
                    <c:v>7.6539750021366662E-2</c:v>
                  </c:pt>
                </c:numCache>
              </c:numRef>
            </c:plus>
            <c:minus>
              <c:numRef>
                <c:f>'GST ELISA assay'!$B$12:$E$12</c:f>
                <c:numCache>
                  <c:formatCode>General</c:formatCode>
                  <c:ptCount val="4"/>
                  <c:pt idx="0">
                    <c:v>4.6188021535170107E-3</c:v>
                  </c:pt>
                  <c:pt idx="1">
                    <c:v>8.5704920123254452E-2</c:v>
                  </c:pt>
                  <c:pt idx="2">
                    <c:v>3.7242448899072148E-2</c:v>
                  </c:pt>
                  <c:pt idx="3">
                    <c:v>7.6539750021366662E-2</c:v>
                  </c:pt>
                </c:numCache>
              </c:numRef>
            </c:minus>
            <c:spPr>
              <a:noFill/>
              <a:ln w="9525" cap="flat" cmpd="sng" algn="ctr">
                <a:solidFill>
                  <a:schemeClr val="tx1">
                    <a:lumMod val="65000"/>
                    <a:lumOff val="35000"/>
                  </a:schemeClr>
                </a:solidFill>
                <a:round/>
              </a:ln>
              <a:effectLst/>
            </c:spPr>
          </c:errBars>
          <c:cat>
            <c:strRef>
              <c:f>'GST ELISA assay'!$B$7:$E$7</c:f>
              <c:strCache>
                <c:ptCount val="4"/>
                <c:pt idx="0">
                  <c:v>Negative control (no GST substrate)</c:v>
                </c:pt>
                <c:pt idx="1">
                  <c:v>ABD1</c:v>
                </c:pt>
                <c:pt idx="2">
                  <c:v>ABD2</c:v>
                </c:pt>
                <c:pt idx="3">
                  <c:v>ABD3</c:v>
                </c:pt>
              </c:strCache>
            </c:strRef>
          </c:cat>
          <c:val>
            <c:numRef>
              <c:f>'GST ELISA assay'!$B$11:$E$11</c:f>
              <c:numCache>
                <c:formatCode>General</c:formatCode>
                <c:ptCount val="4"/>
                <c:pt idx="0">
                  <c:v>0.21133333333333335</c:v>
                </c:pt>
                <c:pt idx="1">
                  <c:v>0.58666666666666656</c:v>
                </c:pt>
                <c:pt idx="2">
                  <c:v>0.44900000000000001</c:v>
                </c:pt>
                <c:pt idx="3">
                  <c:v>0.3726666666666667</c:v>
                </c:pt>
              </c:numCache>
            </c:numRef>
          </c:val>
          <c:extLst>
            <c:ext xmlns:c16="http://schemas.microsoft.com/office/drawing/2014/chart" uri="{C3380CC4-5D6E-409C-BE32-E72D297353CC}">
              <c16:uniqueId val="{00000000-8D2E-4B1D-A294-5C49515A2FDA}"/>
            </c:ext>
          </c:extLst>
        </c:ser>
        <c:dLbls>
          <c:showLegendKey val="0"/>
          <c:showVal val="0"/>
          <c:showCatName val="0"/>
          <c:showSerName val="0"/>
          <c:showPercent val="0"/>
          <c:showBubbleSize val="0"/>
        </c:dLbls>
        <c:gapWidth val="219"/>
        <c:overlap val="-27"/>
        <c:axId val="1840905439"/>
        <c:axId val="1608573375"/>
      </c:barChart>
      <c:catAx>
        <c:axId val="184090543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Sample treatment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608573375"/>
        <c:crosses val="autoZero"/>
        <c:auto val="1"/>
        <c:lblAlgn val="ctr"/>
        <c:lblOffset val="100"/>
        <c:noMultiLvlLbl val="0"/>
      </c:catAx>
      <c:valAx>
        <c:axId val="160857337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Absorbance at 450 nm</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solidFill>
            <a:schemeClr val="bg1"/>
          </a:solidFill>
          <a:ln>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4090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tx1"/>
              </a:solidFill>
              <a:ln w="9525">
                <a:solidFill>
                  <a:schemeClr val="tx1"/>
                </a:solidFill>
              </a:ln>
              <a:effectLst/>
            </c:spPr>
          </c:marker>
          <c:xVal>
            <c:numRef>
              <c:f>'GST enzyme activity assay'!$A$5:$A$15</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'GST enzyme activity assay'!$D$5:$D$15</c:f>
              <c:numCache>
                <c:formatCode>General</c:formatCode>
                <c:ptCount val="11"/>
                <c:pt idx="0">
                  <c:v>9.4166666666666661</c:v>
                </c:pt>
                <c:pt idx="1">
                  <c:v>10.770833333333334</c:v>
                </c:pt>
                <c:pt idx="2">
                  <c:v>12.291666666666666</c:v>
                </c:pt>
                <c:pt idx="3">
                  <c:v>13.760416666666666</c:v>
                </c:pt>
                <c:pt idx="4">
                  <c:v>15.208333333333334</c:v>
                </c:pt>
                <c:pt idx="5">
                  <c:v>16.65625</c:v>
                </c:pt>
                <c:pt idx="6">
                  <c:v>18.145833333333332</c:v>
                </c:pt>
                <c:pt idx="7">
                  <c:v>19.666666666666664</c:v>
                </c:pt>
                <c:pt idx="8">
                  <c:v>21.125000000000004</c:v>
                </c:pt>
                <c:pt idx="9">
                  <c:v>22.5</c:v>
                </c:pt>
                <c:pt idx="10">
                  <c:v>24.062500000000004</c:v>
                </c:pt>
              </c:numCache>
            </c:numRef>
          </c:yVal>
          <c:smooth val="0"/>
          <c:extLst>
            <c:ext xmlns:c16="http://schemas.microsoft.com/office/drawing/2014/chart" uri="{C3380CC4-5D6E-409C-BE32-E72D297353CC}">
              <c16:uniqueId val="{00000000-99AF-4919-BDE5-B6EB44C8BE1F}"/>
            </c:ext>
          </c:extLst>
        </c:ser>
        <c:dLbls>
          <c:showLegendKey val="0"/>
          <c:showVal val="0"/>
          <c:showCatName val="0"/>
          <c:showSerName val="0"/>
          <c:showPercent val="0"/>
          <c:showBubbleSize val="0"/>
        </c:dLbls>
        <c:axId val="1840848831"/>
        <c:axId val="1706333183"/>
      </c:scatterChart>
      <c:valAx>
        <c:axId val="184084883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Time (s)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706333183"/>
        <c:crosses val="autoZero"/>
        <c:crossBetween val="midCat"/>
      </c:valAx>
      <c:valAx>
        <c:axId val="170633318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Concentration (microM GS-DNB)</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8408488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uninhibited enzyme</c:v>
          </c:tx>
          <c:spPr>
            <a:ln w="19050" cap="rnd">
              <a:noFill/>
              <a:round/>
            </a:ln>
            <a:effectLst/>
          </c:spPr>
          <c:marker>
            <c:symbol val="circle"/>
            <c:size val="5"/>
            <c:spPr>
              <a:solidFill>
                <a:schemeClr val="accent1"/>
              </a:solidFill>
              <a:ln w="9525">
                <a:solidFill>
                  <a:schemeClr val="accent1"/>
                </a:solidFill>
              </a:ln>
              <a:effectLst/>
            </c:spPr>
          </c:marker>
          <c:xVal>
            <c:numRef>
              <c:f>'GST inhibitors'!$A$19:$A$29</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'GST inhibitors'!$B$19:$B$29</c:f>
              <c:numCache>
                <c:formatCode>General</c:formatCode>
                <c:ptCount val="11"/>
                <c:pt idx="0">
                  <c:v>1.9499999999999996E-5</c:v>
                </c:pt>
                <c:pt idx="1">
                  <c:v>3.1145833333333329E-5</c:v>
                </c:pt>
                <c:pt idx="2">
                  <c:v>4.0447916666666666E-5</c:v>
                </c:pt>
                <c:pt idx="3">
                  <c:v>4.986979166666667E-5</c:v>
                </c:pt>
                <c:pt idx="4">
                  <c:v>5.913020833333333E-5</c:v>
                </c:pt>
                <c:pt idx="5">
                  <c:v>6.7432291666666663E-5</c:v>
                </c:pt>
                <c:pt idx="6">
                  <c:v>7.4312499999999997E-5</c:v>
                </c:pt>
                <c:pt idx="7">
                  <c:v>8.1531249999999993E-5</c:v>
                </c:pt>
                <c:pt idx="8">
                  <c:v>8.921875000000001E-5</c:v>
                </c:pt>
                <c:pt idx="9">
                  <c:v>9.5890625000000001E-5</c:v>
                </c:pt>
                <c:pt idx="10">
                  <c:v>1.0325E-4</c:v>
                </c:pt>
              </c:numCache>
            </c:numRef>
          </c:yVal>
          <c:smooth val="0"/>
          <c:extLst>
            <c:ext xmlns:c16="http://schemas.microsoft.com/office/drawing/2014/chart" uri="{C3380CC4-5D6E-409C-BE32-E72D297353CC}">
              <c16:uniqueId val="{00000000-FA8D-4E1C-8E76-AA40F3030D10}"/>
            </c:ext>
          </c:extLst>
        </c:ser>
        <c:ser>
          <c:idx val="1"/>
          <c:order val="1"/>
          <c:tx>
            <c:v>inhibited by caffeic acid</c:v>
          </c:tx>
          <c:spPr>
            <a:ln w="19050" cap="rnd">
              <a:noFill/>
              <a:round/>
            </a:ln>
            <a:effectLst/>
          </c:spPr>
          <c:marker>
            <c:symbol val="circle"/>
            <c:size val="5"/>
            <c:spPr>
              <a:solidFill>
                <a:schemeClr val="accent2"/>
              </a:solidFill>
              <a:ln w="9525">
                <a:solidFill>
                  <a:schemeClr val="accent2"/>
                </a:solidFill>
              </a:ln>
              <a:effectLst/>
            </c:spPr>
          </c:marker>
          <c:xVal>
            <c:numRef>
              <c:f>'GST inhibitors'!$A$19:$A$29</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'GST inhibitors'!$C$19:$C$29</c:f>
              <c:numCache>
                <c:formatCode>General</c:formatCode>
                <c:ptCount val="11"/>
                <c:pt idx="0">
                  <c:v>1.0572916666666667E-5</c:v>
                </c:pt>
                <c:pt idx="1">
                  <c:v>1.9598958333333331E-5</c:v>
                </c:pt>
                <c:pt idx="2">
                  <c:v>2.8833333333333337E-5</c:v>
                </c:pt>
                <c:pt idx="3">
                  <c:v>3.7734375000000001E-5</c:v>
                </c:pt>
                <c:pt idx="4">
                  <c:v>4.6291666666666669E-5</c:v>
                </c:pt>
                <c:pt idx="5">
                  <c:v>5.4526041666666664E-5</c:v>
                </c:pt>
                <c:pt idx="6">
                  <c:v>6.227604166666667E-5</c:v>
                </c:pt>
                <c:pt idx="7">
                  <c:v>7.0026041666666669E-5</c:v>
                </c:pt>
                <c:pt idx="8">
                  <c:v>7.7677083333333339E-5</c:v>
                </c:pt>
                <c:pt idx="9">
                  <c:v>8.506770833333333E-5</c:v>
                </c:pt>
                <c:pt idx="10">
                  <c:v>9.2302083333333328E-5</c:v>
                </c:pt>
              </c:numCache>
            </c:numRef>
          </c:yVal>
          <c:smooth val="0"/>
          <c:extLst>
            <c:ext xmlns:c16="http://schemas.microsoft.com/office/drawing/2014/chart" uri="{C3380CC4-5D6E-409C-BE32-E72D297353CC}">
              <c16:uniqueId val="{00000001-FA8D-4E1C-8E76-AA40F3030D10}"/>
            </c:ext>
          </c:extLst>
        </c:ser>
        <c:ser>
          <c:idx val="2"/>
          <c:order val="2"/>
          <c:tx>
            <c:v>inhibited by ellagic acid</c:v>
          </c:tx>
          <c:spPr>
            <a:ln w="19050" cap="rnd">
              <a:noFill/>
              <a:round/>
            </a:ln>
            <a:effectLst/>
          </c:spPr>
          <c:marker>
            <c:symbol val="circle"/>
            <c:size val="5"/>
            <c:spPr>
              <a:solidFill>
                <a:schemeClr val="accent3"/>
              </a:solidFill>
              <a:ln w="9525">
                <a:solidFill>
                  <a:schemeClr val="accent3"/>
                </a:solidFill>
              </a:ln>
              <a:effectLst/>
            </c:spPr>
          </c:marker>
          <c:xVal>
            <c:numRef>
              <c:f>'GST inhibitors'!$A$19:$A$29</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'GST inhibitors'!$D$19:$D$29</c:f>
              <c:numCache>
                <c:formatCode>General</c:formatCode>
                <c:ptCount val="11"/>
                <c:pt idx="0">
                  <c:v>1.3145833333333334E-5</c:v>
                </c:pt>
                <c:pt idx="1">
                  <c:v>2.00625E-5</c:v>
                </c:pt>
                <c:pt idx="2">
                  <c:v>2.6989583333333333E-5</c:v>
                </c:pt>
                <c:pt idx="3">
                  <c:v>3.3692708333333335E-5</c:v>
                </c:pt>
                <c:pt idx="4">
                  <c:v>4.0161458333333333E-5</c:v>
                </c:pt>
                <c:pt idx="5">
                  <c:v>4.6411458333333336E-5</c:v>
                </c:pt>
                <c:pt idx="6">
                  <c:v>5.2557291666666674E-5</c:v>
                </c:pt>
                <c:pt idx="7">
                  <c:v>5.8479166666666667E-5</c:v>
                </c:pt>
                <c:pt idx="8">
                  <c:v>6.4020833333333342E-5</c:v>
                </c:pt>
                <c:pt idx="9">
                  <c:v>6.9911458333333324E-5</c:v>
                </c:pt>
                <c:pt idx="10">
                  <c:v>7.6276041666666671E-5</c:v>
                </c:pt>
              </c:numCache>
            </c:numRef>
          </c:yVal>
          <c:smooth val="0"/>
          <c:extLst>
            <c:ext xmlns:c16="http://schemas.microsoft.com/office/drawing/2014/chart" uri="{C3380CC4-5D6E-409C-BE32-E72D297353CC}">
              <c16:uniqueId val="{00000002-FA8D-4E1C-8E76-AA40F3030D10}"/>
            </c:ext>
          </c:extLst>
        </c:ser>
        <c:dLbls>
          <c:showLegendKey val="0"/>
          <c:showVal val="0"/>
          <c:showCatName val="0"/>
          <c:showSerName val="0"/>
          <c:showPercent val="0"/>
          <c:showBubbleSize val="0"/>
        </c:dLbls>
        <c:axId val="1586503727"/>
        <c:axId val="1056304575"/>
      </c:scatterChart>
      <c:valAx>
        <c:axId val="1586503727"/>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056304575"/>
        <c:crosses val="autoZero"/>
        <c:crossBetween val="midCat"/>
      </c:valAx>
      <c:valAx>
        <c:axId val="105630457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Concentration (mol/L)</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158650372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ZA"/>
              <a:t>Progress curves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v>[S]=1 mM</c:v>
          </c:tx>
          <c:spPr>
            <a:ln w="19050" cap="rnd">
              <a:noFill/>
              <a:round/>
            </a:ln>
            <a:effectLst/>
          </c:spPr>
          <c:marker>
            <c:symbol val="circle"/>
            <c:size val="5"/>
            <c:spPr>
              <a:solidFill>
                <a:schemeClr val="accent1"/>
              </a:solidFill>
              <a:ln w="9525">
                <a:solidFill>
                  <a:schemeClr val="accent1"/>
                </a:solidFill>
              </a:ln>
              <a:effectLst/>
            </c:spPr>
          </c:marker>
          <c:xVal>
            <c:numRef>
              <c:f>'Substrate kinetics'!$A$12:$A$22</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'Substrate kinetics'!$B$12:$B$22</c:f>
              <c:numCache>
                <c:formatCode>General</c:formatCode>
                <c:ptCount val="11"/>
                <c:pt idx="0">
                  <c:v>9.8699999999999996E-2</c:v>
                </c:pt>
                <c:pt idx="1">
                  <c:v>0.15390000000000001</c:v>
                </c:pt>
                <c:pt idx="2">
                  <c:v>0.21890000000000001</c:v>
                </c:pt>
                <c:pt idx="3">
                  <c:v>0.28079999999999999</c:v>
                </c:pt>
                <c:pt idx="4">
                  <c:v>0.34010000000000001</c:v>
                </c:pt>
                <c:pt idx="5">
                  <c:v>0.39879999999999999</c:v>
                </c:pt>
                <c:pt idx="6">
                  <c:v>0.45590000000000003</c:v>
                </c:pt>
                <c:pt idx="7">
                  <c:v>0.50919999999999999</c:v>
                </c:pt>
                <c:pt idx="8">
                  <c:v>0.56230000000000002</c:v>
                </c:pt>
                <c:pt idx="9">
                  <c:v>0.61509999999999998</c:v>
                </c:pt>
                <c:pt idx="10">
                  <c:v>0.66700000000000004</c:v>
                </c:pt>
              </c:numCache>
            </c:numRef>
          </c:yVal>
          <c:smooth val="0"/>
          <c:extLst>
            <c:ext xmlns:c16="http://schemas.microsoft.com/office/drawing/2014/chart" uri="{C3380CC4-5D6E-409C-BE32-E72D297353CC}">
              <c16:uniqueId val="{00000000-D2F1-493F-86DE-9254DD5C9DB8}"/>
            </c:ext>
          </c:extLst>
        </c:ser>
        <c:ser>
          <c:idx val="1"/>
          <c:order val="1"/>
          <c:tx>
            <c:v>[S] = 0.5 mM</c:v>
          </c:tx>
          <c:spPr>
            <a:ln w="25400" cap="rnd">
              <a:noFill/>
              <a:round/>
            </a:ln>
            <a:effectLst/>
          </c:spPr>
          <c:marker>
            <c:symbol val="circle"/>
            <c:size val="5"/>
            <c:spPr>
              <a:solidFill>
                <a:schemeClr val="accent2"/>
              </a:solidFill>
              <a:ln w="9525">
                <a:solidFill>
                  <a:schemeClr val="accent2"/>
                </a:solidFill>
              </a:ln>
              <a:effectLst/>
            </c:spPr>
          </c:marker>
          <c:xVal>
            <c:numRef>
              <c:f>'Substrate kinetics'!$A$12:$A$22</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'Substrate kinetics'!$C$12:$C$22</c:f>
              <c:numCache>
                <c:formatCode>General</c:formatCode>
                <c:ptCount val="11"/>
                <c:pt idx="0">
                  <c:v>1.09E-2</c:v>
                </c:pt>
                <c:pt idx="1">
                  <c:v>3.9699999999999999E-2</c:v>
                </c:pt>
                <c:pt idx="2">
                  <c:v>6.7100000000000007E-2</c:v>
                </c:pt>
                <c:pt idx="3">
                  <c:v>9.4200000000000006E-2</c:v>
                </c:pt>
                <c:pt idx="4">
                  <c:v>0.12230000000000001</c:v>
                </c:pt>
                <c:pt idx="5">
                  <c:v>0.15079999999999999</c:v>
                </c:pt>
                <c:pt idx="6">
                  <c:v>0.1772</c:v>
                </c:pt>
                <c:pt idx="7">
                  <c:v>0.2</c:v>
                </c:pt>
                <c:pt idx="8">
                  <c:v>0.23080000000000001</c:v>
                </c:pt>
                <c:pt idx="9">
                  <c:v>0.2505</c:v>
                </c:pt>
                <c:pt idx="10">
                  <c:v>0.27510000000000001</c:v>
                </c:pt>
              </c:numCache>
            </c:numRef>
          </c:yVal>
          <c:smooth val="0"/>
          <c:extLst>
            <c:ext xmlns:c16="http://schemas.microsoft.com/office/drawing/2014/chart" uri="{C3380CC4-5D6E-409C-BE32-E72D297353CC}">
              <c16:uniqueId val="{00000001-D2F1-493F-86DE-9254DD5C9DB8}"/>
            </c:ext>
          </c:extLst>
        </c:ser>
        <c:ser>
          <c:idx val="2"/>
          <c:order val="2"/>
          <c:tx>
            <c:v>[S] = 0.25 mM</c:v>
          </c:tx>
          <c:spPr>
            <a:ln w="25400" cap="rnd">
              <a:noFill/>
              <a:round/>
            </a:ln>
            <a:effectLst/>
          </c:spPr>
          <c:marker>
            <c:symbol val="circle"/>
            <c:size val="5"/>
            <c:spPr>
              <a:solidFill>
                <a:schemeClr val="accent3"/>
              </a:solidFill>
              <a:ln w="9525">
                <a:solidFill>
                  <a:schemeClr val="accent3"/>
                </a:solidFill>
              </a:ln>
              <a:effectLst/>
            </c:spPr>
          </c:marker>
          <c:xVal>
            <c:numRef>
              <c:f>'Substrate kinetics'!$A$12:$A$22</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'Substrate kinetics'!$D$12:$D$22</c:f>
              <c:numCache>
                <c:formatCode>General</c:formatCode>
                <c:ptCount val="11"/>
                <c:pt idx="0">
                  <c:v>1.2E-2</c:v>
                </c:pt>
                <c:pt idx="1">
                  <c:v>3.15E-2</c:v>
                </c:pt>
                <c:pt idx="2">
                  <c:v>4.9299999999999997E-2</c:v>
                </c:pt>
                <c:pt idx="3">
                  <c:v>6.9500000000000006E-2</c:v>
                </c:pt>
                <c:pt idx="4">
                  <c:v>8.7599999999999997E-2</c:v>
                </c:pt>
                <c:pt idx="5">
                  <c:v>0.10639999999999999</c:v>
                </c:pt>
                <c:pt idx="6">
                  <c:v>0.1237</c:v>
                </c:pt>
                <c:pt idx="7">
                  <c:v>0.14119999999999999</c:v>
                </c:pt>
                <c:pt idx="8">
                  <c:v>0.15740000000000001</c:v>
                </c:pt>
                <c:pt idx="9">
                  <c:v>0.1741</c:v>
                </c:pt>
                <c:pt idx="10">
                  <c:v>0.19059999999999999</c:v>
                </c:pt>
              </c:numCache>
            </c:numRef>
          </c:yVal>
          <c:smooth val="0"/>
          <c:extLst>
            <c:ext xmlns:c16="http://schemas.microsoft.com/office/drawing/2014/chart" uri="{C3380CC4-5D6E-409C-BE32-E72D297353CC}">
              <c16:uniqueId val="{00000002-D2F1-493F-86DE-9254DD5C9DB8}"/>
            </c:ext>
          </c:extLst>
        </c:ser>
        <c:ser>
          <c:idx val="3"/>
          <c:order val="3"/>
          <c:tx>
            <c:v>[S] = 0.125 mM</c:v>
          </c:tx>
          <c:spPr>
            <a:ln w="25400" cap="rnd">
              <a:noFill/>
              <a:round/>
            </a:ln>
            <a:effectLst/>
          </c:spPr>
          <c:marker>
            <c:symbol val="circle"/>
            <c:size val="5"/>
            <c:spPr>
              <a:solidFill>
                <a:schemeClr val="accent4"/>
              </a:solidFill>
              <a:ln w="9525">
                <a:solidFill>
                  <a:schemeClr val="accent4"/>
                </a:solidFill>
              </a:ln>
              <a:effectLst/>
            </c:spPr>
          </c:marker>
          <c:xVal>
            <c:numRef>
              <c:f>'Substrate kinetics'!$A$12:$A$22</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'Substrate kinetics'!$E$12:$E$22</c:f>
              <c:numCache>
                <c:formatCode>General</c:formatCode>
                <c:ptCount val="11"/>
                <c:pt idx="0">
                  <c:v>1.1999999999999999E-3</c:v>
                </c:pt>
                <c:pt idx="1">
                  <c:v>1.09E-2</c:v>
                </c:pt>
                <c:pt idx="2">
                  <c:v>2.1299999999999999E-2</c:v>
                </c:pt>
                <c:pt idx="3">
                  <c:v>3.2500000000000001E-2</c:v>
                </c:pt>
                <c:pt idx="4">
                  <c:v>4.1700000000000001E-2</c:v>
                </c:pt>
                <c:pt idx="5">
                  <c:v>5.1799999999999999E-2</c:v>
                </c:pt>
                <c:pt idx="6">
                  <c:v>6.1199999999999997E-2</c:v>
                </c:pt>
                <c:pt idx="7">
                  <c:v>7.0099999999999996E-2</c:v>
                </c:pt>
                <c:pt idx="8">
                  <c:v>7.6899999999999996E-2</c:v>
                </c:pt>
                <c:pt idx="9">
                  <c:v>9.1300000000000006E-2</c:v>
                </c:pt>
                <c:pt idx="10">
                  <c:v>9.7299999999999998E-2</c:v>
                </c:pt>
              </c:numCache>
            </c:numRef>
          </c:yVal>
          <c:smooth val="0"/>
          <c:extLst>
            <c:ext xmlns:c16="http://schemas.microsoft.com/office/drawing/2014/chart" uri="{C3380CC4-5D6E-409C-BE32-E72D297353CC}">
              <c16:uniqueId val="{00000003-D2F1-493F-86DE-9254DD5C9DB8}"/>
            </c:ext>
          </c:extLst>
        </c:ser>
        <c:ser>
          <c:idx val="4"/>
          <c:order val="4"/>
          <c:tx>
            <c:v>[S] = 0.0625 mM</c:v>
          </c:tx>
          <c:spPr>
            <a:ln w="25400" cap="rnd">
              <a:noFill/>
              <a:round/>
            </a:ln>
            <a:effectLst/>
          </c:spPr>
          <c:marker>
            <c:symbol val="circle"/>
            <c:size val="5"/>
            <c:spPr>
              <a:solidFill>
                <a:schemeClr val="accent5"/>
              </a:solidFill>
              <a:ln w="9525">
                <a:solidFill>
                  <a:schemeClr val="accent5"/>
                </a:solidFill>
              </a:ln>
              <a:effectLst/>
            </c:spPr>
          </c:marker>
          <c:xVal>
            <c:numRef>
              <c:f>'Substrate kinetics'!$A$12:$A$22</c:f>
              <c:numCache>
                <c:formatCode>General</c:formatCode>
                <c:ptCount val="11"/>
                <c:pt idx="0">
                  <c:v>0</c:v>
                </c:pt>
                <c:pt idx="1">
                  <c:v>30</c:v>
                </c:pt>
                <c:pt idx="2">
                  <c:v>60</c:v>
                </c:pt>
                <c:pt idx="3">
                  <c:v>90</c:v>
                </c:pt>
                <c:pt idx="4">
                  <c:v>120</c:v>
                </c:pt>
                <c:pt idx="5">
                  <c:v>150</c:v>
                </c:pt>
                <c:pt idx="6">
                  <c:v>180</c:v>
                </c:pt>
                <c:pt idx="7">
                  <c:v>210</c:v>
                </c:pt>
                <c:pt idx="8">
                  <c:v>240</c:v>
                </c:pt>
                <c:pt idx="9">
                  <c:v>270</c:v>
                </c:pt>
                <c:pt idx="10">
                  <c:v>300</c:v>
                </c:pt>
              </c:numCache>
            </c:numRef>
          </c:xVal>
          <c:yVal>
            <c:numRef>
              <c:f>'Substrate kinetics'!$F$12:$F$22</c:f>
              <c:numCache>
                <c:formatCode>General</c:formatCode>
                <c:ptCount val="11"/>
                <c:pt idx="0">
                  <c:v>4.0000000000000002E-4</c:v>
                </c:pt>
                <c:pt idx="1">
                  <c:v>7.9000000000000008E-3</c:v>
                </c:pt>
                <c:pt idx="2">
                  <c:v>1.4999999999999999E-2</c:v>
                </c:pt>
                <c:pt idx="3">
                  <c:v>2.2499999999999999E-2</c:v>
                </c:pt>
                <c:pt idx="4">
                  <c:v>2.92E-2</c:v>
                </c:pt>
                <c:pt idx="5">
                  <c:v>3.6900000000000002E-2</c:v>
                </c:pt>
                <c:pt idx="6">
                  <c:v>4.3200000000000002E-2</c:v>
                </c:pt>
                <c:pt idx="7">
                  <c:v>5.0200000000000002E-2</c:v>
                </c:pt>
                <c:pt idx="8">
                  <c:v>5.62E-2</c:v>
                </c:pt>
                <c:pt idx="9">
                  <c:v>6.3E-2</c:v>
                </c:pt>
                <c:pt idx="10">
                  <c:v>6.9000000000000006E-2</c:v>
                </c:pt>
              </c:numCache>
            </c:numRef>
          </c:yVal>
          <c:smooth val="0"/>
          <c:extLst>
            <c:ext xmlns:c16="http://schemas.microsoft.com/office/drawing/2014/chart" uri="{C3380CC4-5D6E-409C-BE32-E72D297353CC}">
              <c16:uniqueId val="{00000004-D2F1-493F-86DE-9254DD5C9DB8}"/>
            </c:ext>
          </c:extLst>
        </c:ser>
        <c:dLbls>
          <c:showLegendKey val="0"/>
          <c:showVal val="0"/>
          <c:showCatName val="0"/>
          <c:showSerName val="0"/>
          <c:showPercent val="0"/>
          <c:showBubbleSize val="0"/>
        </c:dLbls>
        <c:axId val="599140815"/>
        <c:axId val="543014623"/>
      </c:scatterChart>
      <c:valAx>
        <c:axId val="5991408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ZA"/>
                  <a:t>Time (seconds)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43014623"/>
        <c:crosses val="autoZero"/>
        <c:crossBetween val="midCat"/>
      </c:valAx>
      <c:valAx>
        <c:axId val="543014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ZA"/>
                  <a:t>Absorbance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9914081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r>
              <a:rPr lang="en-US"/>
              <a:t>Michaelis-Menten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tx>
            <c:strRef>
              <c:f>'Substrate kinetics'!$C$46</c:f>
              <c:strCache>
                <c:ptCount val="1"/>
                <c:pt idx="0">
                  <c:v>Vi (mmol.L.min)</c:v>
                </c:pt>
              </c:strCache>
            </c:strRef>
          </c:tx>
          <c:spPr>
            <a:ln w="19050" cap="rnd">
              <a:noFill/>
              <a:round/>
            </a:ln>
            <a:effectLst/>
          </c:spPr>
          <c:marker>
            <c:symbol val="circle"/>
            <c:size val="5"/>
            <c:spPr>
              <a:solidFill>
                <a:schemeClr val="accent1"/>
              </a:solidFill>
              <a:ln w="9525">
                <a:solidFill>
                  <a:schemeClr val="accent1"/>
                </a:solidFill>
              </a:ln>
              <a:effectLst/>
            </c:spPr>
          </c:marker>
          <c:xVal>
            <c:numRef>
              <c:f>'Substrate kinetics'!$B$48:$B$51</c:f>
              <c:numCache>
                <c:formatCode>General</c:formatCode>
                <c:ptCount val="4"/>
                <c:pt idx="0">
                  <c:v>500</c:v>
                </c:pt>
                <c:pt idx="1">
                  <c:v>250</c:v>
                </c:pt>
                <c:pt idx="2">
                  <c:v>125</c:v>
                </c:pt>
                <c:pt idx="3">
                  <c:v>62.5</c:v>
                </c:pt>
              </c:numCache>
            </c:numRef>
          </c:xVal>
          <c:yVal>
            <c:numRef>
              <c:f>'Substrate kinetics'!$C$48:$C$51</c:f>
              <c:numCache>
                <c:formatCode>General</c:formatCode>
                <c:ptCount val="4"/>
                <c:pt idx="0">
                  <c:v>5.854166666666667</c:v>
                </c:pt>
                <c:pt idx="1">
                  <c:v>3.885416666666667</c:v>
                </c:pt>
                <c:pt idx="2">
                  <c:v>2.09375</c:v>
                </c:pt>
                <c:pt idx="3">
                  <c:v>1.5208333333333333</c:v>
                </c:pt>
              </c:numCache>
            </c:numRef>
          </c:yVal>
          <c:smooth val="0"/>
          <c:extLst>
            <c:ext xmlns:c16="http://schemas.microsoft.com/office/drawing/2014/chart" uri="{C3380CC4-5D6E-409C-BE32-E72D297353CC}">
              <c16:uniqueId val="{00000000-71C9-46E2-986C-0805889DD46C}"/>
            </c:ext>
          </c:extLst>
        </c:ser>
        <c:ser>
          <c:idx val="1"/>
          <c:order val="1"/>
          <c:tx>
            <c:v>outlier</c:v>
          </c:tx>
          <c:spPr>
            <a:ln w="25400" cap="rnd">
              <a:noFill/>
              <a:round/>
            </a:ln>
            <a:effectLst/>
          </c:spPr>
          <c:marker>
            <c:symbol val="circle"/>
            <c:size val="5"/>
            <c:spPr>
              <a:solidFill>
                <a:schemeClr val="accent2"/>
              </a:solidFill>
              <a:ln w="9525">
                <a:solidFill>
                  <a:schemeClr val="accent2"/>
                </a:solidFill>
              </a:ln>
              <a:effectLst/>
            </c:spPr>
          </c:marker>
          <c:xVal>
            <c:numRef>
              <c:f>'Substrate kinetics'!$B$47</c:f>
              <c:numCache>
                <c:formatCode>General</c:formatCode>
                <c:ptCount val="1"/>
                <c:pt idx="0">
                  <c:v>1000</c:v>
                </c:pt>
              </c:numCache>
            </c:numRef>
          </c:xVal>
          <c:yVal>
            <c:numRef>
              <c:f>'Substrate kinetics'!$C$47</c:f>
              <c:numCache>
                <c:formatCode>General</c:formatCode>
                <c:ptCount val="1"/>
                <c:pt idx="0">
                  <c:v>12.520833333333336</c:v>
                </c:pt>
              </c:numCache>
            </c:numRef>
          </c:yVal>
          <c:smooth val="0"/>
          <c:extLst>
            <c:ext xmlns:c16="http://schemas.microsoft.com/office/drawing/2014/chart" uri="{C3380CC4-5D6E-409C-BE32-E72D297353CC}">
              <c16:uniqueId val="{00000000-FC83-45CC-9C0F-FFE2BA722E9A}"/>
            </c:ext>
          </c:extLst>
        </c:ser>
        <c:dLbls>
          <c:showLegendKey val="0"/>
          <c:showVal val="0"/>
          <c:showCatName val="0"/>
          <c:showSerName val="0"/>
          <c:showPercent val="0"/>
          <c:showBubbleSize val="0"/>
        </c:dLbls>
        <c:axId val="604004127"/>
        <c:axId val="1790533775"/>
      </c:scatterChart>
      <c:valAx>
        <c:axId val="60400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ZA"/>
                  <a:t>Substrate concentration (</a:t>
                </a:r>
                <a:r>
                  <a:rPr lang="en-ZA">
                    <a:latin typeface="Symbol" panose="05050102010706020507" pitchFamily="18" charset="2"/>
                  </a:rPr>
                  <a:t>m</a:t>
                </a:r>
                <a:r>
                  <a:rPr lang="en-ZA"/>
                  <a:t>mol.L-1)</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790533775"/>
        <c:crosses val="autoZero"/>
        <c:crossBetween val="midCat"/>
      </c:valAx>
      <c:valAx>
        <c:axId val="17905337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r>
                  <a:rPr lang="en-ZA"/>
                  <a:t>V0 (</a:t>
                </a:r>
                <a:r>
                  <a:rPr lang="en-ZA">
                    <a:latin typeface="Symbol" panose="05050102010706020507" pitchFamily="18" charset="2"/>
                  </a:rPr>
                  <a:t>m</a:t>
                </a:r>
                <a:r>
                  <a:rPr lang="en-ZA"/>
                  <a:t>mol.L-1.min-1)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60400412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Lineweaver-Burke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backward val="9.0000000000000028E-3"/>
            <c:dispRSqr val="1"/>
            <c:dispEq val="1"/>
            <c:trendlineLbl>
              <c:layout>
                <c:manualLayout>
                  <c:x val="0.15609120734908136"/>
                  <c:y val="0.110694444444444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('Substrate kinetics'!$A$57:$A$58,'Substrate kinetics'!$A$60)</c:f>
              <c:numCache>
                <c:formatCode>General</c:formatCode>
                <c:ptCount val="3"/>
                <c:pt idx="0">
                  <c:v>2E-3</c:v>
                </c:pt>
                <c:pt idx="1">
                  <c:v>4.0000000000000001E-3</c:v>
                </c:pt>
                <c:pt idx="2">
                  <c:v>1.6E-2</c:v>
                </c:pt>
              </c:numCache>
            </c:numRef>
          </c:xVal>
          <c:yVal>
            <c:numRef>
              <c:f>('Substrate kinetics'!$B$57:$B$58,'Substrate kinetics'!$B$60)</c:f>
              <c:numCache>
                <c:formatCode>General</c:formatCode>
                <c:ptCount val="3"/>
                <c:pt idx="0">
                  <c:v>0.1708185053380783</c:v>
                </c:pt>
                <c:pt idx="1">
                  <c:v>0.25737265415549598</c:v>
                </c:pt>
                <c:pt idx="2">
                  <c:v>0.65753424657534254</c:v>
                </c:pt>
              </c:numCache>
            </c:numRef>
          </c:yVal>
          <c:smooth val="0"/>
          <c:extLst>
            <c:ext xmlns:c16="http://schemas.microsoft.com/office/drawing/2014/chart" uri="{C3380CC4-5D6E-409C-BE32-E72D297353CC}">
              <c16:uniqueId val="{00000000-7BE9-417A-80DD-D4E73A024BDB}"/>
            </c:ext>
          </c:extLst>
        </c:ser>
        <c:ser>
          <c:idx val="1"/>
          <c:order val="1"/>
          <c:tx>
            <c:v>outliers</c:v>
          </c:tx>
          <c:spPr>
            <a:ln w="25400" cap="rnd">
              <a:noFill/>
              <a:round/>
            </a:ln>
            <a:effectLst/>
          </c:spPr>
          <c:marker>
            <c:symbol val="circle"/>
            <c:size val="5"/>
            <c:spPr>
              <a:solidFill>
                <a:schemeClr val="accent2"/>
              </a:solidFill>
              <a:ln w="9525">
                <a:solidFill>
                  <a:schemeClr val="accent2"/>
                </a:solidFill>
              </a:ln>
              <a:effectLst/>
            </c:spPr>
          </c:marker>
          <c:xVal>
            <c:numRef>
              <c:f>('Substrate kinetics'!$A$56,'Substrate kinetics'!$A$59)</c:f>
              <c:numCache>
                <c:formatCode>General</c:formatCode>
                <c:ptCount val="2"/>
                <c:pt idx="0">
                  <c:v>1E-3</c:v>
                </c:pt>
                <c:pt idx="1">
                  <c:v>8.0000000000000002E-3</c:v>
                </c:pt>
              </c:numCache>
            </c:numRef>
          </c:xVal>
          <c:yVal>
            <c:numRef>
              <c:f>('Substrate kinetics'!$B$56,'Substrate kinetics'!$B$59)</c:f>
              <c:numCache>
                <c:formatCode>General</c:formatCode>
                <c:ptCount val="2"/>
                <c:pt idx="0">
                  <c:v>7.986688851913476E-2</c:v>
                </c:pt>
                <c:pt idx="1">
                  <c:v>0.47761194029850745</c:v>
                </c:pt>
              </c:numCache>
            </c:numRef>
          </c:yVal>
          <c:smooth val="0"/>
          <c:extLst>
            <c:ext xmlns:c16="http://schemas.microsoft.com/office/drawing/2014/chart" uri="{C3380CC4-5D6E-409C-BE32-E72D297353CC}">
              <c16:uniqueId val="{00000003-7BE9-417A-80DD-D4E73A024BDB}"/>
            </c:ext>
          </c:extLst>
        </c:ser>
        <c:dLbls>
          <c:showLegendKey val="0"/>
          <c:showVal val="0"/>
          <c:showCatName val="0"/>
          <c:showSerName val="0"/>
          <c:showPercent val="0"/>
          <c:showBubbleSize val="0"/>
        </c:dLbls>
        <c:axId val="448202783"/>
        <c:axId val="606308495"/>
      </c:scatterChart>
      <c:valAx>
        <c:axId val="448202783"/>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1/[S] (</a:t>
                </a:r>
                <a:r>
                  <a:rPr lang="en-ZA" sz="1000" b="0" i="0" u="none" strike="noStrike" kern="1200" baseline="0">
                    <a:solidFill>
                      <a:sysClr val="windowText" lastClr="000000"/>
                    </a:solidFill>
                    <a:latin typeface="Symbol" panose="05050102010706020507" pitchFamily="18" charset="2"/>
                    <a:cs typeface="Times New Roman" panose="02020603050405020304" pitchFamily="18" charset="0"/>
                  </a:rPr>
                  <a:t>m</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mol.L</a:t>
                </a:r>
                <a:r>
                  <a:rPr lang="en-ZA" sz="1000" b="0" i="0" u="none" strike="noStrike" kern="1200" baseline="30000">
                    <a:solidFill>
                      <a:sysClr val="windowText" lastClr="000000"/>
                    </a:solidFill>
                    <a:latin typeface="Times New Roman" panose="02020603050405020304" pitchFamily="18" charset="0"/>
                    <a:cs typeface="Times New Roman" panose="02020603050405020304" pitchFamily="18" charset="0"/>
                  </a:rPr>
                  <a:t>-1</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06308495"/>
        <c:crosses val="autoZero"/>
        <c:crossBetween val="midCat"/>
      </c:valAx>
      <c:valAx>
        <c:axId val="60630849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1/V</a:t>
                </a:r>
                <a:r>
                  <a:rPr lang="en-ZA" sz="1000" b="0" i="0" u="none" strike="noStrike" kern="1200" baseline="-25000">
                    <a:solidFill>
                      <a:sysClr val="windowText" lastClr="000000"/>
                    </a:solidFill>
                    <a:latin typeface="Times New Roman" panose="02020603050405020304" pitchFamily="18" charset="0"/>
                    <a:cs typeface="Times New Roman" panose="02020603050405020304" pitchFamily="18" charset="0"/>
                  </a:rPr>
                  <a:t>0 </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a:t>
                </a:r>
                <a:r>
                  <a:rPr lang="en-ZA" sz="1000" b="0" i="0" u="none" strike="noStrike" kern="1200" baseline="0">
                    <a:solidFill>
                      <a:sysClr val="windowText" lastClr="000000"/>
                    </a:solidFill>
                    <a:latin typeface="Symbol" panose="05050102010706020507" pitchFamily="18" charset="2"/>
                    <a:cs typeface="Times New Roman" panose="02020603050405020304" pitchFamily="18" charset="0"/>
                  </a:rPr>
                  <a:t>m</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mol.L</a:t>
                </a:r>
                <a:r>
                  <a:rPr lang="en-ZA" sz="1000" b="0" i="0" u="none" strike="noStrike" kern="1200" baseline="30000">
                    <a:solidFill>
                      <a:sysClr val="windowText" lastClr="000000"/>
                    </a:solidFill>
                    <a:latin typeface="Times New Roman" panose="02020603050405020304" pitchFamily="18" charset="0"/>
                    <a:cs typeface="Times New Roman" panose="02020603050405020304" pitchFamily="18" charset="0"/>
                  </a:rPr>
                  <a:t>-1</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.min</a:t>
                </a:r>
                <a:r>
                  <a:rPr lang="en-ZA" sz="1000" b="0" i="0" u="none" strike="noStrike" kern="1200" baseline="30000">
                    <a:solidFill>
                      <a:sysClr val="windowText" lastClr="000000"/>
                    </a:solidFill>
                    <a:latin typeface="Times New Roman" panose="02020603050405020304" pitchFamily="18" charset="0"/>
                    <a:cs typeface="Times New Roman" panose="02020603050405020304" pitchFamily="18" charset="0"/>
                  </a:rPr>
                  <a:t>-1</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482027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Eadie-Hofstee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1.0000000000000002E-2"/>
            <c:backward val="2.0000000000000004E-2"/>
            <c:dispRSqr val="1"/>
            <c:dispEq val="1"/>
            <c:trendlineLbl>
              <c:layout>
                <c:manualLayout>
                  <c:x val="0.13025524934383201"/>
                  <c:y val="-0.451811388159813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('Substrate kinetics'!$B$69:$B$70,'Substrate kinetics'!$B$72)</c:f>
              <c:numCache>
                <c:formatCode>General</c:formatCode>
                <c:ptCount val="3"/>
                <c:pt idx="0">
                  <c:v>1.1708333333333334E-2</c:v>
                </c:pt>
                <c:pt idx="1">
                  <c:v>1.5541666666666669E-2</c:v>
                </c:pt>
                <c:pt idx="2">
                  <c:v>2.4333333333333332E-2</c:v>
                </c:pt>
              </c:numCache>
            </c:numRef>
          </c:xVal>
          <c:yVal>
            <c:numRef>
              <c:f>('Substrate kinetics'!$A$69:$A$70,'Substrate kinetics'!$A$72)</c:f>
              <c:numCache>
                <c:formatCode>General</c:formatCode>
                <c:ptCount val="3"/>
                <c:pt idx="0">
                  <c:v>5.854166666666667</c:v>
                </c:pt>
                <c:pt idx="1">
                  <c:v>3.885416666666667</c:v>
                </c:pt>
                <c:pt idx="2">
                  <c:v>1.5208333333333333</c:v>
                </c:pt>
              </c:numCache>
            </c:numRef>
          </c:yVal>
          <c:smooth val="0"/>
          <c:extLst>
            <c:ext xmlns:c16="http://schemas.microsoft.com/office/drawing/2014/chart" uri="{C3380CC4-5D6E-409C-BE32-E72D297353CC}">
              <c16:uniqueId val="{00000005-37ED-46A8-8078-34D0048B7EC2}"/>
            </c:ext>
          </c:extLst>
        </c:ser>
        <c:ser>
          <c:idx val="1"/>
          <c:order val="1"/>
          <c:tx>
            <c:v>outliers</c:v>
          </c:tx>
          <c:spPr>
            <a:ln w="25400" cap="rnd">
              <a:noFill/>
              <a:round/>
            </a:ln>
            <a:effectLst/>
          </c:spPr>
          <c:marker>
            <c:symbol val="circle"/>
            <c:size val="5"/>
            <c:spPr>
              <a:solidFill>
                <a:schemeClr val="accent2"/>
              </a:solidFill>
              <a:ln w="9525">
                <a:solidFill>
                  <a:schemeClr val="accent2"/>
                </a:solidFill>
              </a:ln>
              <a:effectLst/>
            </c:spPr>
          </c:marker>
          <c:xVal>
            <c:numRef>
              <c:f>('Substrate kinetics'!$B$68,'Substrate kinetics'!$B$71)</c:f>
              <c:numCache>
                <c:formatCode>General</c:formatCode>
                <c:ptCount val="2"/>
                <c:pt idx="0">
                  <c:v>1.2520833333333335E-2</c:v>
                </c:pt>
                <c:pt idx="1">
                  <c:v>1.6750000000000001E-2</c:v>
                </c:pt>
              </c:numCache>
            </c:numRef>
          </c:xVal>
          <c:yVal>
            <c:numRef>
              <c:f>('Substrate kinetics'!$A$68,'Substrate kinetics'!$A$71)</c:f>
              <c:numCache>
                <c:formatCode>General</c:formatCode>
                <c:ptCount val="2"/>
                <c:pt idx="0">
                  <c:v>12.520833333333336</c:v>
                </c:pt>
                <c:pt idx="1">
                  <c:v>2.09375</c:v>
                </c:pt>
              </c:numCache>
            </c:numRef>
          </c:yVal>
          <c:smooth val="0"/>
          <c:extLst>
            <c:ext xmlns:c16="http://schemas.microsoft.com/office/drawing/2014/chart" uri="{C3380CC4-5D6E-409C-BE32-E72D297353CC}">
              <c16:uniqueId val="{00000007-37ED-46A8-8078-34D0048B7EC2}"/>
            </c:ext>
          </c:extLst>
        </c:ser>
        <c:dLbls>
          <c:showLegendKey val="0"/>
          <c:showVal val="0"/>
          <c:showCatName val="0"/>
          <c:showSerName val="0"/>
          <c:showPercent val="0"/>
          <c:showBubbleSize val="0"/>
        </c:dLbls>
        <c:axId val="454325519"/>
        <c:axId val="2070493247"/>
      </c:scatterChart>
      <c:valAx>
        <c:axId val="454325519"/>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solidFill>
                      <a:sysClr val="windowText" lastClr="000000"/>
                    </a:solidFill>
                    <a:latin typeface="Times New Roman" panose="02020603050405020304" pitchFamily="18" charset="0"/>
                    <a:cs typeface="Times New Roman" panose="02020603050405020304" pitchFamily="18" charset="0"/>
                  </a:rPr>
                  <a:t>V0/[S0]</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2070493247"/>
        <c:crosses val="autoZero"/>
        <c:crossBetween val="midCat"/>
      </c:valAx>
      <c:valAx>
        <c:axId val="207049324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V0 (</a:t>
                </a:r>
                <a:r>
                  <a:rPr lang="en-ZA" sz="1000" b="0" i="0" u="none" strike="noStrike" kern="1200" baseline="0">
                    <a:solidFill>
                      <a:sysClr val="windowText" lastClr="000000"/>
                    </a:solidFill>
                    <a:latin typeface="Symbol" panose="05050102010706020507" pitchFamily="18" charset="2"/>
                    <a:cs typeface="Times New Roman" panose="02020603050405020304" pitchFamily="18" charset="0"/>
                  </a:rPr>
                  <a:t>m</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mol.L-1.min-1)</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54325519"/>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ZA"/>
              <a:t>Hanes-Woolf</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backward val="600"/>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rendlineLbl>
          </c:trendline>
          <c:xVal>
            <c:numRef>
              <c:f>('Substrate kinetics'!$A$80:$A$81,'Substrate kinetics'!$A$83)</c:f>
              <c:numCache>
                <c:formatCode>General</c:formatCode>
                <c:ptCount val="3"/>
                <c:pt idx="0">
                  <c:v>500</c:v>
                </c:pt>
                <c:pt idx="1">
                  <c:v>250</c:v>
                </c:pt>
                <c:pt idx="2">
                  <c:v>62.5</c:v>
                </c:pt>
              </c:numCache>
            </c:numRef>
          </c:xVal>
          <c:yVal>
            <c:numRef>
              <c:f>('Substrate kinetics'!$B$80:$B$81,'Substrate kinetics'!$B$83)</c:f>
              <c:numCache>
                <c:formatCode>General</c:formatCode>
                <c:ptCount val="3"/>
                <c:pt idx="0">
                  <c:v>85.409252669039148</c:v>
                </c:pt>
                <c:pt idx="1">
                  <c:v>64.343163538873995</c:v>
                </c:pt>
                <c:pt idx="2">
                  <c:v>41.095890410958908</c:v>
                </c:pt>
              </c:numCache>
            </c:numRef>
          </c:yVal>
          <c:smooth val="0"/>
          <c:extLst>
            <c:ext xmlns:c16="http://schemas.microsoft.com/office/drawing/2014/chart" uri="{C3380CC4-5D6E-409C-BE32-E72D297353CC}">
              <c16:uniqueId val="{00000000-7E11-42C6-AD97-10ABDC65B026}"/>
            </c:ext>
          </c:extLst>
        </c:ser>
        <c:dLbls>
          <c:showLegendKey val="0"/>
          <c:showVal val="0"/>
          <c:showCatName val="0"/>
          <c:showSerName val="0"/>
          <c:showPercent val="0"/>
          <c:showBubbleSize val="0"/>
        </c:dLbls>
        <c:axId val="525880111"/>
        <c:axId val="464384255"/>
      </c:scatterChart>
      <c:valAx>
        <c:axId val="525880111"/>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Substrate concentration (</a:t>
                </a:r>
                <a:r>
                  <a:rPr lang="en-ZA" sz="1000" b="0" i="0" u="none" strike="noStrike" kern="1200" baseline="0">
                    <a:solidFill>
                      <a:sysClr val="windowText" lastClr="000000"/>
                    </a:solidFill>
                    <a:latin typeface="Symbol" panose="05050102010706020507" pitchFamily="18" charset="2"/>
                    <a:cs typeface="Times New Roman" panose="02020603050405020304" pitchFamily="18" charset="0"/>
                  </a:rPr>
                  <a:t>m</a:t>
                </a:r>
                <a:r>
                  <a:rPr lang="en-ZA" sz="1000" b="0" i="0" u="none" strike="noStrike" kern="1200" baseline="0">
                    <a:solidFill>
                      <a:sysClr val="windowText" lastClr="000000"/>
                    </a:solidFill>
                    <a:latin typeface="Times New Roman" panose="02020603050405020304" pitchFamily="18" charset="0"/>
                    <a:cs typeface="Times New Roman" panose="02020603050405020304" pitchFamily="18" charset="0"/>
                  </a:rPr>
                  <a:t>mol.L-1)</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464384255"/>
        <c:crosses val="autoZero"/>
        <c:crossBetween val="midCat"/>
      </c:valAx>
      <c:valAx>
        <c:axId val="46438425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ZA"/>
                  <a:t>[S]/V0</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5258801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167640</xdr:colOff>
      <xdr:row>6</xdr:row>
      <xdr:rowOff>72390</xdr:rowOff>
    </xdr:from>
    <xdr:to>
      <xdr:col>14</xdr:col>
      <xdr:colOff>472440</xdr:colOff>
      <xdr:row>21</xdr:row>
      <xdr:rowOff>72390</xdr:rowOff>
    </xdr:to>
    <xdr:graphicFrame macro="">
      <xdr:nvGraphicFramePr>
        <xdr:cNvPr id="3" name="Chart 2">
          <a:extLst>
            <a:ext uri="{FF2B5EF4-FFF2-40B4-BE49-F238E27FC236}">
              <a16:creationId xmlns:a16="http://schemas.microsoft.com/office/drawing/2014/main" id="{705911B9-FEC1-533E-0D81-9CDEE58C13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586740</xdr:colOff>
      <xdr:row>0</xdr:row>
      <xdr:rowOff>0</xdr:rowOff>
    </xdr:from>
    <xdr:to>
      <xdr:col>14</xdr:col>
      <xdr:colOff>281940</xdr:colOff>
      <xdr:row>15</xdr:row>
      <xdr:rowOff>0</xdr:rowOff>
    </xdr:to>
    <xdr:graphicFrame macro="">
      <xdr:nvGraphicFramePr>
        <xdr:cNvPr id="2" name="Chart 1">
          <a:extLst>
            <a:ext uri="{FF2B5EF4-FFF2-40B4-BE49-F238E27FC236}">
              <a16:creationId xmlns:a16="http://schemas.microsoft.com/office/drawing/2014/main" id="{3CE37D55-01D9-0B7D-5F20-D18E0CA2A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34290</xdr:rowOff>
    </xdr:from>
    <xdr:to>
      <xdr:col>12</xdr:col>
      <xdr:colOff>563880</xdr:colOff>
      <xdr:row>16</xdr:row>
      <xdr:rowOff>34290</xdr:rowOff>
    </xdr:to>
    <xdr:graphicFrame macro="">
      <xdr:nvGraphicFramePr>
        <xdr:cNvPr id="5" name="Chart 4">
          <a:extLst>
            <a:ext uri="{FF2B5EF4-FFF2-40B4-BE49-F238E27FC236}">
              <a16:creationId xmlns:a16="http://schemas.microsoft.com/office/drawing/2014/main" id="{A64A1B27-8305-3DE6-847A-80D62917A6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220980</xdr:colOff>
      <xdr:row>16</xdr:row>
      <xdr:rowOff>41910</xdr:rowOff>
    </xdr:from>
    <xdr:to>
      <xdr:col>13</xdr:col>
      <xdr:colOff>525780</xdr:colOff>
      <xdr:row>31</xdr:row>
      <xdr:rowOff>41910</xdr:rowOff>
    </xdr:to>
    <xdr:graphicFrame macro="">
      <xdr:nvGraphicFramePr>
        <xdr:cNvPr id="4" name="Chart 3">
          <a:extLst>
            <a:ext uri="{FF2B5EF4-FFF2-40B4-BE49-F238E27FC236}">
              <a16:creationId xmlns:a16="http://schemas.microsoft.com/office/drawing/2014/main" id="{DA63F352-1D76-038D-79F1-BDB3B8269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541020</xdr:colOff>
      <xdr:row>1</xdr:row>
      <xdr:rowOff>26670</xdr:rowOff>
    </xdr:from>
    <xdr:to>
      <xdr:col>16</xdr:col>
      <xdr:colOff>190500</xdr:colOff>
      <xdr:row>18</xdr:row>
      <xdr:rowOff>106680</xdr:rowOff>
    </xdr:to>
    <xdr:graphicFrame macro="">
      <xdr:nvGraphicFramePr>
        <xdr:cNvPr id="2" name="Chart 1">
          <a:extLst>
            <a:ext uri="{FF2B5EF4-FFF2-40B4-BE49-F238E27FC236}">
              <a16:creationId xmlns:a16="http://schemas.microsoft.com/office/drawing/2014/main" id="{CF4B7B5C-83F0-0F9B-0FE7-1C1B0CDF5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43</xdr:row>
      <xdr:rowOff>148590</xdr:rowOff>
    </xdr:from>
    <xdr:to>
      <xdr:col>13</xdr:col>
      <xdr:colOff>53340</xdr:colOff>
      <xdr:row>58</xdr:row>
      <xdr:rowOff>148590</xdr:rowOff>
    </xdr:to>
    <xdr:graphicFrame macro="">
      <xdr:nvGraphicFramePr>
        <xdr:cNvPr id="3" name="Chart 2">
          <a:extLst>
            <a:ext uri="{FF2B5EF4-FFF2-40B4-BE49-F238E27FC236}">
              <a16:creationId xmlns:a16="http://schemas.microsoft.com/office/drawing/2014/main" id="{707437D8-A8DD-48A6-9C46-AF1DAB03F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251460</xdr:colOff>
      <xdr:row>59</xdr:row>
      <xdr:rowOff>3810</xdr:rowOff>
    </xdr:from>
    <xdr:to>
      <xdr:col>12</xdr:col>
      <xdr:colOff>556260</xdr:colOff>
      <xdr:row>74</xdr:row>
      <xdr:rowOff>3810</xdr:rowOff>
    </xdr:to>
    <xdr:graphicFrame macro="">
      <xdr:nvGraphicFramePr>
        <xdr:cNvPr id="6" name="Chart 5">
          <a:extLst>
            <a:ext uri="{FF2B5EF4-FFF2-40B4-BE49-F238E27FC236}">
              <a16:creationId xmlns:a16="http://schemas.microsoft.com/office/drawing/2014/main" id="{38782B3B-68F6-698E-AF4B-9CDE5870C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74</xdr:row>
      <xdr:rowOff>95250</xdr:rowOff>
    </xdr:from>
    <xdr:to>
      <xdr:col>12</xdr:col>
      <xdr:colOff>495300</xdr:colOff>
      <xdr:row>89</xdr:row>
      <xdr:rowOff>95250</xdr:rowOff>
    </xdr:to>
    <xdr:graphicFrame macro="">
      <xdr:nvGraphicFramePr>
        <xdr:cNvPr id="12" name="Chart 11">
          <a:extLst>
            <a:ext uri="{FF2B5EF4-FFF2-40B4-BE49-F238E27FC236}">
              <a16:creationId xmlns:a16="http://schemas.microsoft.com/office/drawing/2014/main" id="{6C0385CF-6BE7-E6AF-7D80-A664E1263B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121920</xdr:colOff>
      <xdr:row>74</xdr:row>
      <xdr:rowOff>11430</xdr:rowOff>
    </xdr:from>
    <xdr:to>
      <xdr:col>15</xdr:col>
      <xdr:colOff>426720</xdr:colOff>
      <xdr:row>89</xdr:row>
      <xdr:rowOff>11430</xdr:rowOff>
    </xdr:to>
    <xdr:graphicFrame macro="">
      <xdr:nvGraphicFramePr>
        <xdr:cNvPr id="13" name="Chart 12">
          <a:extLst>
            <a:ext uri="{FF2B5EF4-FFF2-40B4-BE49-F238E27FC236}">
              <a16:creationId xmlns:a16="http://schemas.microsoft.com/office/drawing/2014/main" id="{4DCC308E-A883-3938-827B-82CCD659ED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182880</xdr:colOff>
      <xdr:row>86</xdr:row>
      <xdr:rowOff>72390</xdr:rowOff>
    </xdr:from>
    <xdr:to>
      <xdr:col>14</xdr:col>
      <xdr:colOff>525780</xdr:colOff>
      <xdr:row>107</xdr:row>
      <xdr:rowOff>152400</xdr:rowOff>
    </xdr:to>
    <xdr:graphicFrame macro="">
      <xdr:nvGraphicFramePr>
        <xdr:cNvPr id="14" name="Chart 13">
          <a:extLst>
            <a:ext uri="{FF2B5EF4-FFF2-40B4-BE49-F238E27FC236}">
              <a16:creationId xmlns:a16="http://schemas.microsoft.com/office/drawing/2014/main" id="{C012BC27-B128-EE06-66C4-DDFD5F4D2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E1E58-1544-4505-9E1C-E80AE8196086}">
  <dimension ref="A1:H32"/>
  <sheetViews>
    <sheetView workbookViewId="0">
      <selection activeCell="C22" sqref="C22"/>
    </sheetView>
  </sheetViews>
  <sheetFormatPr defaultRowHeight="14.4"/>
  <cols>
    <col min="1" max="1" width="38.21875" bestFit="1" customWidth="1"/>
    <col min="2" max="2" width="12" bestFit="1" customWidth="1"/>
  </cols>
  <sheetData>
    <row r="1" spans="1:8">
      <c r="A1" t="s">
        <v>0</v>
      </c>
    </row>
    <row r="2" spans="1:8">
      <c r="A2" t="s">
        <v>1</v>
      </c>
      <c r="C2" t="s">
        <v>3</v>
      </c>
      <c r="D2" t="s">
        <v>2</v>
      </c>
      <c r="H2" t="s">
        <v>7</v>
      </c>
    </row>
    <row r="3" spans="1:8">
      <c r="A3">
        <v>1</v>
      </c>
      <c r="C3">
        <v>1</v>
      </c>
      <c r="D3">
        <v>0.94199999999999995</v>
      </c>
    </row>
    <row r="4" spans="1:8">
      <c r="A4">
        <v>2</v>
      </c>
      <c r="C4">
        <v>0.8</v>
      </c>
      <c r="D4">
        <v>0.78800000000000003</v>
      </c>
    </row>
    <row r="5" spans="1:8">
      <c r="A5">
        <v>3</v>
      </c>
      <c r="C5">
        <v>0.6</v>
      </c>
      <c r="D5">
        <v>0.33</v>
      </c>
    </row>
    <row r="6" spans="1:8">
      <c r="A6">
        <v>4</v>
      </c>
      <c r="C6">
        <v>0.4</v>
      </c>
      <c r="D6">
        <v>0.22800000000000001</v>
      </c>
    </row>
    <row r="7" spans="1:8">
      <c r="A7">
        <v>5</v>
      </c>
      <c r="C7">
        <v>0.2</v>
      </c>
      <c r="D7">
        <v>0.115</v>
      </c>
    </row>
    <row r="8" spans="1:8">
      <c r="A8">
        <v>6</v>
      </c>
      <c r="C8">
        <v>0.1</v>
      </c>
      <c r="D8">
        <v>6.4000000000000001E-2</v>
      </c>
    </row>
    <row r="9" spans="1:8">
      <c r="A9" t="s">
        <v>4</v>
      </c>
      <c r="C9">
        <v>0</v>
      </c>
      <c r="D9">
        <v>0</v>
      </c>
    </row>
    <row r="11" spans="1:8">
      <c r="A11" t="s">
        <v>8</v>
      </c>
      <c r="C11" t="s">
        <v>10</v>
      </c>
      <c r="D11" t="s">
        <v>9</v>
      </c>
    </row>
    <row r="12" spans="1:8">
      <c r="A12" t="s">
        <v>5</v>
      </c>
      <c r="C12">
        <f>(D12+0.1123)/1.0132</f>
        <v>0.48489932885906034</v>
      </c>
      <c r="D12">
        <v>0.379</v>
      </c>
    </row>
    <row r="13" spans="1:8">
      <c r="A13" t="s">
        <v>6</v>
      </c>
      <c r="C13">
        <f>(D13+0.1123)/1.0132</f>
        <v>0.3111922621397552</v>
      </c>
      <c r="D13">
        <v>0.20300000000000001</v>
      </c>
    </row>
    <row r="18" spans="1:6">
      <c r="A18" t="s">
        <v>11</v>
      </c>
    </row>
    <row r="19" spans="1:6">
      <c r="A19" t="s">
        <v>5</v>
      </c>
      <c r="B19" s="1" t="s">
        <v>13</v>
      </c>
      <c r="C19" s="1" t="s">
        <v>14</v>
      </c>
      <c r="D19" t="s">
        <v>6</v>
      </c>
      <c r="E19" s="1" t="s">
        <v>13</v>
      </c>
      <c r="F19" s="1" t="s">
        <v>14</v>
      </c>
    </row>
    <row r="20" spans="1:6">
      <c r="A20" t="s">
        <v>12</v>
      </c>
      <c r="B20">
        <v>0.48489932885906034</v>
      </c>
      <c r="C20">
        <f>B20/1000</f>
        <v>4.8489932885906032E-4</v>
      </c>
      <c r="E20">
        <f>C13</f>
        <v>0.3111922621397552</v>
      </c>
      <c r="F20">
        <f>E20/1000</f>
        <v>3.1119226213975523E-4</v>
      </c>
    </row>
    <row r="21" spans="1:6">
      <c r="B21" s="1" t="s">
        <v>16</v>
      </c>
      <c r="C21" s="1" t="s">
        <v>17</v>
      </c>
      <c r="E21" s="1" t="s">
        <v>16</v>
      </c>
      <c r="F21" s="1" t="s">
        <v>17</v>
      </c>
    </row>
    <row r="22" spans="1:6">
      <c r="A22" t="s">
        <v>15</v>
      </c>
      <c r="B22">
        <v>1</v>
      </c>
      <c r="C22">
        <f>B22/1000</f>
        <v>1E-3</v>
      </c>
      <c r="E22">
        <v>1</v>
      </c>
      <c r="F22">
        <f>E22/1000</f>
        <v>1E-3</v>
      </c>
    </row>
    <row r="23" spans="1:6">
      <c r="B23" s="1" t="s">
        <v>19</v>
      </c>
      <c r="E23" s="1" t="s">
        <v>19</v>
      </c>
    </row>
    <row r="24" spans="1:6">
      <c r="A24" t="s">
        <v>18</v>
      </c>
      <c r="B24">
        <f>27*1000</f>
        <v>27000</v>
      </c>
      <c r="E24">
        <f>27*1000</f>
        <v>27000</v>
      </c>
    </row>
    <row r="25" spans="1:6">
      <c r="A25" t="s">
        <v>20</v>
      </c>
      <c r="B25">
        <f>C20/B24</f>
        <v>1.795923440218742E-8</v>
      </c>
      <c r="E25">
        <f>F20/E24</f>
        <v>1.1525639338509452E-8</v>
      </c>
    </row>
    <row r="26" spans="1:6">
      <c r="A26" t="s">
        <v>21</v>
      </c>
      <c r="B26">
        <f>B25/C22</f>
        <v>1.795923440218742E-5</v>
      </c>
      <c r="E26">
        <f>E25/F22</f>
        <v>1.1525639338509452E-5</v>
      </c>
    </row>
    <row r="27" spans="1:6">
      <c r="A27" t="s">
        <v>22</v>
      </c>
      <c r="B27">
        <f>B26*1000000</f>
        <v>17.95923440218742</v>
      </c>
      <c r="E27">
        <f>E26*1000000</f>
        <v>11.525639338509452</v>
      </c>
    </row>
    <row r="30" spans="1:6">
      <c r="A30" t="s">
        <v>23</v>
      </c>
      <c r="B30" t="s">
        <v>28</v>
      </c>
    </row>
    <row r="31" spans="1:6" ht="15">
      <c r="A31" t="s">
        <v>24</v>
      </c>
      <c r="B31" t="s">
        <v>26</v>
      </c>
      <c r="C31" s="2" t="s">
        <v>27</v>
      </c>
    </row>
    <row r="32" spans="1:6">
      <c r="A32" t="s">
        <v>25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13B4-9283-4304-BC6E-AA61991E86B0}">
  <dimension ref="A1:E20"/>
  <sheetViews>
    <sheetView workbookViewId="0">
      <selection activeCell="A2" sqref="A2"/>
    </sheetView>
  </sheetViews>
  <sheetFormatPr defaultRowHeight="14.4"/>
  <cols>
    <col min="2" max="2" width="30.33203125" bestFit="1" customWidth="1"/>
  </cols>
  <sheetData>
    <row r="1" spans="1:5">
      <c r="A1" t="s">
        <v>63</v>
      </c>
    </row>
    <row r="2" spans="1:5">
      <c r="A2" t="s">
        <v>93</v>
      </c>
    </row>
    <row r="7" spans="1:5">
      <c r="A7" t="s">
        <v>92</v>
      </c>
      <c r="B7" t="s">
        <v>65</v>
      </c>
      <c r="C7" t="s">
        <v>54</v>
      </c>
      <c r="D7" t="s">
        <v>55</v>
      </c>
      <c r="E7" t="s">
        <v>56</v>
      </c>
    </row>
    <row r="8" spans="1:5">
      <c r="A8" t="s">
        <v>5</v>
      </c>
      <c r="B8">
        <v>0.214</v>
      </c>
      <c r="C8">
        <v>0.50800000000000001</v>
      </c>
      <c r="D8">
        <v>0.42799999999999999</v>
      </c>
      <c r="E8">
        <v>0.33100000000000002</v>
      </c>
    </row>
    <row r="9" spans="1:5">
      <c r="A9" t="s">
        <v>6</v>
      </c>
      <c r="B9">
        <v>0.214</v>
      </c>
      <c r="C9">
        <v>0.57399999999999995</v>
      </c>
      <c r="D9">
        <v>0.49199999999999999</v>
      </c>
      <c r="E9">
        <v>0.32600000000000001</v>
      </c>
    </row>
    <row r="10" spans="1:5">
      <c r="A10" t="s">
        <v>33</v>
      </c>
      <c r="B10">
        <v>0.20599999999999999</v>
      </c>
      <c r="C10">
        <v>0.67800000000000005</v>
      </c>
      <c r="D10">
        <v>0.42699999999999999</v>
      </c>
      <c r="E10">
        <v>0.46100000000000002</v>
      </c>
    </row>
    <row r="11" spans="1:5">
      <c r="A11" t="s">
        <v>62</v>
      </c>
      <c r="B11">
        <f>AVERAGE(B8:B10)</f>
        <v>0.21133333333333335</v>
      </c>
      <c r="C11">
        <f t="shared" ref="C11:E11" si="0">AVERAGE(C8:C10)</f>
        <v>0.58666666666666656</v>
      </c>
      <c r="D11">
        <f t="shared" si="0"/>
        <v>0.44900000000000001</v>
      </c>
      <c r="E11">
        <f t="shared" si="0"/>
        <v>0.3726666666666667</v>
      </c>
    </row>
    <row r="12" spans="1:5">
      <c r="A12" t="s">
        <v>64</v>
      </c>
      <c r="B12">
        <f>_xlfn.STDEV.S(B8:B10)</f>
        <v>4.6188021535170107E-3</v>
      </c>
      <c r="C12">
        <f t="shared" ref="C12:E12" si="1">_xlfn.STDEV.S(C8:C10)</f>
        <v>8.5704920123254452E-2</v>
      </c>
      <c r="D12">
        <f t="shared" si="1"/>
        <v>3.7242448899072148E-2</v>
      </c>
      <c r="E12">
        <f t="shared" si="1"/>
        <v>7.6539750021366662E-2</v>
      </c>
    </row>
    <row r="13" spans="1:5">
      <c r="C13" t="s">
        <v>60</v>
      </c>
      <c r="D13" t="s">
        <v>61</v>
      </c>
    </row>
    <row r="14" spans="1:5">
      <c r="A14" t="s">
        <v>57</v>
      </c>
      <c r="C14">
        <v>1</v>
      </c>
      <c r="D14">
        <v>5000</v>
      </c>
    </row>
    <row r="15" spans="1:5">
      <c r="A15" t="s">
        <v>58</v>
      </c>
      <c r="C15">
        <v>1</v>
      </c>
      <c r="D15">
        <v>10000</v>
      </c>
    </row>
    <row r="16" spans="1:5">
      <c r="A16" t="s">
        <v>59</v>
      </c>
      <c r="C16">
        <v>1</v>
      </c>
      <c r="D16">
        <v>20000</v>
      </c>
    </row>
    <row r="19" spans="1:1">
      <c r="A19" t="s">
        <v>66</v>
      </c>
    </row>
    <row r="20" spans="1:1">
      <c r="A20" t="s">
        <v>67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0FE8-33F0-4A1B-BC70-0D4B1A8A695B}">
  <dimension ref="A1:D35"/>
  <sheetViews>
    <sheetView topLeftCell="A11" workbookViewId="0">
      <selection activeCell="F37" sqref="F37"/>
    </sheetView>
  </sheetViews>
  <sheetFormatPr defaultRowHeight="14.4"/>
  <cols>
    <col min="1" max="1" width="12" bestFit="1" customWidth="1"/>
    <col min="3" max="3" width="12" bestFit="1" customWidth="1"/>
  </cols>
  <sheetData>
    <row r="1" spans="1:4">
      <c r="A1" t="s">
        <v>29</v>
      </c>
    </row>
    <row r="2" spans="1:4">
      <c r="A2" t="s">
        <v>30</v>
      </c>
    </row>
    <row r="3" spans="1:4">
      <c r="A3" t="s">
        <v>0</v>
      </c>
      <c r="B3" t="s">
        <v>34</v>
      </c>
      <c r="C3">
        <v>9600</v>
      </c>
    </row>
    <row r="4" spans="1:4">
      <c r="A4" t="s">
        <v>32</v>
      </c>
      <c r="B4" t="s">
        <v>31</v>
      </c>
      <c r="C4" t="s">
        <v>33</v>
      </c>
      <c r="D4" t="s">
        <v>35</v>
      </c>
    </row>
    <row r="5" spans="1:4">
      <c r="A5">
        <v>0</v>
      </c>
      <c r="B5">
        <v>9.0399999999999994E-2</v>
      </c>
      <c r="C5">
        <f>B5/($C$3*1)</f>
        <v>9.4166666666666657E-6</v>
      </c>
      <c r="D5">
        <f>C5*1000000</f>
        <v>9.4166666666666661</v>
      </c>
    </row>
    <row r="6" spans="1:4">
      <c r="A6">
        <v>30</v>
      </c>
      <c r="B6">
        <v>0.10340000000000001</v>
      </c>
      <c r="C6">
        <f t="shared" ref="C6:C15" si="0">B6/($C$3*1)</f>
        <v>1.0770833333333334E-5</v>
      </c>
      <c r="D6">
        <f t="shared" ref="D6:D15" si="1">C6*1000000</f>
        <v>10.770833333333334</v>
      </c>
    </row>
    <row r="7" spans="1:4">
      <c r="A7">
        <v>60</v>
      </c>
      <c r="B7">
        <v>0.11799999999999999</v>
      </c>
      <c r="C7">
        <f t="shared" si="0"/>
        <v>1.2291666666666666E-5</v>
      </c>
      <c r="D7">
        <f t="shared" si="1"/>
        <v>12.291666666666666</v>
      </c>
    </row>
    <row r="8" spans="1:4">
      <c r="A8">
        <v>90</v>
      </c>
      <c r="B8">
        <v>0.1321</v>
      </c>
      <c r="C8">
        <f t="shared" si="0"/>
        <v>1.3760416666666666E-5</v>
      </c>
      <c r="D8">
        <f t="shared" si="1"/>
        <v>13.760416666666666</v>
      </c>
    </row>
    <row r="9" spans="1:4">
      <c r="A9">
        <v>120</v>
      </c>
      <c r="B9">
        <v>0.14599999999999999</v>
      </c>
      <c r="C9">
        <f t="shared" si="0"/>
        <v>1.5208333333333333E-5</v>
      </c>
      <c r="D9">
        <f t="shared" si="1"/>
        <v>15.208333333333334</v>
      </c>
    </row>
    <row r="10" spans="1:4">
      <c r="A10">
        <f>A9+30</f>
        <v>150</v>
      </c>
      <c r="B10">
        <v>0.15989999999999999</v>
      </c>
      <c r="C10">
        <f t="shared" si="0"/>
        <v>1.6656249999999998E-5</v>
      </c>
      <c r="D10">
        <f t="shared" si="1"/>
        <v>16.65625</v>
      </c>
    </row>
    <row r="11" spans="1:4">
      <c r="A11">
        <f t="shared" ref="A11:A15" si="2">A10+30</f>
        <v>180</v>
      </c>
      <c r="B11">
        <v>0.17419999999999999</v>
      </c>
      <c r="C11">
        <f t="shared" si="0"/>
        <v>1.8145833333333332E-5</v>
      </c>
      <c r="D11">
        <f t="shared" si="1"/>
        <v>18.145833333333332</v>
      </c>
    </row>
    <row r="12" spans="1:4">
      <c r="A12">
        <f t="shared" si="2"/>
        <v>210</v>
      </c>
      <c r="B12">
        <v>0.1888</v>
      </c>
      <c r="C12">
        <f t="shared" si="0"/>
        <v>1.9666666666666666E-5</v>
      </c>
      <c r="D12">
        <f t="shared" si="1"/>
        <v>19.666666666666664</v>
      </c>
    </row>
    <row r="13" spans="1:4">
      <c r="A13">
        <f t="shared" si="2"/>
        <v>240</v>
      </c>
      <c r="B13">
        <v>0.20280000000000001</v>
      </c>
      <c r="C13">
        <f t="shared" si="0"/>
        <v>2.1125000000000002E-5</v>
      </c>
      <c r="D13">
        <f t="shared" si="1"/>
        <v>21.125000000000004</v>
      </c>
    </row>
    <row r="14" spans="1:4">
      <c r="A14">
        <f t="shared" si="2"/>
        <v>270</v>
      </c>
      <c r="B14">
        <v>0.216</v>
      </c>
      <c r="C14">
        <f t="shared" si="0"/>
        <v>2.2500000000000001E-5</v>
      </c>
      <c r="D14">
        <f t="shared" si="1"/>
        <v>22.5</v>
      </c>
    </row>
    <row r="15" spans="1:4">
      <c r="A15">
        <f t="shared" si="2"/>
        <v>300</v>
      </c>
      <c r="B15">
        <v>0.23100000000000001</v>
      </c>
      <c r="C15">
        <f t="shared" si="0"/>
        <v>2.4062500000000002E-5</v>
      </c>
      <c r="D15">
        <f t="shared" si="1"/>
        <v>24.062500000000004</v>
      </c>
    </row>
    <row r="18" spans="1:4">
      <c r="A18" t="s">
        <v>38</v>
      </c>
    </row>
    <row r="19" spans="1:4">
      <c r="A19">
        <f>(B7-B5)/1</f>
        <v>2.76E-2</v>
      </c>
    </row>
    <row r="20" spans="1:4">
      <c r="A20" t="s">
        <v>39</v>
      </c>
      <c r="B20" t="s">
        <v>36</v>
      </c>
    </row>
    <row r="21" spans="1:4">
      <c r="A21">
        <f>A19/(C3*1)</f>
        <v>2.875E-6</v>
      </c>
    </row>
    <row r="22" spans="1:4">
      <c r="A22" t="s">
        <v>40</v>
      </c>
      <c r="C22" t="s">
        <v>43</v>
      </c>
    </row>
    <row r="23" spans="1:4">
      <c r="A23">
        <f>A21*1000000</f>
        <v>2.875</v>
      </c>
    </row>
    <row r="24" spans="1:4">
      <c r="A24" t="s">
        <v>41</v>
      </c>
      <c r="B24" t="s">
        <v>37</v>
      </c>
      <c r="D24">
        <v>1E-3</v>
      </c>
    </row>
    <row r="25" spans="1:4">
      <c r="A25">
        <f>A23*0.001</f>
        <v>2.875E-3</v>
      </c>
      <c r="B25" t="s">
        <v>42</v>
      </c>
      <c r="C25" t="s">
        <v>44</v>
      </c>
    </row>
    <row r="26" spans="1:4">
      <c r="A26" t="s">
        <v>45</v>
      </c>
      <c r="B26" t="s">
        <v>46</v>
      </c>
    </row>
    <row r="27" spans="1:4">
      <c r="A27" t="s">
        <v>51</v>
      </c>
    </row>
    <row r="29" spans="1:4">
      <c r="A29" t="s">
        <v>47</v>
      </c>
    </row>
    <row r="30" spans="1:4" ht="16.2">
      <c r="A30" t="s">
        <v>48</v>
      </c>
    </row>
    <row r="31" spans="1:4">
      <c r="A31" t="s">
        <v>50</v>
      </c>
      <c r="B31" t="s">
        <v>52</v>
      </c>
    </row>
    <row r="32" spans="1:4">
      <c r="A32">
        <v>0.01</v>
      </c>
      <c r="B32">
        <f>0.5*A32</f>
        <v>5.0000000000000001E-3</v>
      </c>
    </row>
    <row r="33" spans="1:2">
      <c r="A33" t="s">
        <v>49</v>
      </c>
      <c r="B33">
        <f>A25/B32</f>
        <v>0.57499999999999996</v>
      </c>
    </row>
    <row r="35" spans="1:2">
      <c r="A35" t="s">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F532A-3E2E-4550-A173-0C0FA2A8AD96}">
  <dimension ref="A1:N47"/>
  <sheetViews>
    <sheetView topLeftCell="A31" workbookViewId="0">
      <selection activeCell="A47" sqref="A47"/>
    </sheetView>
  </sheetViews>
  <sheetFormatPr defaultRowHeight="14.4"/>
  <cols>
    <col min="2" max="4" width="12" bestFit="1" customWidth="1"/>
  </cols>
  <sheetData>
    <row r="1" spans="1:14">
      <c r="A1" t="s">
        <v>68</v>
      </c>
    </row>
    <row r="2" spans="1:14">
      <c r="B2" t="s">
        <v>9</v>
      </c>
    </row>
    <row r="3" spans="1:14">
      <c r="B3" s="5" t="s">
        <v>69</v>
      </c>
      <c r="C3" s="5"/>
      <c r="D3" s="3" t="s">
        <v>73</v>
      </c>
      <c r="E3" t="s">
        <v>70</v>
      </c>
      <c r="G3" t="s">
        <v>74</v>
      </c>
      <c r="H3" t="s">
        <v>71</v>
      </c>
      <c r="J3" t="s">
        <v>75</v>
      </c>
    </row>
    <row r="4" spans="1:14">
      <c r="A4" t="s">
        <v>72</v>
      </c>
      <c r="B4">
        <v>1</v>
      </c>
      <c r="C4">
        <v>2</v>
      </c>
      <c r="E4">
        <v>1</v>
      </c>
      <c r="F4">
        <v>2</v>
      </c>
      <c r="H4">
        <v>1</v>
      </c>
      <c r="I4">
        <v>2</v>
      </c>
    </row>
    <row r="5" spans="1:14">
      <c r="A5">
        <v>0</v>
      </c>
      <c r="B5">
        <v>0.12559999999999999</v>
      </c>
      <c r="C5">
        <v>0.24879999999999999</v>
      </c>
      <c r="D5">
        <f>AVERAGE(B5:C5)</f>
        <v>0.18719999999999998</v>
      </c>
      <c r="E5">
        <v>8.72E-2</v>
      </c>
      <c r="F5">
        <v>0.1158</v>
      </c>
      <c r="G5">
        <f>AVERAGE(E5:F5)</f>
        <v>0.10150000000000001</v>
      </c>
      <c r="H5">
        <v>8.3400000000000002E-2</v>
      </c>
      <c r="I5">
        <v>0.16900000000000001</v>
      </c>
      <c r="J5">
        <f>AVERAGE(H5:I5)</f>
        <v>0.12620000000000001</v>
      </c>
    </row>
    <row r="6" spans="1:14">
      <c r="A6">
        <v>30</v>
      </c>
      <c r="B6">
        <v>0.22689999999999999</v>
      </c>
      <c r="C6">
        <v>0.37109999999999999</v>
      </c>
      <c r="D6">
        <f t="shared" ref="D6:D15" si="0">AVERAGE(B6:C6)</f>
        <v>0.29899999999999999</v>
      </c>
      <c r="E6">
        <v>0.1779</v>
      </c>
      <c r="F6">
        <v>0.19839999999999999</v>
      </c>
      <c r="G6">
        <f t="shared" ref="G6:G15" si="1">AVERAGE(E6:F6)</f>
        <v>0.18814999999999998</v>
      </c>
      <c r="H6">
        <v>0.1492</v>
      </c>
      <c r="I6">
        <v>0.23599999999999999</v>
      </c>
      <c r="J6">
        <f t="shared" ref="J6:J15" si="2">AVERAGE(H6:I6)</f>
        <v>0.19259999999999999</v>
      </c>
    </row>
    <row r="7" spans="1:14">
      <c r="A7">
        <v>60</v>
      </c>
      <c r="B7">
        <v>0.32040000000000002</v>
      </c>
      <c r="C7">
        <v>0.45619999999999999</v>
      </c>
      <c r="D7">
        <f t="shared" si="0"/>
        <v>0.38829999999999998</v>
      </c>
      <c r="E7">
        <v>0.26690000000000003</v>
      </c>
      <c r="F7">
        <v>0.28670000000000001</v>
      </c>
      <c r="G7">
        <f t="shared" si="1"/>
        <v>0.27680000000000005</v>
      </c>
      <c r="H7">
        <v>0.21510000000000001</v>
      </c>
      <c r="I7">
        <v>0.30309999999999998</v>
      </c>
      <c r="J7">
        <f t="shared" si="2"/>
        <v>0.2591</v>
      </c>
    </row>
    <row r="8" spans="1:14">
      <c r="A8">
        <v>90</v>
      </c>
      <c r="B8">
        <v>0.4123</v>
      </c>
      <c r="C8">
        <v>0.54520000000000002</v>
      </c>
      <c r="D8">
        <f t="shared" si="0"/>
        <v>0.47875000000000001</v>
      </c>
      <c r="E8">
        <v>0.35610000000000003</v>
      </c>
      <c r="F8">
        <v>0.36840000000000001</v>
      </c>
      <c r="G8">
        <f t="shared" si="1"/>
        <v>0.36225000000000002</v>
      </c>
      <c r="H8">
        <v>0.27979999999999999</v>
      </c>
      <c r="I8">
        <v>0.36709999999999998</v>
      </c>
      <c r="J8">
        <f t="shared" si="2"/>
        <v>0.32345000000000002</v>
      </c>
    </row>
    <row r="9" spans="1:14">
      <c r="A9">
        <v>120</v>
      </c>
      <c r="B9">
        <v>0.49680000000000002</v>
      </c>
      <c r="C9">
        <v>0.63849999999999996</v>
      </c>
      <c r="D9">
        <f t="shared" si="0"/>
        <v>0.56764999999999999</v>
      </c>
      <c r="E9">
        <v>0.43909999999999999</v>
      </c>
      <c r="F9">
        <v>0.44969999999999999</v>
      </c>
      <c r="G9">
        <f t="shared" si="1"/>
        <v>0.44440000000000002</v>
      </c>
      <c r="H9">
        <v>0.34210000000000002</v>
      </c>
      <c r="I9">
        <v>0.42899999999999999</v>
      </c>
      <c r="J9">
        <f t="shared" si="2"/>
        <v>0.38555</v>
      </c>
    </row>
    <row r="10" spans="1:14">
      <c r="A10">
        <v>150</v>
      </c>
      <c r="B10">
        <v>0.57889999999999997</v>
      </c>
      <c r="C10">
        <v>0.71579999999999999</v>
      </c>
      <c r="D10">
        <f t="shared" si="0"/>
        <v>0.64734999999999998</v>
      </c>
      <c r="E10">
        <v>0.51819999999999999</v>
      </c>
      <c r="F10">
        <v>0.52869999999999995</v>
      </c>
      <c r="G10">
        <f t="shared" si="1"/>
        <v>0.52344999999999997</v>
      </c>
      <c r="H10">
        <v>0.40610000000000002</v>
      </c>
      <c r="I10">
        <v>0.48499999999999999</v>
      </c>
      <c r="J10">
        <f t="shared" si="2"/>
        <v>0.44555</v>
      </c>
    </row>
    <row r="11" spans="1:14">
      <c r="A11">
        <v>180</v>
      </c>
      <c r="B11">
        <v>0.64859999999999995</v>
      </c>
      <c r="C11">
        <v>0.7782</v>
      </c>
      <c r="D11">
        <f t="shared" si="0"/>
        <v>0.71340000000000003</v>
      </c>
      <c r="E11">
        <v>0.59340000000000004</v>
      </c>
      <c r="F11">
        <v>0.60229999999999995</v>
      </c>
      <c r="G11">
        <f t="shared" si="1"/>
        <v>0.59784999999999999</v>
      </c>
      <c r="H11">
        <v>0.4642</v>
      </c>
      <c r="I11">
        <v>0.54490000000000005</v>
      </c>
      <c r="J11">
        <f t="shared" si="2"/>
        <v>0.50455000000000005</v>
      </c>
    </row>
    <row r="12" spans="1:14">
      <c r="A12">
        <v>210</v>
      </c>
      <c r="B12">
        <v>0.72260000000000002</v>
      </c>
      <c r="C12">
        <v>0.84279999999999999</v>
      </c>
      <c r="D12">
        <f t="shared" si="0"/>
        <v>0.78269999999999995</v>
      </c>
      <c r="E12">
        <v>0.66969999999999996</v>
      </c>
      <c r="F12">
        <v>0.67479999999999996</v>
      </c>
      <c r="G12">
        <f t="shared" si="1"/>
        <v>0.67225000000000001</v>
      </c>
      <c r="H12">
        <v>0.51819999999999999</v>
      </c>
      <c r="I12">
        <v>0.60460000000000003</v>
      </c>
      <c r="J12">
        <f t="shared" si="2"/>
        <v>0.56140000000000001</v>
      </c>
    </row>
    <row r="13" spans="1:14">
      <c r="A13">
        <v>240</v>
      </c>
      <c r="B13">
        <v>0.79479999999999995</v>
      </c>
      <c r="C13">
        <v>0.91820000000000002</v>
      </c>
      <c r="D13">
        <f t="shared" si="0"/>
        <v>0.85650000000000004</v>
      </c>
      <c r="E13">
        <v>0.74539999999999995</v>
      </c>
      <c r="F13">
        <v>0.746</v>
      </c>
      <c r="G13">
        <f t="shared" si="1"/>
        <v>0.74570000000000003</v>
      </c>
      <c r="H13">
        <v>0.57499999999999996</v>
      </c>
      <c r="I13">
        <v>0.6542</v>
      </c>
      <c r="J13">
        <f t="shared" si="2"/>
        <v>0.61460000000000004</v>
      </c>
      <c r="N13" t="s">
        <v>79</v>
      </c>
    </row>
    <row r="14" spans="1:14">
      <c r="A14">
        <v>270</v>
      </c>
      <c r="B14">
        <v>0.85599999999999998</v>
      </c>
      <c r="C14">
        <v>0.98509999999999998</v>
      </c>
      <c r="D14">
        <f t="shared" si="0"/>
        <v>0.92054999999999998</v>
      </c>
      <c r="E14">
        <v>0.81430000000000002</v>
      </c>
      <c r="F14">
        <v>0.81899999999999995</v>
      </c>
      <c r="G14">
        <f t="shared" si="1"/>
        <v>0.81664999999999999</v>
      </c>
      <c r="H14">
        <v>0.62809999999999999</v>
      </c>
      <c r="I14">
        <v>0.71419999999999995</v>
      </c>
      <c r="J14">
        <f t="shared" si="2"/>
        <v>0.67114999999999991</v>
      </c>
      <c r="N14" t="s">
        <v>36</v>
      </c>
    </row>
    <row r="15" spans="1:14">
      <c r="A15">
        <v>300</v>
      </c>
      <c r="B15">
        <v>0.92579999999999996</v>
      </c>
      <c r="C15">
        <v>1.0566</v>
      </c>
      <c r="D15">
        <f t="shared" si="0"/>
        <v>0.99119999999999997</v>
      </c>
      <c r="E15">
        <v>0.88539999999999996</v>
      </c>
      <c r="F15">
        <v>0.88680000000000003</v>
      </c>
      <c r="G15">
        <f t="shared" si="1"/>
        <v>0.8861</v>
      </c>
      <c r="H15">
        <v>0.6885</v>
      </c>
      <c r="I15">
        <v>0.77600000000000002</v>
      </c>
      <c r="J15">
        <f t="shared" si="2"/>
        <v>0.73225000000000007</v>
      </c>
    </row>
    <row r="17" spans="1:4">
      <c r="A17" t="s">
        <v>76</v>
      </c>
      <c r="B17" t="s">
        <v>77</v>
      </c>
    </row>
    <row r="18" spans="1:4">
      <c r="B18" t="s">
        <v>78</v>
      </c>
      <c r="C18" t="s">
        <v>5</v>
      </c>
      <c r="D18" t="s">
        <v>6</v>
      </c>
    </row>
    <row r="19" spans="1:4">
      <c r="A19">
        <v>0</v>
      </c>
      <c r="B19">
        <f>D5/(9600*1)</f>
        <v>1.9499999999999996E-5</v>
      </c>
      <c r="C19">
        <f>G5/(9600*1)</f>
        <v>1.0572916666666667E-5</v>
      </c>
      <c r="D19">
        <f>J5/(9600*1)</f>
        <v>1.3145833333333334E-5</v>
      </c>
    </row>
    <row r="20" spans="1:4">
      <c r="A20">
        <v>30</v>
      </c>
      <c r="B20">
        <f t="shared" ref="B20:B29" si="3">D6/(9600*1)</f>
        <v>3.1145833333333329E-5</v>
      </c>
      <c r="C20">
        <f t="shared" ref="C20:C29" si="4">G6/(9600*1)</f>
        <v>1.9598958333333331E-5</v>
      </c>
      <c r="D20">
        <f t="shared" ref="D20:D29" si="5">J6/(9600*1)</f>
        <v>2.00625E-5</v>
      </c>
    </row>
    <row r="21" spans="1:4">
      <c r="A21">
        <v>60</v>
      </c>
      <c r="B21">
        <f t="shared" si="3"/>
        <v>4.0447916666666666E-5</v>
      </c>
      <c r="C21">
        <f t="shared" si="4"/>
        <v>2.8833333333333337E-5</v>
      </c>
      <c r="D21">
        <f t="shared" si="5"/>
        <v>2.6989583333333333E-5</v>
      </c>
    </row>
    <row r="22" spans="1:4">
      <c r="A22">
        <v>90</v>
      </c>
      <c r="B22">
        <f t="shared" si="3"/>
        <v>4.986979166666667E-5</v>
      </c>
      <c r="C22">
        <f t="shared" si="4"/>
        <v>3.7734375000000001E-5</v>
      </c>
      <c r="D22">
        <f t="shared" si="5"/>
        <v>3.3692708333333335E-5</v>
      </c>
    </row>
    <row r="23" spans="1:4">
      <c r="A23">
        <v>120</v>
      </c>
      <c r="B23">
        <f t="shared" si="3"/>
        <v>5.913020833333333E-5</v>
      </c>
      <c r="C23">
        <f t="shared" si="4"/>
        <v>4.6291666666666669E-5</v>
      </c>
      <c r="D23">
        <f t="shared" si="5"/>
        <v>4.0161458333333333E-5</v>
      </c>
    </row>
    <row r="24" spans="1:4">
      <c r="A24">
        <v>150</v>
      </c>
      <c r="B24">
        <f t="shared" si="3"/>
        <v>6.7432291666666663E-5</v>
      </c>
      <c r="C24">
        <f t="shared" si="4"/>
        <v>5.4526041666666664E-5</v>
      </c>
      <c r="D24">
        <f t="shared" si="5"/>
        <v>4.6411458333333336E-5</v>
      </c>
    </row>
    <row r="25" spans="1:4">
      <c r="A25">
        <v>180</v>
      </c>
      <c r="B25">
        <f t="shared" si="3"/>
        <v>7.4312499999999997E-5</v>
      </c>
      <c r="C25">
        <f t="shared" si="4"/>
        <v>6.227604166666667E-5</v>
      </c>
      <c r="D25">
        <f t="shared" si="5"/>
        <v>5.2557291666666674E-5</v>
      </c>
    </row>
    <row r="26" spans="1:4">
      <c r="A26">
        <v>210</v>
      </c>
      <c r="B26">
        <f t="shared" si="3"/>
        <v>8.1531249999999993E-5</v>
      </c>
      <c r="C26">
        <f t="shared" si="4"/>
        <v>7.0026041666666669E-5</v>
      </c>
      <c r="D26">
        <f t="shared" si="5"/>
        <v>5.8479166666666667E-5</v>
      </c>
    </row>
    <row r="27" spans="1:4">
      <c r="A27">
        <v>240</v>
      </c>
      <c r="B27">
        <f t="shared" si="3"/>
        <v>8.921875000000001E-5</v>
      </c>
      <c r="C27">
        <f t="shared" si="4"/>
        <v>7.7677083333333339E-5</v>
      </c>
      <c r="D27">
        <f t="shared" si="5"/>
        <v>6.4020833333333342E-5</v>
      </c>
    </row>
    <row r="28" spans="1:4">
      <c r="A28">
        <v>270</v>
      </c>
      <c r="B28">
        <f t="shared" si="3"/>
        <v>9.5890625000000001E-5</v>
      </c>
      <c r="C28">
        <f t="shared" si="4"/>
        <v>8.506770833333333E-5</v>
      </c>
      <c r="D28">
        <f t="shared" si="5"/>
        <v>6.9911458333333324E-5</v>
      </c>
    </row>
    <row r="29" spans="1:4">
      <c r="A29">
        <v>300</v>
      </c>
      <c r="B29">
        <f t="shared" si="3"/>
        <v>1.0325E-4</v>
      </c>
      <c r="C29">
        <f t="shared" si="4"/>
        <v>9.2302083333333328E-5</v>
      </c>
      <c r="D29">
        <f t="shared" si="5"/>
        <v>7.6276041666666671E-5</v>
      </c>
    </row>
    <row r="32" spans="1:4">
      <c r="A32" t="s">
        <v>80</v>
      </c>
    </row>
    <row r="33" spans="1:5">
      <c r="A33" t="s">
        <v>81</v>
      </c>
      <c r="B33">
        <f>B21-B19</f>
        <v>2.094791666666667E-5</v>
      </c>
      <c r="C33">
        <f>C21-C19</f>
        <v>1.8260416666666669E-5</v>
      </c>
      <c r="D33">
        <f>D21-D19</f>
        <v>1.3843749999999999E-5</v>
      </c>
    </row>
    <row r="34" spans="1:5">
      <c r="A34" t="s">
        <v>43</v>
      </c>
      <c r="B34">
        <f>B33*1000000</f>
        <v>20.947916666666671</v>
      </c>
      <c r="C34">
        <f t="shared" ref="C34:D34" si="6">C33*1000000</f>
        <v>18.260416666666668</v>
      </c>
      <c r="D34">
        <f t="shared" si="6"/>
        <v>13.84375</v>
      </c>
    </row>
    <row r="35" spans="1:5">
      <c r="A35" t="s">
        <v>82</v>
      </c>
      <c r="B35">
        <f>B34*0.001</f>
        <v>2.094791666666667E-2</v>
      </c>
      <c r="C35">
        <f t="shared" ref="C35:D35" si="7">C34*0.001</f>
        <v>1.8260416666666668E-2</v>
      </c>
      <c r="D35">
        <f t="shared" si="7"/>
        <v>1.384375E-2</v>
      </c>
      <c r="E35" t="s">
        <v>83</v>
      </c>
    </row>
    <row r="36" spans="1:5">
      <c r="A36" t="s">
        <v>84</v>
      </c>
      <c r="B36">
        <f>B35</f>
        <v>2.094791666666667E-2</v>
      </c>
      <c r="C36">
        <f t="shared" ref="C36:D36" si="8">C35</f>
        <v>1.8260416666666668E-2</v>
      </c>
      <c r="D36">
        <f t="shared" si="8"/>
        <v>1.384375E-2</v>
      </c>
    </row>
    <row r="37" spans="1:5">
      <c r="A37" t="s">
        <v>85</v>
      </c>
    </row>
    <row r="38" spans="1:5">
      <c r="C38" t="s">
        <v>16</v>
      </c>
    </row>
    <row r="39" spans="1:5">
      <c r="A39" t="s">
        <v>86</v>
      </c>
      <c r="B39" t="s">
        <v>87</v>
      </c>
      <c r="C39">
        <v>0.01</v>
      </c>
    </row>
    <row r="40" spans="1:5">
      <c r="A40" t="s">
        <v>88</v>
      </c>
      <c r="B40" t="s">
        <v>89</v>
      </c>
    </row>
    <row r="41" spans="1:5">
      <c r="A41" t="s">
        <v>90</v>
      </c>
      <c r="B41">
        <f>0.5*0.01</f>
        <v>5.0000000000000001E-3</v>
      </c>
    </row>
    <row r="42" spans="1:5">
      <c r="A42" t="s">
        <v>91</v>
      </c>
      <c r="B42">
        <f>B36/B41</f>
        <v>4.1895833333333341</v>
      </c>
      <c r="C42">
        <f>C36/0.005</f>
        <v>3.6520833333333336</v>
      </c>
      <c r="D42">
        <f>D36/0.005</f>
        <v>2.7687499999999998</v>
      </c>
    </row>
    <row r="47" spans="1:5">
      <c r="A47" t="s">
        <v>122</v>
      </c>
    </row>
  </sheetData>
  <mergeCells count="1">
    <mergeCell ref="B3:C3"/>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B7A96D-98A4-4C16-802B-8D3596769C30}">
  <dimension ref="A1:I106"/>
  <sheetViews>
    <sheetView tabSelected="1" topLeftCell="A84" workbookViewId="0">
      <selection activeCell="R100" sqref="R100"/>
    </sheetView>
  </sheetViews>
  <sheetFormatPr defaultRowHeight="14.4"/>
  <cols>
    <col min="2" max="2" width="12" bestFit="1" customWidth="1"/>
  </cols>
  <sheetData>
    <row r="1" spans="1:6">
      <c r="A1" t="s">
        <v>94</v>
      </c>
    </row>
    <row r="2" spans="1:6">
      <c r="A2" t="s">
        <v>95</v>
      </c>
    </row>
    <row r="4" spans="1:6">
      <c r="A4" t="s">
        <v>97</v>
      </c>
    </row>
    <row r="5" spans="1:6">
      <c r="A5" t="s">
        <v>96</v>
      </c>
    </row>
    <row r="6" spans="1:6">
      <c r="A6" t="s">
        <v>98</v>
      </c>
    </row>
    <row r="7" spans="1:6">
      <c r="A7" t="s">
        <v>99</v>
      </c>
    </row>
    <row r="9" spans="1:6">
      <c r="A9" t="s">
        <v>100</v>
      </c>
    </row>
    <row r="10" spans="1:6">
      <c r="B10" s="5" t="s">
        <v>106</v>
      </c>
      <c r="C10" s="5"/>
      <c r="D10" s="5"/>
      <c r="E10" s="5"/>
      <c r="F10" s="5"/>
    </row>
    <row r="11" spans="1:6">
      <c r="A11" t="s">
        <v>32</v>
      </c>
      <c r="B11" t="s">
        <v>101</v>
      </c>
      <c r="C11" t="s">
        <v>102</v>
      </c>
      <c r="D11" t="s">
        <v>103</v>
      </c>
      <c r="E11" t="s">
        <v>104</v>
      </c>
      <c r="F11" t="s">
        <v>105</v>
      </c>
    </row>
    <row r="12" spans="1:6">
      <c r="A12">
        <v>0</v>
      </c>
      <c r="B12">
        <v>9.8699999999999996E-2</v>
      </c>
      <c r="C12">
        <v>1.09E-2</v>
      </c>
      <c r="D12">
        <v>1.2E-2</v>
      </c>
      <c r="E12">
        <v>1.1999999999999999E-3</v>
      </c>
      <c r="F12">
        <v>4.0000000000000002E-4</v>
      </c>
    </row>
    <row r="13" spans="1:6">
      <c r="A13">
        <v>30</v>
      </c>
      <c r="B13">
        <v>0.15390000000000001</v>
      </c>
      <c r="C13">
        <v>3.9699999999999999E-2</v>
      </c>
      <c r="D13">
        <v>3.15E-2</v>
      </c>
      <c r="E13">
        <v>1.09E-2</v>
      </c>
      <c r="F13">
        <v>7.9000000000000008E-3</v>
      </c>
    </row>
    <row r="14" spans="1:6">
      <c r="A14">
        <v>60</v>
      </c>
      <c r="B14">
        <v>0.21890000000000001</v>
      </c>
      <c r="C14">
        <v>6.7100000000000007E-2</v>
      </c>
      <c r="D14">
        <v>4.9299999999999997E-2</v>
      </c>
      <c r="E14">
        <v>2.1299999999999999E-2</v>
      </c>
      <c r="F14">
        <v>1.4999999999999999E-2</v>
      </c>
    </row>
    <row r="15" spans="1:6">
      <c r="A15">
        <v>90</v>
      </c>
      <c r="B15">
        <v>0.28079999999999999</v>
      </c>
      <c r="C15">
        <v>9.4200000000000006E-2</v>
      </c>
      <c r="D15">
        <v>6.9500000000000006E-2</v>
      </c>
      <c r="E15">
        <v>3.2500000000000001E-2</v>
      </c>
      <c r="F15">
        <v>2.2499999999999999E-2</v>
      </c>
    </row>
    <row r="16" spans="1:6">
      <c r="A16">
        <v>120</v>
      </c>
      <c r="B16">
        <v>0.34010000000000001</v>
      </c>
      <c r="C16">
        <v>0.12230000000000001</v>
      </c>
      <c r="D16">
        <v>8.7599999999999997E-2</v>
      </c>
      <c r="E16">
        <v>4.1700000000000001E-2</v>
      </c>
      <c r="F16">
        <v>2.92E-2</v>
      </c>
    </row>
    <row r="17" spans="1:6">
      <c r="A17">
        <v>150</v>
      </c>
      <c r="B17">
        <v>0.39879999999999999</v>
      </c>
      <c r="C17">
        <v>0.15079999999999999</v>
      </c>
      <c r="D17">
        <v>0.10639999999999999</v>
      </c>
      <c r="E17">
        <v>5.1799999999999999E-2</v>
      </c>
      <c r="F17">
        <v>3.6900000000000002E-2</v>
      </c>
    </row>
    <row r="18" spans="1:6">
      <c r="A18">
        <v>180</v>
      </c>
      <c r="B18">
        <v>0.45590000000000003</v>
      </c>
      <c r="C18">
        <v>0.1772</v>
      </c>
      <c r="D18">
        <v>0.1237</v>
      </c>
      <c r="E18">
        <v>6.1199999999999997E-2</v>
      </c>
      <c r="F18">
        <v>4.3200000000000002E-2</v>
      </c>
    </row>
    <row r="19" spans="1:6">
      <c r="A19">
        <v>210</v>
      </c>
      <c r="B19">
        <v>0.50919999999999999</v>
      </c>
      <c r="C19">
        <v>0.2</v>
      </c>
      <c r="D19">
        <v>0.14119999999999999</v>
      </c>
      <c r="E19">
        <v>7.0099999999999996E-2</v>
      </c>
      <c r="F19">
        <v>5.0200000000000002E-2</v>
      </c>
    </row>
    <row r="20" spans="1:6">
      <c r="A20">
        <v>240</v>
      </c>
      <c r="B20">
        <v>0.56230000000000002</v>
      </c>
      <c r="C20">
        <v>0.23080000000000001</v>
      </c>
      <c r="D20">
        <v>0.15740000000000001</v>
      </c>
      <c r="E20">
        <v>7.6899999999999996E-2</v>
      </c>
      <c r="F20">
        <v>5.62E-2</v>
      </c>
    </row>
    <row r="21" spans="1:6">
      <c r="A21">
        <v>270</v>
      </c>
      <c r="B21">
        <v>0.61509999999999998</v>
      </c>
      <c r="C21">
        <v>0.2505</v>
      </c>
      <c r="D21">
        <v>0.1741</v>
      </c>
      <c r="E21">
        <v>9.1300000000000006E-2</v>
      </c>
      <c r="F21">
        <v>6.3E-2</v>
      </c>
    </row>
    <row r="22" spans="1:6">
      <c r="A22">
        <v>300</v>
      </c>
      <c r="B22">
        <v>0.66700000000000004</v>
      </c>
      <c r="C22">
        <v>0.27510000000000001</v>
      </c>
      <c r="D22">
        <v>0.19059999999999999</v>
      </c>
      <c r="E22">
        <v>9.7299999999999998E-2</v>
      </c>
      <c r="F22">
        <v>6.9000000000000006E-2</v>
      </c>
    </row>
    <row r="24" spans="1:6">
      <c r="A24" t="s">
        <v>107</v>
      </c>
    </row>
    <row r="25" spans="1:6">
      <c r="A25" t="s">
        <v>109</v>
      </c>
      <c r="B25" t="s">
        <v>101</v>
      </c>
      <c r="C25" t="s">
        <v>102</v>
      </c>
      <c r="D25" t="s">
        <v>103</v>
      </c>
      <c r="E25" t="s">
        <v>104</v>
      </c>
      <c r="F25" t="s">
        <v>105</v>
      </c>
    </row>
    <row r="26" spans="1:6">
      <c r="A26" t="s">
        <v>108</v>
      </c>
      <c r="B26">
        <f>(B14-B12)/1</f>
        <v>0.12020000000000002</v>
      </c>
      <c r="C26">
        <f t="shared" ref="C26:F26" si="0">(C14-C12)/1</f>
        <v>5.6200000000000007E-2</v>
      </c>
      <c r="D26">
        <f t="shared" si="0"/>
        <v>3.73E-2</v>
      </c>
      <c r="E26">
        <f t="shared" si="0"/>
        <v>2.01E-2</v>
      </c>
      <c r="F26">
        <f t="shared" si="0"/>
        <v>1.46E-2</v>
      </c>
    </row>
    <row r="28" spans="1:6">
      <c r="A28" t="s">
        <v>110</v>
      </c>
    </row>
    <row r="29" spans="1:6">
      <c r="A29" t="s">
        <v>111</v>
      </c>
      <c r="B29" t="s">
        <v>101</v>
      </c>
      <c r="C29" t="s">
        <v>102</v>
      </c>
      <c r="D29" t="s">
        <v>103</v>
      </c>
      <c r="E29" t="s">
        <v>104</v>
      </c>
      <c r="F29" t="s">
        <v>105</v>
      </c>
    </row>
    <row r="30" spans="1:6">
      <c r="A30" t="s">
        <v>112</v>
      </c>
      <c r="B30">
        <f>B26/(9600*1)</f>
        <v>1.2520833333333336E-5</v>
      </c>
      <c r="C30">
        <f t="shared" ref="C30:F30" si="1">C26/(9600*1)</f>
        <v>5.8541666666666672E-6</v>
      </c>
      <c r="D30">
        <f t="shared" si="1"/>
        <v>3.8854166666666668E-6</v>
      </c>
      <c r="E30">
        <f t="shared" si="1"/>
        <v>2.0937500000000001E-6</v>
      </c>
      <c r="F30">
        <f t="shared" si="1"/>
        <v>1.5208333333333333E-6</v>
      </c>
    </row>
    <row r="31" spans="1:6">
      <c r="A31" t="s">
        <v>126</v>
      </c>
      <c r="B31">
        <f>B30*1000000</f>
        <v>12.520833333333336</v>
      </c>
      <c r="C31">
        <f t="shared" ref="C31:F31" si="2">C30*1000000</f>
        <v>5.854166666666667</v>
      </c>
      <c r="D31">
        <f t="shared" si="2"/>
        <v>3.885416666666667</v>
      </c>
      <c r="E31">
        <f t="shared" si="2"/>
        <v>2.09375</v>
      </c>
      <c r="F31">
        <f t="shared" si="2"/>
        <v>1.5208333333333333</v>
      </c>
    </row>
    <row r="32" spans="1:6">
      <c r="A32" t="s">
        <v>92</v>
      </c>
    </row>
    <row r="33" spans="1:9">
      <c r="A33" t="s">
        <v>113</v>
      </c>
      <c r="E33" t="s">
        <v>114</v>
      </c>
      <c r="F33" t="s">
        <v>115</v>
      </c>
      <c r="G33">
        <v>1E-3</v>
      </c>
      <c r="H33" t="s">
        <v>17</v>
      </c>
      <c r="I33" t="s">
        <v>116</v>
      </c>
    </row>
    <row r="34" spans="1:9">
      <c r="A34" t="s">
        <v>92</v>
      </c>
      <c r="B34" t="s">
        <v>101</v>
      </c>
      <c r="C34" t="s">
        <v>102</v>
      </c>
      <c r="D34" t="s">
        <v>103</v>
      </c>
      <c r="E34" t="s">
        <v>104</v>
      </c>
      <c r="F34" t="s">
        <v>105</v>
      </c>
    </row>
    <row r="35" spans="1:9">
      <c r="A35" s="4" t="s">
        <v>117</v>
      </c>
      <c r="B35">
        <f>B30*0.001</f>
        <v>1.2520833333333335E-8</v>
      </c>
      <c r="C35">
        <f t="shared" ref="C35:F35" si="3">C30*0.001</f>
        <v>5.854166666666667E-9</v>
      </c>
      <c r="D35">
        <f t="shared" si="3"/>
        <v>3.8854166666666671E-9</v>
      </c>
      <c r="E35">
        <f t="shared" si="3"/>
        <v>2.0937500000000001E-9</v>
      </c>
      <c r="F35">
        <f t="shared" si="3"/>
        <v>1.5208333333333333E-9</v>
      </c>
    </row>
    <row r="36" spans="1:9">
      <c r="A36" s="4" t="s">
        <v>118</v>
      </c>
      <c r="B36">
        <f>B35*1000000</f>
        <v>1.2520833333333335E-2</v>
      </c>
      <c r="C36">
        <f t="shared" ref="C36:F36" si="4">C35*1000000</f>
        <v>5.8541666666666672E-3</v>
      </c>
      <c r="D36">
        <f t="shared" si="4"/>
        <v>3.8854166666666672E-3</v>
      </c>
      <c r="E36">
        <f t="shared" si="4"/>
        <v>2.0937500000000001E-3</v>
      </c>
      <c r="F36">
        <f t="shared" si="4"/>
        <v>1.5208333333333332E-3</v>
      </c>
      <c r="G36" t="s">
        <v>119</v>
      </c>
    </row>
    <row r="38" spans="1:9">
      <c r="A38" t="s">
        <v>85</v>
      </c>
    </row>
    <row r="39" spans="1:9">
      <c r="A39" t="s">
        <v>120</v>
      </c>
      <c r="B39">
        <f>10/1000</f>
        <v>0.01</v>
      </c>
      <c r="C39" t="s">
        <v>121</v>
      </c>
    </row>
    <row r="40" spans="1:9">
      <c r="A40" t="s">
        <v>86</v>
      </c>
      <c r="B40">
        <f>0.25*B39</f>
        <v>2.5000000000000001E-3</v>
      </c>
      <c r="C40" t="s">
        <v>13</v>
      </c>
    </row>
    <row r="42" spans="1:9">
      <c r="B42" t="s">
        <v>101</v>
      </c>
      <c r="C42" t="s">
        <v>102</v>
      </c>
      <c r="D42" t="s">
        <v>103</v>
      </c>
      <c r="E42" t="s">
        <v>104</v>
      </c>
      <c r="F42" t="s">
        <v>105</v>
      </c>
    </row>
    <row r="43" spans="1:9">
      <c r="A43" t="s">
        <v>49</v>
      </c>
      <c r="B43">
        <f>B36/$B$40</f>
        <v>5.0083333333333337</v>
      </c>
      <c r="C43">
        <f t="shared" ref="C43:F43" si="5">C36/$B$40</f>
        <v>2.3416666666666668</v>
      </c>
      <c r="D43">
        <f t="shared" si="5"/>
        <v>1.5541666666666669</v>
      </c>
      <c r="E43">
        <f t="shared" si="5"/>
        <v>0.83750000000000002</v>
      </c>
      <c r="F43">
        <f t="shared" si="5"/>
        <v>0.60833333333333328</v>
      </c>
    </row>
    <row r="45" spans="1:9">
      <c r="A45" s="1" t="s">
        <v>123</v>
      </c>
      <c r="B45" s="1"/>
    </row>
    <row r="46" spans="1:9">
      <c r="A46" t="s">
        <v>124</v>
      </c>
      <c r="B46" t="s">
        <v>125</v>
      </c>
      <c r="C46" t="s">
        <v>143</v>
      </c>
      <c r="D46" t="s">
        <v>127</v>
      </c>
    </row>
    <row r="47" spans="1:9">
      <c r="A47">
        <v>1</v>
      </c>
      <c r="B47">
        <f>A47*1000</f>
        <v>1000</v>
      </c>
      <c r="C47">
        <f>B31</f>
        <v>12.520833333333336</v>
      </c>
      <c r="D47">
        <f>B36</f>
        <v>1.2520833333333335E-2</v>
      </c>
    </row>
    <row r="48" spans="1:9">
      <c r="A48">
        <v>0.5</v>
      </c>
      <c r="B48">
        <f t="shared" ref="B48:B51" si="6">A48*1000</f>
        <v>500</v>
      </c>
      <c r="C48">
        <f>C31</f>
        <v>5.854166666666667</v>
      </c>
      <c r="D48">
        <f>C36</f>
        <v>5.8541666666666672E-3</v>
      </c>
    </row>
    <row r="49" spans="1:4">
      <c r="A49">
        <v>0.25</v>
      </c>
      <c r="B49">
        <f t="shared" si="6"/>
        <v>250</v>
      </c>
      <c r="C49">
        <f>D31</f>
        <v>3.885416666666667</v>
      </c>
      <c r="D49">
        <f>D36</f>
        <v>3.8854166666666672E-3</v>
      </c>
    </row>
    <row r="50" spans="1:4">
      <c r="A50">
        <v>0.125</v>
      </c>
      <c r="B50">
        <f t="shared" si="6"/>
        <v>125</v>
      </c>
      <c r="C50">
        <f>E31</f>
        <v>2.09375</v>
      </c>
      <c r="D50">
        <f>E36</f>
        <v>2.0937500000000001E-3</v>
      </c>
    </row>
    <row r="51" spans="1:4">
      <c r="A51">
        <v>6.25E-2</v>
      </c>
      <c r="B51">
        <f t="shared" si="6"/>
        <v>62.5</v>
      </c>
      <c r="C51">
        <f>F31</f>
        <v>1.5208333333333333</v>
      </c>
      <c r="D51">
        <f>F36</f>
        <v>1.5208333333333332E-3</v>
      </c>
    </row>
    <row r="54" spans="1:4">
      <c r="A54" s="1" t="s">
        <v>128</v>
      </c>
    </row>
    <row r="55" spans="1:4">
      <c r="A55" t="s">
        <v>129</v>
      </c>
      <c r="B55" t="s">
        <v>130</v>
      </c>
    </row>
    <row r="56" spans="1:4">
      <c r="A56" s="6">
        <f>1/B47</f>
        <v>1E-3</v>
      </c>
      <c r="B56" s="6">
        <f>1/C47</f>
        <v>7.986688851913476E-2</v>
      </c>
    </row>
    <row r="57" spans="1:4">
      <c r="A57">
        <f t="shared" ref="A57:B60" si="7">1/B48</f>
        <v>2E-3</v>
      </c>
      <c r="B57">
        <f t="shared" si="7"/>
        <v>0.1708185053380783</v>
      </c>
    </row>
    <row r="58" spans="1:4">
      <c r="A58">
        <f t="shared" si="7"/>
        <v>4.0000000000000001E-3</v>
      </c>
      <c r="B58">
        <f t="shared" si="7"/>
        <v>0.25737265415549598</v>
      </c>
    </row>
    <row r="59" spans="1:4">
      <c r="A59" s="6">
        <f t="shared" si="7"/>
        <v>8.0000000000000002E-3</v>
      </c>
      <c r="B59" s="6">
        <f t="shared" si="7"/>
        <v>0.47761194029850745</v>
      </c>
    </row>
    <row r="60" spans="1:4">
      <c r="A60">
        <f t="shared" si="7"/>
        <v>1.6E-2</v>
      </c>
      <c r="B60">
        <f t="shared" si="7"/>
        <v>0.65753424657534254</v>
      </c>
    </row>
    <row r="61" spans="1:4">
      <c r="A61" t="s">
        <v>136</v>
      </c>
    </row>
    <row r="62" spans="1:4">
      <c r="A62" t="s">
        <v>132</v>
      </c>
      <c r="B62" t="s">
        <v>133</v>
      </c>
      <c r="C62" t="s">
        <v>134</v>
      </c>
      <c r="D62" t="s">
        <v>135</v>
      </c>
    </row>
    <row r="63" spans="1:4">
      <c r="A63">
        <f>-0.1106/34.271</f>
        <v>-3.2272183478742962E-3</v>
      </c>
      <c r="B63">
        <f>-1/A63</f>
        <v>309.86437613019888</v>
      </c>
      <c r="C63">
        <v>0.1106</v>
      </c>
      <c r="D63">
        <f>1/C63</f>
        <v>9.0415913200723317</v>
      </c>
    </row>
    <row r="66" spans="1:4">
      <c r="A66" s="1" t="s">
        <v>137</v>
      </c>
    </row>
    <row r="67" spans="1:4">
      <c r="A67" t="s">
        <v>138</v>
      </c>
      <c r="B67" t="s">
        <v>139</v>
      </c>
    </row>
    <row r="68" spans="1:4">
      <c r="A68" s="6">
        <f>C47</f>
        <v>12.520833333333336</v>
      </c>
      <c r="B68" s="6">
        <f>A68*A56</f>
        <v>1.2520833333333335E-2</v>
      </c>
    </row>
    <row r="69" spans="1:4">
      <c r="A69">
        <f t="shared" ref="A69:A72" si="8">C48</f>
        <v>5.854166666666667</v>
      </c>
      <c r="B69">
        <f t="shared" ref="B69:B72" si="9">A69*A57</f>
        <v>1.1708333333333334E-2</v>
      </c>
    </row>
    <row r="70" spans="1:4">
      <c r="A70">
        <f t="shared" si="8"/>
        <v>3.885416666666667</v>
      </c>
      <c r="B70">
        <f t="shared" si="9"/>
        <v>1.5541666666666669E-2</v>
      </c>
    </row>
    <row r="71" spans="1:4">
      <c r="A71" s="6">
        <f t="shared" si="8"/>
        <v>2.09375</v>
      </c>
      <c r="B71" s="6">
        <f t="shared" si="9"/>
        <v>1.6750000000000001E-2</v>
      </c>
    </row>
    <row r="72" spans="1:4">
      <c r="A72">
        <f t="shared" si="8"/>
        <v>1.5208333333333333</v>
      </c>
      <c r="B72">
        <f t="shared" si="9"/>
        <v>2.4333333333333332E-2</v>
      </c>
    </row>
    <row r="74" spans="1:4">
      <c r="A74" t="s">
        <v>134</v>
      </c>
      <c r="B74" t="s">
        <v>140</v>
      </c>
      <c r="C74" t="s">
        <v>141</v>
      </c>
      <c r="D74" t="s">
        <v>142</v>
      </c>
    </row>
    <row r="75" spans="1:4">
      <c r="A75">
        <v>9.4337</v>
      </c>
      <c r="B75">
        <f>A75</f>
        <v>9.4337</v>
      </c>
      <c r="C75">
        <v>-330.35</v>
      </c>
      <c r="D75">
        <f>-C75</f>
        <v>330.35</v>
      </c>
    </row>
    <row r="77" spans="1:4">
      <c r="A77" t="s">
        <v>131</v>
      </c>
    </row>
    <row r="78" spans="1:4">
      <c r="A78" t="s">
        <v>144</v>
      </c>
      <c r="B78" t="s">
        <v>145</v>
      </c>
    </row>
    <row r="79" spans="1:4">
      <c r="A79" s="6">
        <f>B47</f>
        <v>1000</v>
      </c>
      <c r="B79" s="6">
        <f>A79/C47</f>
        <v>79.866888519134761</v>
      </c>
    </row>
    <row r="80" spans="1:4">
      <c r="A80">
        <f t="shared" ref="A80:A83" si="10">B48</f>
        <v>500</v>
      </c>
      <c r="B80">
        <f t="shared" ref="B80:B83" si="11">A80/C48</f>
        <v>85.409252669039148</v>
      </c>
    </row>
    <row r="81" spans="1:4">
      <c r="A81">
        <f t="shared" si="10"/>
        <v>250</v>
      </c>
      <c r="B81">
        <f t="shared" si="11"/>
        <v>64.343163538873995</v>
      </c>
    </row>
    <row r="82" spans="1:4">
      <c r="A82" s="6">
        <f t="shared" si="10"/>
        <v>125</v>
      </c>
      <c r="B82" s="6">
        <f t="shared" si="11"/>
        <v>59.701492537313435</v>
      </c>
    </row>
    <row r="83" spans="1:4">
      <c r="A83">
        <f t="shared" si="10"/>
        <v>62.5</v>
      </c>
      <c r="B83">
        <f t="shared" si="11"/>
        <v>41.095890410958908</v>
      </c>
    </row>
    <row r="85" spans="1:4">
      <c r="A85" t="s">
        <v>146</v>
      </c>
      <c r="B85" t="s">
        <v>142</v>
      </c>
      <c r="C85" t="s">
        <v>141</v>
      </c>
      <c r="D85" t="s">
        <v>140</v>
      </c>
    </row>
    <row r="86" spans="1:4">
      <c r="A86">
        <f>-36.433/0.1004</f>
        <v>-362.87848605577688</v>
      </c>
      <c r="B86">
        <f>-A86</f>
        <v>362.87848605577688</v>
      </c>
      <c r="C86">
        <f>0.1004</f>
        <v>0.1004</v>
      </c>
      <c r="D86">
        <f>1/C86</f>
        <v>9.9601593625498008</v>
      </c>
    </row>
    <row r="88" spans="1:4">
      <c r="A88" t="s">
        <v>147</v>
      </c>
    </row>
    <row r="89" spans="1:4">
      <c r="A89" t="s">
        <v>148</v>
      </c>
      <c r="B89" t="s">
        <v>138</v>
      </c>
    </row>
    <row r="90" spans="1:4">
      <c r="A90">
        <f>-B47</f>
        <v>-1000</v>
      </c>
      <c r="B90">
        <f>B31</f>
        <v>12.520833333333336</v>
      </c>
    </row>
    <row r="91" spans="1:4">
      <c r="A91">
        <f t="shared" ref="A91:A94" si="12">-B48</f>
        <v>-500</v>
      </c>
      <c r="B91">
        <f>C31</f>
        <v>5.854166666666667</v>
      </c>
    </row>
    <row r="92" spans="1:4">
      <c r="A92">
        <f t="shared" si="12"/>
        <v>-250</v>
      </c>
      <c r="B92">
        <f>D31</f>
        <v>3.885416666666667</v>
      </c>
    </row>
    <row r="93" spans="1:4">
      <c r="A93">
        <f t="shared" si="12"/>
        <v>-125</v>
      </c>
      <c r="B93">
        <f>E31</f>
        <v>2.09375</v>
      </c>
    </row>
    <row r="94" spans="1:4">
      <c r="A94">
        <f t="shared" si="12"/>
        <v>-62.5</v>
      </c>
      <c r="B94">
        <f>F31</f>
        <v>1.5208333333333333</v>
      </c>
    </row>
    <row r="96" spans="1:4">
      <c r="A96" t="s">
        <v>149</v>
      </c>
      <c r="B96" t="s">
        <v>150</v>
      </c>
    </row>
    <row r="97" spans="1:2">
      <c r="A97">
        <f>A90</f>
        <v>-1000</v>
      </c>
      <c r="B97">
        <v>0</v>
      </c>
    </row>
    <row r="98" spans="1:2">
      <c r="A98">
        <v>0</v>
      </c>
      <c r="B98">
        <f>B90</f>
        <v>12.520833333333336</v>
      </c>
    </row>
    <row r="99" spans="1:2">
      <c r="A99">
        <f>A91</f>
        <v>-500</v>
      </c>
      <c r="B99">
        <v>0</v>
      </c>
    </row>
    <row r="100" spans="1:2">
      <c r="A100">
        <v>0</v>
      </c>
      <c r="B100">
        <f>B91</f>
        <v>5.854166666666667</v>
      </c>
    </row>
    <row r="101" spans="1:2">
      <c r="A101">
        <f>A92</f>
        <v>-250</v>
      </c>
      <c r="B101">
        <v>0</v>
      </c>
    </row>
    <row r="102" spans="1:2">
      <c r="A102">
        <v>0</v>
      </c>
      <c r="B102">
        <f>B92</f>
        <v>3.885416666666667</v>
      </c>
    </row>
    <row r="103" spans="1:2">
      <c r="A103">
        <f>A93</f>
        <v>-125</v>
      </c>
      <c r="B103">
        <v>0</v>
      </c>
    </row>
    <row r="104" spans="1:2">
      <c r="A104">
        <v>0</v>
      </c>
      <c r="B104">
        <f>B93</f>
        <v>2.09375</v>
      </c>
    </row>
    <row r="105" spans="1:2">
      <c r="A105">
        <f>A94</f>
        <v>-62.5</v>
      </c>
      <c r="B105">
        <v>0</v>
      </c>
    </row>
    <row r="106" spans="1:2">
      <c r="A106">
        <v>0</v>
      </c>
      <c r="B106">
        <f>B94</f>
        <v>1.5208333333333333</v>
      </c>
    </row>
  </sheetData>
  <mergeCells count="1">
    <mergeCell ref="B10:F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GST Bradford assay</vt:lpstr>
      <vt:lpstr>GST ELISA assay</vt:lpstr>
      <vt:lpstr>GST enzyme activity assay</vt:lpstr>
      <vt:lpstr>GST inhibitors</vt:lpstr>
      <vt:lpstr>Substrate kinetics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Caron Rademan</dc:creator>
  <cp:lastModifiedBy>Caron Rademan</cp:lastModifiedBy>
  <dcterms:created xsi:type="dcterms:W3CDTF">2023-09-03T10:53:53Z</dcterms:created>
  <dcterms:modified xsi:type="dcterms:W3CDTF">2023-09-30T12:11:50Z</dcterms:modified>
</cp:coreProperties>
</file>